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800\Desktop\"/>
    </mc:Choice>
  </mc:AlternateContent>
  <bookViews>
    <workbookView xWindow="0" yWindow="0" windowWidth="23040" windowHeight="9195" tabRatio="601" firstSheet="1" activeTab="8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  <sheet name="Type 1" sheetId="4" r:id="rId8"/>
    <sheet name="Type 2" sheetId="12" r:id="rId9"/>
    <sheet name="Mine io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I52" i="1"/>
  <c r="J52" i="1"/>
  <c r="K52" i="1"/>
  <c r="L52" i="1"/>
  <c r="M52" i="1" s="1"/>
  <c r="N52" i="1" s="1"/>
  <c r="C25" i="3"/>
  <c r="E25" i="3"/>
  <c r="G25" i="3"/>
  <c r="M42" i="7" l="1"/>
  <c r="D44" i="2"/>
  <c r="G44" i="2" s="1"/>
  <c r="E44" i="2"/>
  <c r="J42" i="7" s="1"/>
  <c r="G45" i="12"/>
  <c r="J45" i="12" s="1"/>
  <c r="M45" i="12" s="1"/>
  <c r="N45" i="12" s="1"/>
  <c r="H45" i="12"/>
  <c r="H46" i="12"/>
  <c r="I45" i="12"/>
  <c r="L42" i="7" s="1"/>
  <c r="I46" i="12"/>
  <c r="K45" i="12"/>
  <c r="E45" i="12"/>
  <c r="E46" i="12"/>
  <c r="G46" i="12" s="1"/>
  <c r="G53" i="4"/>
  <c r="L53" i="4" s="1"/>
  <c r="H53" i="4"/>
  <c r="I53" i="4"/>
  <c r="E53" i="4"/>
  <c r="K53" i="4" l="1"/>
  <c r="J53" i="4"/>
  <c r="M53" i="4" s="1"/>
  <c r="N53" i="4" s="1"/>
  <c r="K46" i="12"/>
  <c r="L46" i="12"/>
  <c r="J46" i="12"/>
  <c r="M46" i="12" s="1"/>
  <c r="N46" i="12" s="1"/>
  <c r="L45" i="12"/>
  <c r="H51" i="1"/>
  <c r="I51" i="1"/>
  <c r="I42" i="7" s="1"/>
  <c r="J51" i="1"/>
  <c r="K51" i="1"/>
  <c r="L51" i="1"/>
  <c r="M51" i="1"/>
  <c r="N51" i="1" s="1"/>
  <c r="P48" i="4" l="1"/>
  <c r="C24" i="3"/>
  <c r="E24" i="3"/>
  <c r="G24" i="3"/>
  <c r="J14" i="3"/>
  <c r="J13" i="3"/>
  <c r="J12" i="3"/>
  <c r="J9" i="3"/>
  <c r="J8" i="3"/>
  <c r="J7" i="3"/>
  <c r="J2" i="3"/>
  <c r="J4" i="3"/>
  <c r="J3" i="3"/>
  <c r="P33" i="4"/>
  <c r="R33" i="4" s="1"/>
  <c r="Q33" i="4" l="1"/>
  <c r="G52" i="4"/>
  <c r="H52" i="4"/>
  <c r="I52" i="4"/>
  <c r="K42" i="7" s="1"/>
  <c r="N42" i="7" s="1"/>
  <c r="E52" i="4"/>
  <c r="L52" i="4" l="1"/>
  <c r="P35" i="4"/>
  <c r="K52" i="4"/>
  <c r="J52" i="4"/>
  <c r="M52" i="4" s="1"/>
  <c r="N52" i="4" s="1"/>
  <c r="E51" i="4"/>
  <c r="G51" i="4" s="1"/>
  <c r="L50" i="4"/>
  <c r="K50" i="4"/>
  <c r="J50" i="4"/>
  <c r="E50" i="4"/>
  <c r="G50" i="4" s="1"/>
  <c r="H50" i="4"/>
  <c r="I50" i="4"/>
  <c r="P37" i="4" l="1"/>
  <c r="R35" i="4"/>
  <c r="R37" i="4" s="1"/>
  <c r="Q35" i="4"/>
  <c r="Q37" i="4" s="1"/>
  <c r="K51" i="4"/>
  <c r="J51" i="4"/>
  <c r="M51" i="4" s="1"/>
  <c r="N51" i="4" s="1"/>
  <c r="L51" i="4"/>
  <c r="H51" i="4"/>
  <c r="I51" i="4"/>
  <c r="M50" i="4"/>
  <c r="N50" i="4" s="1"/>
  <c r="G44" i="12"/>
  <c r="H44" i="12"/>
  <c r="I44" i="12"/>
  <c r="J44" i="12"/>
  <c r="M44" i="12" s="1"/>
  <c r="N44" i="12" s="1"/>
  <c r="K44" i="12"/>
  <c r="L44" i="12"/>
  <c r="E44" i="12"/>
  <c r="E49" i="4"/>
  <c r="G49" i="4" s="1"/>
  <c r="H49" i="4"/>
  <c r="I49" i="4"/>
  <c r="L41" i="7"/>
  <c r="M40" i="7"/>
  <c r="M41" i="7"/>
  <c r="E3" i="2"/>
  <c r="E1" i="2"/>
  <c r="J6" i="2"/>
  <c r="J49" i="4" l="1"/>
  <c r="M49" i="4" s="1"/>
  <c r="N49" i="4" s="1"/>
  <c r="L49" i="4"/>
  <c r="K49" i="4"/>
  <c r="K41" i="7"/>
  <c r="H50" i="1"/>
  <c r="I50" i="1"/>
  <c r="I41" i="7" s="1"/>
  <c r="J50" i="1"/>
  <c r="K50" i="1"/>
  <c r="L50" i="1"/>
  <c r="M50" i="1" s="1"/>
  <c r="N50" i="1" s="1"/>
  <c r="C23" i="3"/>
  <c r="E23" i="3"/>
  <c r="G23" i="3"/>
  <c r="J15" i="2" l="1"/>
  <c r="K15" i="2" s="1"/>
  <c r="K13" i="2"/>
  <c r="H49" i="1"/>
  <c r="I49" i="1"/>
  <c r="I40" i="7" s="1"/>
  <c r="J49" i="1"/>
  <c r="K49" i="1"/>
  <c r="L49" i="1"/>
  <c r="M49" i="1"/>
  <c r="N49" i="1"/>
  <c r="C22" i="3"/>
  <c r="E22" i="3"/>
  <c r="G22" i="3"/>
  <c r="G43" i="12" l="1"/>
  <c r="L43" i="12" s="1"/>
  <c r="H43" i="12"/>
  <c r="I43" i="12"/>
  <c r="L40" i="7" s="1"/>
  <c r="E43" i="12"/>
  <c r="E48" i="4"/>
  <c r="G48" i="4" s="1"/>
  <c r="H48" i="4"/>
  <c r="I48" i="4"/>
  <c r="K40" i="7" s="1"/>
  <c r="L48" i="4" l="1"/>
  <c r="K48" i="4"/>
  <c r="J48" i="4"/>
  <c r="M48" i="4" s="1"/>
  <c r="N48" i="4" s="1"/>
  <c r="K43" i="12"/>
  <c r="J43" i="12"/>
  <c r="M43" i="12" s="1"/>
  <c r="N43" i="12" s="1"/>
  <c r="M39" i="7"/>
  <c r="A8" i="1"/>
  <c r="G34" i="13"/>
  <c r="G35" i="13"/>
  <c r="G36" i="13"/>
  <c r="G37" i="13"/>
  <c r="G38" i="13"/>
  <c r="G39" i="13"/>
  <c r="L39" i="13" s="1"/>
  <c r="H48" i="1"/>
  <c r="I48" i="1"/>
  <c r="I39" i="7" s="1"/>
  <c r="J48" i="1"/>
  <c r="K48" i="1"/>
  <c r="L48" i="1"/>
  <c r="M48" i="1" s="1"/>
  <c r="N48" i="1" s="1"/>
  <c r="C21" i="3"/>
  <c r="E21" i="3"/>
  <c r="G21" i="3"/>
  <c r="M39" i="13"/>
  <c r="E39" i="13"/>
  <c r="H39" i="13"/>
  <c r="I39" i="13"/>
  <c r="K39" i="13"/>
  <c r="J39" i="13" l="1"/>
  <c r="N39" i="13" s="1"/>
  <c r="G42" i="12"/>
  <c r="H42" i="12"/>
  <c r="I42" i="12"/>
  <c r="L39" i="7" s="1"/>
  <c r="J42" i="12"/>
  <c r="M42" i="12" s="1"/>
  <c r="N42" i="12" s="1"/>
  <c r="K42" i="12"/>
  <c r="L42" i="12"/>
  <c r="E42" i="12"/>
  <c r="H47" i="4"/>
  <c r="I47" i="4"/>
  <c r="K39" i="7" s="1"/>
  <c r="E47" i="4"/>
  <c r="G47" i="4" s="1"/>
  <c r="L38" i="13"/>
  <c r="H38" i="13"/>
  <c r="I38" i="13"/>
  <c r="E38" i="13"/>
  <c r="L47" i="4" l="1"/>
  <c r="K47" i="4"/>
  <c r="J47" i="4"/>
  <c r="M47" i="4" s="1"/>
  <c r="N47" i="4" s="1"/>
  <c r="K38" i="13"/>
  <c r="J38" i="13"/>
  <c r="M38" i="7"/>
  <c r="H47" i="1"/>
  <c r="I47" i="1"/>
  <c r="I38" i="7" s="1"/>
  <c r="J47" i="1"/>
  <c r="K47" i="1"/>
  <c r="L47" i="1"/>
  <c r="M47" i="1" s="1"/>
  <c r="N47" i="1" s="1"/>
  <c r="C20" i="3"/>
  <c r="E20" i="3"/>
  <c r="G20" i="3"/>
  <c r="M38" i="13" l="1"/>
  <c r="N38" i="13" s="1"/>
  <c r="K37" i="13"/>
  <c r="H37" i="13"/>
  <c r="I37" i="13"/>
  <c r="E37" i="13"/>
  <c r="G41" i="12"/>
  <c r="L41" i="12" s="1"/>
  <c r="H41" i="12"/>
  <c r="I41" i="12"/>
  <c r="L38" i="7" s="1"/>
  <c r="K41" i="12"/>
  <c r="E41" i="12"/>
  <c r="G46" i="4"/>
  <c r="H46" i="4"/>
  <c r="I46" i="4"/>
  <c r="K38" i="7" s="1"/>
  <c r="E46" i="4"/>
  <c r="J34" i="13"/>
  <c r="M34" i="13" s="1"/>
  <c r="J35" i="13"/>
  <c r="M35" i="13" s="1"/>
  <c r="J36" i="13"/>
  <c r="M36" i="13" s="1"/>
  <c r="J34" i="12"/>
  <c r="J35" i="12"/>
  <c r="J36" i="12"/>
  <c r="J37" i="12"/>
  <c r="J38" i="12"/>
  <c r="J39" i="12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4" i="4"/>
  <c r="I35" i="4"/>
  <c r="I36" i="4"/>
  <c r="I37" i="4"/>
  <c r="I38" i="4"/>
  <c r="I39" i="4"/>
  <c r="I40" i="4"/>
  <c r="I41" i="4"/>
  <c r="I42" i="4"/>
  <c r="I43" i="4"/>
  <c r="I44" i="4"/>
  <c r="I45" i="4"/>
  <c r="I34" i="12"/>
  <c r="I35" i="12"/>
  <c r="I36" i="12"/>
  <c r="I37" i="12"/>
  <c r="I38" i="12"/>
  <c r="I39" i="12"/>
  <c r="I40" i="12"/>
  <c r="I34" i="13"/>
  <c r="I35" i="13"/>
  <c r="I36" i="1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J46" i="4" l="1"/>
  <c r="M46" i="4" s="1"/>
  <c r="N46" i="4" s="1"/>
  <c r="L46" i="4"/>
  <c r="K46" i="4"/>
  <c r="D8" i="1"/>
  <c r="L37" i="13"/>
  <c r="J41" i="12"/>
  <c r="M41" i="12" s="1"/>
  <c r="N41" i="12" s="1"/>
  <c r="J37" i="13"/>
  <c r="M37" i="13" l="1"/>
  <c r="N37" i="13" s="1"/>
  <c r="H46" i="1"/>
  <c r="K46" i="1"/>
  <c r="L46" i="1"/>
  <c r="M46" i="1" s="1"/>
  <c r="N46" i="1" s="1"/>
  <c r="M37" i="7" l="1"/>
  <c r="G45" i="4"/>
  <c r="H45" i="4"/>
  <c r="K37" i="7"/>
  <c r="E45" i="4"/>
  <c r="G40" i="12"/>
  <c r="H40" i="12"/>
  <c r="L37" i="7"/>
  <c r="E40" i="12"/>
  <c r="E36" i="13"/>
  <c r="P11" i="13" s="1"/>
  <c r="H36" i="13"/>
  <c r="J45" i="4" l="1"/>
  <c r="K45" i="4"/>
  <c r="L45" i="4"/>
  <c r="J40" i="12"/>
  <c r="M40" i="12" s="1"/>
  <c r="N40" i="12" s="1"/>
  <c r="K40" i="12"/>
  <c r="L40" i="12"/>
  <c r="K36" i="13"/>
  <c r="L36" i="13"/>
  <c r="N36" i="13"/>
  <c r="H45" i="1"/>
  <c r="I37" i="7"/>
  <c r="K45" i="1"/>
  <c r="L45" i="1"/>
  <c r="M45" i="1" s="1"/>
  <c r="N45" i="1" s="1"/>
  <c r="M45" i="4" l="1"/>
  <c r="N45" i="4" s="1"/>
  <c r="M36" i="7"/>
  <c r="E35" i="13"/>
  <c r="L35" i="13"/>
  <c r="H35" i="13"/>
  <c r="E39" i="12"/>
  <c r="G39" i="12"/>
  <c r="M39" i="12" s="1"/>
  <c r="N39" i="12" s="1"/>
  <c r="H39" i="12"/>
  <c r="L36" i="7"/>
  <c r="E44" i="4"/>
  <c r="G44" i="4" s="1"/>
  <c r="H44" i="4"/>
  <c r="K36" i="7"/>
  <c r="F6" i="12"/>
  <c r="F6" i="4"/>
  <c r="F6" i="13"/>
  <c r="H34" i="13"/>
  <c r="N3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5" i="13"/>
  <c r="K5" i="13"/>
  <c r="L4" i="13"/>
  <c r="K4" i="13"/>
  <c r="L3" i="13"/>
  <c r="K3" i="13"/>
  <c r="L2" i="13"/>
  <c r="K2" i="13"/>
  <c r="L44" i="4" l="1"/>
  <c r="J44" i="4"/>
  <c r="M44" i="4" s="1"/>
  <c r="N44" i="4" s="1"/>
  <c r="K44" i="4"/>
  <c r="L39" i="12"/>
  <c r="K39" i="12"/>
  <c r="K35" i="13"/>
  <c r="F8" i="13"/>
  <c r="N35" i="13"/>
  <c r="Q11" i="13"/>
  <c r="R8" i="13"/>
  <c r="F4" i="13" s="1"/>
  <c r="K34" i="13"/>
  <c r="L34" i="13"/>
  <c r="H44" i="1"/>
  <c r="I36" i="7"/>
  <c r="K44" i="1"/>
  <c r="L44" i="1"/>
  <c r="M44" i="1" s="1"/>
  <c r="N44" i="1" s="1"/>
  <c r="K6" i="13" l="1"/>
  <c r="K14" i="13" s="1"/>
  <c r="P12" i="13"/>
  <c r="P8" i="13"/>
  <c r="Q12" i="13"/>
  <c r="P13" i="13"/>
  <c r="Q8" i="13"/>
  <c r="Q13" i="13"/>
  <c r="L6" i="13"/>
  <c r="L14" i="13" s="1"/>
  <c r="M35" i="7"/>
  <c r="E43" i="4"/>
  <c r="G43" i="4" s="1"/>
  <c r="H43" i="4"/>
  <c r="K35" i="7"/>
  <c r="E38" i="12"/>
  <c r="G38" i="12" s="1"/>
  <c r="H38" i="12"/>
  <c r="L35" i="7"/>
  <c r="L43" i="4" l="1"/>
  <c r="K43" i="4"/>
  <c r="J43" i="4"/>
  <c r="M43" i="4" s="1"/>
  <c r="N43" i="4" s="1"/>
  <c r="K38" i="12"/>
  <c r="L38" i="12"/>
  <c r="M38" i="12"/>
  <c r="N38" i="12" s="1"/>
  <c r="L20" i="7"/>
  <c r="L21" i="7"/>
  <c r="L22" i="7"/>
  <c r="L23" i="7"/>
  <c r="L24" i="7"/>
  <c r="L25" i="7"/>
  <c r="L26" i="7"/>
  <c r="L27" i="7"/>
  <c r="L28" i="7"/>
  <c r="L29" i="7"/>
  <c r="L30" i="7"/>
  <c r="H43" i="1" l="1"/>
  <c r="I35" i="7"/>
  <c r="K43" i="1"/>
  <c r="L43" i="1"/>
  <c r="M43" i="1" s="1"/>
  <c r="N43" i="1" s="1"/>
  <c r="M34" i="7" l="1"/>
  <c r="E37" i="12"/>
  <c r="G37" i="12" s="1"/>
  <c r="H37" i="12"/>
  <c r="L34" i="7"/>
  <c r="E42" i="4"/>
  <c r="G42" i="4" s="1"/>
  <c r="H42" i="4"/>
  <c r="K34" i="7"/>
  <c r="K42" i="4" l="1"/>
  <c r="J42" i="4"/>
  <c r="M42" i="4" s="1"/>
  <c r="N42" i="4" s="1"/>
  <c r="L42" i="4"/>
  <c r="M37" i="12"/>
  <c r="N37" i="12" s="1"/>
  <c r="K37" i="12"/>
  <c r="L37" i="12"/>
  <c r="H42" i="1"/>
  <c r="I34" i="7"/>
  <c r="K42" i="1"/>
  <c r="L42" i="1"/>
  <c r="M42" i="1" s="1"/>
  <c r="N42" i="1" s="1"/>
  <c r="M33" i="7" l="1"/>
  <c r="E41" i="4"/>
  <c r="G41" i="4" s="1"/>
  <c r="H41" i="4"/>
  <c r="K33" i="7"/>
  <c r="E36" i="12"/>
  <c r="G36" i="12" s="1"/>
  <c r="H36" i="12"/>
  <c r="L33" i="7"/>
  <c r="L41" i="4" l="1"/>
  <c r="K41" i="4"/>
  <c r="J41" i="4"/>
  <c r="M41" i="4" s="1"/>
  <c r="N41" i="4" s="1"/>
  <c r="K36" i="12"/>
  <c r="L36" i="12"/>
  <c r="M36" i="12"/>
  <c r="N36" i="12" s="1"/>
  <c r="H41" i="1"/>
  <c r="I33" i="7"/>
  <c r="K41" i="1"/>
  <c r="L41" i="1"/>
  <c r="M41" i="1" s="1"/>
  <c r="N41" i="1" s="1"/>
  <c r="M32" i="7" l="1"/>
  <c r="K20" i="7"/>
  <c r="K21" i="7"/>
  <c r="K22" i="7"/>
  <c r="K23" i="7"/>
  <c r="K24" i="7"/>
  <c r="K25" i="7"/>
  <c r="I20" i="7"/>
  <c r="E35" i="4"/>
  <c r="G35" i="4" s="1"/>
  <c r="H35" i="4"/>
  <c r="K27" i="7"/>
  <c r="E36" i="4"/>
  <c r="G36" i="4"/>
  <c r="H36" i="4"/>
  <c r="K28" i="7"/>
  <c r="E37" i="4"/>
  <c r="G37" i="4" s="1"/>
  <c r="H37" i="4"/>
  <c r="K29" i="7"/>
  <c r="E38" i="4"/>
  <c r="G38" i="4" s="1"/>
  <c r="H38" i="4"/>
  <c r="K30" i="7"/>
  <c r="E39" i="4"/>
  <c r="G39" i="4" s="1"/>
  <c r="H39" i="4"/>
  <c r="K31" i="7"/>
  <c r="E40" i="4"/>
  <c r="G40" i="4" s="1"/>
  <c r="H40" i="4"/>
  <c r="K32" i="7"/>
  <c r="L32" i="7"/>
  <c r="H35" i="12"/>
  <c r="E35" i="12"/>
  <c r="G35" i="12" s="1"/>
  <c r="M35" i="12" s="1"/>
  <c r="N35" i="12" s="1"/>
  <c r="L31" i="7"/>
  <c r="H34" i="12"/>
  <c r="G3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5" i="12"/>
  <c r="K5" i="12"/>
  <c r="L4" i="12"/>
  <c r="K4" i="12"/>
  <c r="L3" i="12"/>
  <c r="K3" i="12"/>
  <c r="L2" i="12"/>
  <c r="K2" i="12"/>
  <c r="K2" i="4"/>
  <c r="L2" i="4"/>
  <c r="K3" i="4"/>
  <c r="L3" i="4"/>
  <c r="K4" i="4"/>
  <c r="L4" i="4"/>
  <c r="K5" i="4"/>
  <c r="L5" i="4"/>
  <c r="L7" i="4"/>
  <c r="L8" i="4"/>
  <c r="L9" i="4"/>
  <c r="L10" i="4"/>
  <c r="L11" i="4"/>
  <c r="L12" i="4"/>
  <c r="L13" i="4"/>
  <c r="K7" i="4"/>
  <c r="K8" i="4"/>
  <c r="K9" i="4"/>
  <c r="K10" i="4"/>
  <c r="K11" i="4"/>
  <c r="K12" i="4"/>
  <c r="K13" i="4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K37" i="4" l="1"/>
  <c r="J37" i="4"/>
  <c r="M37" i="4" s="1"/>
  <c r="N37" i="4" s="1"/>
  <c r="L37" i="4"/>
  <c r="J38" i="4"/>
  <c r="M38" i="4" s="1"/>
  <c r="N38" i="4" s="1"/>
  <c r="L38" i="4"/>
  <c r="K38" i="4"/>
  <c r="L39" i="4"/>
  <c r="K39" i="4"/>
  <c r="J39" i="4"/>
  <c r="M39" i="4" s="1"/>
  <c r="N39" i="4" s="1"/>
  <c r="L40" i="4"/>
  <c r="K40" i="4"/>
  <c r="J40" i="4"/>
  <c r="M40" i="4" s="1"/>
  <c r="N40" i="4" s="1"/>
  <c r="L36" i="4"/>
  <c r="J36" i="4"/>
  <c r="M36" i="4" s="1"/>
  <c r="N36" i="4" s="1"/>
  <c r="K36" i="4"/>
  <c r="L35" i="4"/>
  <c r="K35" i="4"/>
  <c r="J35" i="4"/>
  <c r="M35" i="4" s="1"/>
  <c r="N35" i="4" s="1"/>
  <c r="F8" i="12"/>
  <c r="P10" i="12"/>
  <c r="R7" i="12"/>
  <c r="F4" i="12" s="1"/>
  <c r="Q10" i="12"/>
  <c r="L34" i="12"/>
  <c r="K34" i="12"/>
  <c r="M34" i="12"/>
  <c r="N34" i="12" s="1"/>
  <c r="K35" i="12"/>
  <c r="L35" i="12"/>
  <c r="H40" i="1"/>
  <c r="K40" i="1"/>
  <c r="L40" i="1"/>
  <c r="M40" i="1" s="1"/>
  <c r="N40" i="1" s="1"/>
  <c r="M31" i="7"/>
  <c r="K6" i="12" l="1"/>
  <c r="K14" i="12" s="1"/>
  <c r="I32" i="7"/>
  <c r="I31" i="7"/>
  <c r="L6" i="12"/>
  <c r="L14" i="12" s="1"/>
  <c r="P7" i="12"/>
  <c r="Q11" i="12"/>
  <c r="Q12" i="12"/>
  <c r="P11" i="12"/>
  <c r="P12" i="12"/>
  <c r="Q7" i="12"/>
  <c r="H39" i="1" l="1"/>
  <c r="I30" i="7"/>
  <c r="K39" i="1"/>
  <c r="L39" i="1"/>
  <c r="M39" i="1" s="1"/>
  <c r="N39" i="1" s="1"/>
  <c r="M30" i="7" l="1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M20" i="7"/>
  <c r="M21" i="7"/>
  <c r="M22" i="7"/>
  <c r="M23" i="7"/>
  <c r="M24" i="7"/>
  <c r="M25" i="7"/>
  <c r="M26" i="7"/>
  <c r="M27" i="7"/>
  <c r="M28" i="7"/>
  <c r="M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38" i="1"/>
  <c r="I29" i="7"/>
  <c r="K38" i="1"/>
  <c r="L38" i="1"/>
  <c r="M38" i="1" s="1"/>
  <c r="N38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1" i="1"/>
  <c r="K32" i="1"/>
  <c r="K33" i="1"/>
  <c r="K34" i="1"/>
  <c r="K35" i="1"/>
  <c r="K36" i="1"/>
  <c r="K37" i="1"/>
  <c r="K30" i="1"/>
  <c r="G8" i="1"/>
  <c r="F8" i="1"/>
  <c r="J11" i="2"/>
  <c r="K11" i="2" s="1"/>
  <c r="J10" i="2"/>
  <c r="K10" i="2" s="1"/>
  <c r="J2" i="1" l="1"/>
  <c r="K3" i="1"/>
  <c r="K2" i="1"/>
  <c r="J3" i="1"/>
  <c r="G4" i="1"/>
  <c r="I17" i="6"/>
  <c r="G6" i="1"/>
  <c r="F6" i="1"/>
  <c r="H37" i="1"/>
  <c r="I28" i="7"/>
  <c r="L37" i="1"/>
  <c r="M37" i="1"/>
  <c r="N37" i="1" s="1"/>
  <c r="K26" i="7" l="1"/>
  <c r="J7" i="2"/>
  <c r="K7" i="2" s="1"/>
  <c r="F8" i="4" l="1"/>
  <c r="J8" i="2"/>
  <c r="K8" i="2" s="1"/>
  <c r="H34" i="4"/>
  <c r="G34" i="4"/>
  <c r="H36" i="1"/>
  <c r="I27" i="7"/>
  <c r="L36" i="1"/>
  <c r="M36" i="1" s="1"/>
  <c r="N36" i="1" s="1"/>
  <c r="K34" i="4" l="1"/>
  <c r="J34" i="4"/>
  <c r="P13" i="4" s="1"/>
  <c r="L34" i="4"/>
  <c r="J9" i="2"/>
  <c r="K9" i="2" s="1"/>
  <c r="R8" i="4"/>
  <c r="F4" i="4" s="1"/>
  <c r="Q11" i="4"/>
  <c r="P11" i="4"/>
  <c r="L32" i="1"/>
  <c r="M32" i="1" s="1"/>
  <c r="N32" i="1" s="1"/>
  <c r="L33" i="1"/>
  <c r="M33" i="1" s="1"/>
  <c r="N33" i="1" s="1"/>
  <c r="L34" i="1"/>
  <c r="M34" i="1" s="1"/>
  <c r="N34" i="1" s="1"/>
  <c r="L35" i="1"/>
  <c r="L3" i="1" s="1"/>
  <c r="L31" i="1"/>
  <c r="I21" i="7"/>
  <c r="I22" i="7"/>
  <c r="I23" i="7"/>
  <c r="I24" i="7"/>
  <c r="I25" i="7"/>
  <c r="I26" i="7"/>
  <c r="H30" i="1"/>
  <c r="H31" i="1"/>
  <c r="H32" i="1"/>
  <c r="H33" i="1"/>
  <c r="H34" i="1"/>
  <c r="H35" i="1"/>
  <c r="D22" i="2"/>
  <c r="E22" i="2" l="1"/>
  <c r="J21" i="7" s="1"/>
  <c r="N21" i="7" s="1"/>
  <c r="D23" i="2"/>
  <c r="E21" i="2"/>
  <c r="J20" i="7" s="1"/>
  <c r="N20" i="7" s="1"/>
  <c r="O20" i="7" s="1"/>
  <c r="P20" i="7" s="1"/>
  <c r="L2" i="1"/>
  <c r="P8" i="4"/>
  <c r="K6" i="4"/>
  <c r="K14" i="4" s="1"/>
  <c r="L6" i="4"/>
  <c r="L14" i="4" s="1"/>
  <c r="Q8" i="4"/>
  <c r="F4" i="1"/>
  <c r="A4" i="1"/>
  <c r="G7" i="1"/>
  <c r="F7" i="1"/>
  <c r="Q12" i="4"/>
  <c r="M34" i="4"/>
  <c r="N34" i="4" s="1"/>
  <c r="P12" i="4"/>
  <c r="Q13" i="4"/>
  <c r="M31" i="1"/>
  <c r="N31" i="1" s="1"/>
  <c r="M35" i="1"/>
  <c r="N35" i="1" s="1"/>
  <c r="E23" i="2" l="1"/>
  <c r="J22" i="7" s="1"/>
  <c r="N22" i="7" s="1"/>
  <c r="O22" i="7" s="1"/>
  <c r="P22" i="7" s="1"/>
  <c r="D24" i="2"/>
  <c r="O21" i="7"/>
  <c r="P21" i="7" s="1"/>
  <c r="D25" i="2" l="1"/>
  <c r="E24" i="2"/>
  <c r="J23" i="7" s="1"/>
  <c r="N23" i="7" s="1"/>
  <c r="O23" i="7" s="1"/>
  <c r="P23" i="7" s="1"/>
  <c r="G25" i="2"/>
  <c r="G24" i="2"/>
  <c r="G23" i="2"/>
  <c r="G22" i="2"/>
  <c r="G21" i="2"/>
  <c r="E25" i="2" l="1"/>
  <c r="J24" i="7" s="1"/>
  <c r="N24" i="7" s="1"/>
  <c r="O24" i="7" s="1"/>
  <c r="P24" i="7" s="1"/>
  <c r="D26" i="2"/>
  <c r="G26" i="2"/>
  <c r="E26" i="2" l="1"/>
  <c r="J25" i="7" s="1"/>
  <c r="N25" i="7" s="1"/>
  <c r="O25" i="7" s="1"/>
  <c r="P25" i="7" s="1"/>
  <c r="D27" i="2"/>
  <c r="G27" i="2"/>
  <c r="E27" i="2" l="1"/>
  <c r="J26" i="7" s="1"/>
  <c r="N26" i="7" s="1"/>
  <c r="O26" i="7" s="1"/>
  <c r="P26" i="7" s="1"/>
  <c r="D28" i="2"/>
  <c r="E28" i="2" l="1"/>
  <c r="J27" i="7" s="1"/>
  <c r="N27" i="7" s="1"/>
  <c r="O27" i="7" s="1"/>
  <c r="P27" i="7" s="1"/>
  <c r="D29" i="2"/>
  <c r="G28" i="2"/>
  <c r="G29" i="2"/>
  <c r="D30" i="2" l="1"/>
  <c r="E29" i="2"/>
  <c r="J28" i="7" s="1"/>
  <c r="N28" i="7" s="1"/>
  <c r="O28" i="7" s="1"/>
  <c r="P28" i="7" s="1"/>
  <c r="G30" i="2"/>
  <c r="E30" i="2" l="1"/>
  <c r="J29" i="7" s="1"/>
  <c r="N29" i="7" s="1"/>
  <c r="O29" i="7" s="1"/>
  <c r="P29" i="7" s="1"/>
  <c r="D31" i="2"/>
  <c r="G31" i="2"/>
  <c r="E31" i="2" l="1"/>
  <c r="J30" i="7" s="1"/>
  <c r="N30" i="7" s="1"/>
  <c r="O30" i="7" s="1"/>
  <c r="P30" i="7" s="1"/>
  <c r="D32" i="2"/>
  <c r="G32" i="2"/>
  <c r="E32" i="2" l="1"/>
  <c r="J31" i="7" s="1"/>
  <c r="N31" i="7" s="1"/>
  <c r="D33" i="2"/>
  <c r="E33" i="2" l="1"/>
  <c r="J32" i="7" s="1"/>
  <c r="N32" i="7" s="1"/>
  <c r="D34" i="2"/>
  <c r="O31" i="7"/>
  <c r="P31" i="7" s="1"/>
  <c r="G33" i="2"/>
  <c r="E34" i="2" l="1"/>
  <c r="J33" i="7" s="1"/>
  <c r="N33" i="7" s="1"/>
  <c r="D35" i="2"/>
  <c r="O32" i="7"/>
  <c r="P32" i="7" s="1"/>
  <c r="G34" i="2"/>
  <c r="D36" i="2" l="1"/>
  <c r="E35" i="2"/>
  <c r="J34" i="7" s="1"/>
  <c r="N34" i="7" s="1"/>
  <c r="O33" i="7"/>
  <c r="P33" i="7" s="1"/>
  <c r="G35" i="2"/>
  <c r="E36" i="2" l="1"/>
  <c r="J35" i="7" s="1"/>
  <c r="N35" i="7" s="1"/>
  <c r="D37" i="2"/>
  <c r="O34" i="7"/>
  <c r="P34" i="7" s="1"/>
  <c r="G36" i="2"/>
  <c r="D38" i="2" l="1"/>
  <c r="E37" i="2"/>
  <c r="J36" i="7" s="1"/>
  <c r="N36" i="7" s="1"/>
  <c r="O35" i="7"/>
  <c r="P35" i="7" s="1"/>
  <c r="G37" i="2"/>
  <c r="D39" i="2" l="1"/>
  <c r="E38" i="2"/>
  <c r="J37" i="7" s="1"/>
  <c r="N37" i="7" s="1"/>
  <c r="O36" i="7"/>
  <c r="P36" i="7" s="1"/>
  <c r="G38" i="2"/>
  <c r="E39" i="2" l="1"/>
  <c r="D40" i="2"/>
  <c r="D41" i="2" s="1"/>
  <c r="D42" i="2" s="1"/>
  <c r="D43" i="2" s="1"/>
  <c r="E43" i="2" s="1"/>
  <c r="O37" i="7"/>
  <c r="E40" i="2" l="1"/>
  <c r="P37" i="7"/>
  <c r="G39" i="2"/>
  <c r="J38" i="7"/>
  <c r="N38" i="7" s="1"/>
  <c r="O38" i="7" l="1"/>
  <c r="P38" i="7" s="1"/>
  <c r="G40" i="2"/>
  <c r="G42" i="2"/>
  <c r="E42" i="2"/>
  <c r="E41" i="2"/>
  <c r="G41" i="2"/>
  <c r="J39" i="7" l="1"/>
  <c r="N39" i="7" s="1"/>
  <c r="O39" i="7" s="1"/>
  <c r="P39" i="7" s="1"/>
  <c r="J40" i="7"/>
  <c r="N40" i="7" s="1"/>
  <c r="K1" i="2"/>
  <c r="R1" i="5" s="1"/>
  <c r="K3" i="2"/>
  <c r="D3" i="2" s="1"/>
  <c r="J41" i="7"/>
  <c r="N41" i="7" s="1"/>
  <c r="O42" i="7" s="1"/>
  <c r="P42" i="7" s="1"/>
  <c r="G43" i="2"/>
  <c r="J12" i="2"/>
  <c r="J14" i="2" s="1"/>
  <c r="O40" i="7" l="1"/>
  <c r="P40" i="7" s="1"/>
  <c r="O41" i="7"/>
  <c r="P41" i="7" s="1"/>
  <c r="J16" i="2"/>
  <c r="K16" i="2" s="1"/>
  <c r="K14" i="2"/>
  <c r="D1" i="2"/>
  <c r="S21" i="7" l="1"/>
  <c r="T21" i="7"/>
</calcChain>
</file>

<file path=xl/sharedStrings.xml><?xml version="1.0" encoding="utf-8"?>
<sst xmlns="http://schemas.openxmlformats.org/spreadsheetml/2006/main" count="325" uniqueCount="111">
  <si>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</si>
  <si>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</si>
  <si>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</si>
  <si>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</si>
  <si>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</si>
  <si>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</si>
  <si>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</si>
  <si>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</si>
  <si>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</si>
  <si>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</si>
  <si>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</si>
  <si>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</si>
  <si>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</si>
  <si>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</si>
  <si>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</si>
  <si>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</si>
  <si>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</si>
  <si>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</si>
  <si>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</si>
  <si>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</si>
  <si>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</si>
  <si>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</si>
  <si>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</si>
  <si>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</si>
  <si>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</si>
  <si>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</si>
  <si>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</si>
  <si>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</si>
  <si>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</si>
  <si>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</si>
  <si>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</si>
  <si>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</si>
  <si>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</si>
  <si>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</si>
  <si>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</si>
  <si>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</si>
  <si>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</si>
  <si>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</si>
  <si>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</si>
  <si>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</si>
  <si>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</si>
  <si>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</si>
  <si>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</si>
  <si>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</si>
  <si>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</si>
  <si>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</si>
  <si>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Mining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</si>
  <si>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</si>
  <si>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</si>
  <si>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</si>
  <si>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</si>
  <si>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</si>
  <si>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</si>
  <si>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</si>
  <si>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</si>
  <si>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</si>
  <si>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</si>
  <si>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Variação Mensal</t>
  </si>
  <si>
    <t xml:space="preserve">Variação 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</si>
  <si>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</si>
  <si>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</si>
  <si>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</si>
  <si>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</si>
  <si>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</si>
  <si>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</si>
  <si>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</si>
  <si>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</si>
  <si>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</si>
  <si>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</si>
  <si>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</si>
  <si>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</si>
  <si>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Type</t>
  </si>
  <si>
    <t>Easy</t>
  </si>
  <si>
    <t>Mining Bonus - Mining contract #27569 - 0.400 CMP - 2018-05-05</t>
  </si>
  <si>
    <t>Mining Bonus - Mining contract #27569 - 0.400 CMP - 2018-05-06</t>
  </si>
  <si>
    <t>BTC</t>
  </si>
  <si>
    <t>Faltam:</t>
  </si>
  <si>
    <t>Ano</t>
  </si>
  <si>
    <t xml:space="preserve">Rendimento Mensal </t>
  </si>
  <si>
    <t>Janeiro</t>
  </si>
  <si>
    <t>Fevereiro</t>
  </si>
  <si>
    <t>Março</t>
  </si>
  <si>
    <t>Mining Bonus - Mining contract #27569 - 0.400 CMP - 2018-05-07</t>
  </si>
  <si>
    <t>BTC em: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</si>
  <si>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</si>
  <si>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</si>
  <si>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</si>
  <si>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</si>
  <si>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Type 2</t>
  </si>
  <si>
    <t>Mining Bonus - Mining contract #27569 - 0.400 CMP - 2018-05-09</t>
  </si>
  <si>
    <t xml:space="preserve"> BTC em: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</si>
  <si>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</si>
  <si>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</si>
  <si>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</si>
  <si>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</si>
  <si>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</si>
  <si>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</si>
  <si>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</si>
  <si>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Withdraw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</si>
  <si>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</si>
  <si>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</si>
  <si>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</si>
  <si>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</si>
  <si>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</si>
  <si>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</si>
  <si>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</si>
  <si>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</si>
  <si>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Tech Upgrade</t>
  </si>
  <si>
    <t>Gastos</t>
  </si>
  <si>
    <t>Recebido</t>
  </si>
  <si>
    <t>Mining Bonus - Mining contract #27569 - 0.400 CMP - 2018-05-17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</si>
</sst>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R$&quot;#,##0.00;[Red]\-&quot;R$&quot;#,##0.00"/>
    <numFmt numFmtId="164" formatCode="[$$-409]#,##0.00"/>
    <numFmt numFmtId="165" formatCode="&quot;R$&quot;#,##0.00"/>
    <numFmt numFmtId="166" formatCode="[$$-540A]#,##0.00"/>
    <numFmt numFmtId="167" formatCode="0.000000000000000"/>
    <numFmt numFmtId="168" formatCode="0.00000000"/>
    <numFmt numFmtId="169" formatCode="mm/yyyy"/>
    <numFmt numFmtId="170" formatCode="#,##0.0"/>
    <numFmt numFmtId="171" formatCode="#,##0.000000000000000"/>
    <numFmt numFmtId="172" formatCode="#,##0.00000000"/>
    <numFmt numFmtId="173" formatCode="[$$-409]#,##0.00_ ;[Red]\-[$$-409]#,##0.00\ "/>
    <numFmt numFmtId="174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20" applyNumberFormat="0" applyFill="0" applyAlignment="0" applyProtection="0"/>
    <xf numFmtId="0" fontId="1" fillId="0" borderId="27" applyNumberFormat="0" applyFill="0" applyAlignment="0" applyProtection="0"/>
    <xf numFmtId="0" fontId="6" fillId="2" borderId="0" applyNumberFormat="0" applyBorder="0" applyAlignment="0" applyProtection="0"/>
  </cellStyleXfs>
  <cellXfs count="22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17" xfId="0" applyBorder="1"/>
    <xf numFmtId="164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14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2" borderId="21" xfId="1" applyFill="1" applyBorder="1" applyAlignment="1">
      <alignment horizontal="center"/>
    </xf>
    <xf numFmtId="0" fontId="2" fillId="2" borderId="22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7" fontId="0" fillId="0" borderId="23" xfId="0" applyNumberFormat="1" applyBorder="1"/>
    <xf numFmtId="167" fontId="0" fillId="0" borderId="24" xfId="0" applyNumberFormat="1" applyBorder="1"/>
    <xf numFmtId="164" fontId="0" fillId="0" borderId="23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0" fillId="3" borderId="3" xfId="0" applyNumberFormat="1" applyFill="1" applyBorder="1" applyAlignment="1">
      <alignment horizontal="center"/>
    </xf>
    <xf numFmtId="0" fontId="0" fillId="3" borderId="17" xfId="0" applyFill="1" applyBorder="1"/>
    <xf numFmtId="164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0" fontId="6" fillId="2" borderId="4" xfId="5" applyBorder="1"/>
    <xf numFmtId="164" fontId="6" fillId="2" borderId="5" xfId="5" applyNumberFormat="1" applyBorder="1"/>
    <xf numFmtId="164" fontId="6" fillId="2" borderId="6" xfId="5" applyNumberFormat="1" applyBorder="1"/>
    <xf numFmtId="165" fontId="0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165" fontId="2" fillId="2" borderId="28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9" xfId="0" applyNumberFormat="1" applyFon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" fontId="0" fillId="0" borderId="0" xfId="0" applyNumberFormat="1"/>
    <xf numFmtId="170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0" fillId="0" borderId="30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0" fontId="4" fillId="2" borderId="23" xfId="3" applyFill="1" applyBorder="1" applyAlignment="1">
      <alignment horizontal="center"/>
    </xf>
    <xf numFmtId="0" fontId="4" fillId="2" borderId="24" xfId="3" applyFill="1" applyBorder="1" applyAlignment="1">
      <alignment horizontal="center"/>
    </xf>
    <xf numFmtId="0" fontId="2" fillId="2" borderId="9" xfId="1" applyFill="1" applyBorder="1" applyAlignment="1">
      <alignment horizontal="left"/>
    </xf>
    <xf numFmtId="0" fontId="0" fillId="0" borderId="2" xfId="0" applyFill="1" applyBorder="1"/>
    <xf numFmtId="164" fontId="0" fillId="0" borderId="0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1" fillId="0" borderId="36" xfId="0" applyNumberFormat="1" applyFont="1" applyBorder="1"/>
    <xf numFmtId="165" fontId="1" fillId="0" borderId="37" xfId="0" applyNumberFormat="1" applyFont="1" applyBorder="1"/>
    <xf numFmtId="165" fontId="1" fillId="0" borderId="38" xfId="0" applyNumberFormat="1" applyFont="1" applyBorder="1"/>
    <xf numFmtId="165" fontId="6" fillId="2" borderId="6" xfId="5" applyNumberFormat="1" applyBorder="1"/>
    <xf numFmtId="0" fontId="0" fillId="0" borderId="24" xfId="0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16" xfId="0" applyNumberFormat="1" applyFont="1" applyBorder="1" applyAlignment="1">
      <alignment horizontal="center" vertical="center"/>
    </xf>
    <xf numFmtId="168" fontId="1" fillId="0" borderId="14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0" fillId="0" borderId="26" xfId="0" applyNumberFormat="1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0" fontId="11" fillId="0" borderId="0" xfId="0" applyFont="1"/>
    <xf numFmtId="164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6" xfId="4" applyFill="1" applyBorder="1"/>
    <xf numFmtId="0" fontId="1" fillId="2" borderId="37" xfId="4" applyFill="1" applyBorder="1"/>
    <xf numFmtId="0" fontId="1" fillId="2" borderId="38" xfId="4" applyFill="1" applyBorder="1"/>
    <xf numFmtId="164" fontId="1" fillId="0" borderId="36" xfId="0" applyNumberFormat="1" applyFont="1" applyBorder="1"/>
    <xf numFmtId="164" fontId="1" fillId="0" borderId="38" xfId="0" applyNumberFormat="1" applyFont="1" applyBorder="1"/>
    <xf numFmtId="164" fontId="1" fillId="0" borderId="37" xfId="4" applyNumberFormat="1" applyFont="1" applyBorder="1"/>
    <xf numFmtId="164" fontId="1" fillId="0" borderId="38" xfId="4" applyNumberFormat="1" applyFont="1" applyBorder="1"/>
    <xf numFmtId="164" fontId="1" fillId="0" borderId="37" xfId="0" applyNumberFormat="1" applyFont="1" applyBorder="1"/>
    <xf numFmtId="0" fontId="13" fillId="2" borderId="10" xfId="4" applyFont="1" applyFill="1" applyBorder="1" applyAlignment="1">
      <alignment horizontal="center" vertical="center"/>
    </xf>
    <xf numFmtId="173" fontId="12" fillId="0" borderId="10" xfId="4" applyNumberFormat="1" applyFont="1" applyBorder="1" applyAlignment="1">
      <alignment horizontal="center" vertical="center"/>
    </xf>
    <xf numFmtId="8" fontId="12" fillId="0" borderId="9" xfId="4" applyNumberFormat="1" applyFont="1" applyBorder="1" applyAlignment="1">
      <alignment horizontal="center" vertical="center"/>
    </xf>
    <xf numFmtId="167" fontId="0" fillId="0" borderId="0" xfId="0" applyNumberFormat="1"/>
    <xf numFmtId="167" fontId="0" fillId="0" borderId="23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34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67" fontId="4" fillId="2" borderId="23" xfId="3" applyNumberFormat="1" applyFill="1" applyBorder="1" applyAlignment="1">
      <alignment horizontal="center"/>
    </xf>
    <xf numFmtId="167" fontId="4" fillId="2" borderId="24" xfId="3" applyNumberFormat="1" applyFill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74" fontId="0" fillId="0" borderId="0" xfId="0" applyNumberFormat="1"/>
    <xf numFmtId="164" fontId="16" fillId="6" borderId="41" xfId="0" applyNumberFormat="1" applyFont="1" applyFill="1" applyBorder="1" applyAlignment="1">
      <alignment horizontal="center"/>
    </xf>
    <xf numFmtId="165" fontId="16" fillId="6" borderId="41" xfId="0" applyNumberFormat="1" applyFon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173" fontId="0" fillId="0" borderId="30" xfId="0" applyNumberFormat="1" applyBorder="1" applyAlignment="1">
      <alignment horizontal="center"/>
    </xf>
    <xf numFmtId="8" fontId="0" fillId="0" borderId="30" xfId="0" applyNumberFormat="1" applyBorder="1" applyAlignment="1">
      <alignment horizontal="center"/>
    </xf>
    <xf numFmtId="165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4" fontId="2" fillId="2" borderId="1" xfId="1" applyNumberFormat="1" applyFill="1" applyAlignment="1">
      <alignment horizontal="center"/>
    </xf>
    <xf numFmtId="0" fontId="4" fillId="2" borderId="31" xfId="2" applyFill="1" applyBorder="1" applyAlignment="1">
      <alignment horizontal="center"/>
    </xf>
    <xf numFmtId="0" fontId="4" fillId="2" borderId="33" xfId="2" applyFill="1" applyBorder="1" applyAlignment="1">
      <alignment horizontal="center"/>
    </xf>
    <xf numFmtId="165" fontId="2" fillId="2" borderId="11" xfId="1" applyNumberFormat="1" applyFill="1" applyBorder="1" applyAlignment="1">
      <alignment horizontal="center"/>
    </xf>
    <xf numFmtId="165" fontId="2" fillId="2" borderId="12" xfId="1" applyNumberFormat="1" applyFill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2" fillId="2" borderId="13" xfId="1" applyFill="1" applyBorder="1" applyAlignment="1">
      <alignment horizontal="center"/>
    </xf>
    <xf numFmtId="0" fontId="4" fillId="2" borderId="21" xfId="2" applyFill="1" applyBorder="1" applyAlignment="1">
      <alignment horizontal="center"/>
    </xf>
    <xf numFmtId="0" fontId="4" fillId="2" borderId="22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5" fontId="7" fillId="2" borderId="1" xfId="1" applyNumberFormat="1" applyFont="1" applyFill="1" applyAlignment="1">
      <alignment horizontal="center" vertical="center"/>
    </xf>
    <xf numFmtId="10" fontId="2" fillId="2" borderId="11" xfId="1" applyNumberFormat="1" applyFill="1" applyBorder="1" applyAlignment="1">
      <alignment horizontal="center"/>
    </xf>
    <xf numFmtId="10" fontId="2" fillId="2" borderId="12" xfId="1" applyNumberFormat="1" applyFill="1" applyBorder="1" applyAlignment="1">
      <alignment horizontal="center"/>
    </xf>
    <xf numFmtId="0" fontId="2" fillId="2" borderId="7" xfId="1" applyFill="1" applyBorder="1" applyAlignment="1">
      <alignment horizontal="right"/>
    </xf>
    <xf numFmtId="0" fontId="2" fillId="2" borderId="8" xfId="1" applyFill="1" applyBorder="1" applyAlignment="1">
      <alignment horizontal="right"/>
    </xf>
    <xf numFmtId="14" fontId="8" fillId="2" borderId="1" xfId="1" applyNumberFormat="1" applyFont="1" applyFill="1" applyAlignment="1">
      <alignment horizontal="center" vertical="center"/>
    </xf>
    <xf numFmtId="165" fontId="8" fillId="2" borderId="15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Alignment="1">
      <alignment horizontal="center" vertical="center"/>
    </xf>
    <xf numFmtId="0" fontId="2" fillId="2" borderId="12" xfId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166" fontId="2" fillId="2" borderId="12" xfId="1" applyNumberFormat="1" applyFill="1" applyBorder="1" applyAlignment="1">
      <alignment horizont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64" fontId="8" fillId="2" borderId="1" xfId="1" applyNumberFormat="1" applyFont="1" applyFill="1" applyAlignment="1">
      <alignment horizontal="center" vertical="center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9" xfId="5" applyNumberFormat="1" applyFont="1" applyBorder="1" applyAlignment="1">
      <alignment horizontal="center" vertical="center"/>
    </xf>
    <xf numFmtId="14" fontId="10" fillId="2" borderId="40" xfId="5" applyNumberFormat="1" applyFont="1" applyBorder="1" applyAlignment="1">
      <alignment horizontal="center" vertical="center"/>
    </xf>
    <xf numFmtId="14" fontId="10" fillId="2" borderId="0" xfId="5" applyNumberFormat="1" applyFont="1" applyBorder="1" applyAlignment="1">
      <alignment horizontal="center" vertical="center"/>
    </xf>
    <xf numFmtId="14" fontId="14" fillId="2" borderId="39" xfId="5" applyNumberFormat="1" applyFont="1" applyBorder="1" applyAlignment="1">
      <alignment horizontal="center" vertical="center" wrapText="1"/>
    </xf>
    <xf numFmtId="14" fontId="14" fillId="2" borderId="40" xfId="5" applyNumberFormat="1" applyFont="1" applyBorder="1" applyAlignment="1">
      <alignment horizontal="center" vertical="center" wrapText="1"/>
    </xf>
    <xf numFmtId="14" fontId="14" fillId="2" borderId="0" xfId="5" applyNumberFormat="1" applyFont="1" applyBorder="1" applyAlignment="1">
      <alignment horizontal="center" vertical="center" wrapText="1"/>
    </xf>
    <xf numFmtId="0" fontId="8" fillId="2" borderId="1" xfId="1" applyFont="1" applyFill="1" applyAlignment="1">
      <alignment horizontal="center" vertical="center"/>
    </xf>
    <xf numFmtId="171" fontId="8" fillId="2" borderId="1" xfId="1" applyNumberFormat="1" applyFont="1" applyFill="1" applyAlignment="1">
      <alignment horizontal="center" vertical="center"/>
    </xf>
    <xf numFmtId="0" fontId="8" fillId="2" borderId="0" xfId="1" applyFont="1" applyFill="1" applyBorder="1" applyAlignment="1">
      <alignment horizontal="left" vertical="center"/>
    </xf>
    <xf numFmtId="0" fontId="8" fillId="2" borderId="1" xfId="1" applyFont="1" applyFill="1" applyAlignment="1">
      <alignment horizontal="left" vertical="center"/>
    </xf>
    <xf numFmtId="0" fontId="8" fillId="2" borderId="0" xfId="1" applyFont="1" applyFill="1" applyBorder="1" applyAlignment="1">
      <alignment horizontal="right" vertical="center"/>
    </xf>
    <xf numFmtId="0" fontId="8" fillId="2" borderId="1" xfId="1" applyFont="1" applyFill="1" applyAlignment="1">
      <alignment horizontal="right" vertical="center"/>
    </xf>
    <xf numFmtId="167" fontId="6" fillId="2" borderId="30" xfId="5" applyNumberFormat="1" applyBorder="1" applyAlignment="1">
      <alignment horizontal="center"/>
    </xf>
    <xf numFmtId="0" fontId="4" fillId="2" borderId="32" xfId="2" applyFill="1" applyBorder="1" applyAlignment="1">
      <alignment horizontal="center"/>
    </xf>
    <xf numFmtId="167" fontId="4" fillId="2" borderId="17" xfId="3" applyNumberFormat="1" applyFill="1" applyBorder="1" applyAlignment="1">
      <alignment horizontal="center"/>
    </xf>
    <xf numFmtId="167" fontId="4" fillId="2" borderId="19" xfId="3" applyNumberFormat="1" applyFill="1" applyBorder="1" applyAlignment="1">
      <alignment horizontal="center"/>
    </xf>
    <xf numFmtId="167" fontId="2" fillId="2" borderId="11" xfId="1" applyNumberFormat="1" applyFill="1" applyBorder="1" applyAlignment="1">
      <alignment horizontal="center"/>
    </xf>
    <xf numFmtId="167" fontId="2" fillId="2" borderId="12" xfId="1" applyNumberFormat="1" applyFill="1" applyBorder="1" applyAlignment="1">
      <alignment horizontal="center"/>
    </xf>
    <xf numFmtId="0" fontId="6" fillId="2" borderId="30" xfId="5" applyBorder="1" applyAlignment="1">
      <alignment horizontal="center"/>
    </xf>
    <xf numFmtId="0" fontId="4" fillId="2" borderId="17" xfId="3" applyFill="1" applyBorder="1" applyAlignment="1">
      <alignment horizontal="center"/>
    </xf>
    <xf numFmtId="0" fontId="4" fillId="2" borderId="19" xfId="3" applyFill="1" applyBorder="1" applyAlignment="1">
      <alignment horizontal="center"/>
    </xf>
    <xf numFmtId="168" fontId="2" fillId="2" borderId="11" xfId="1" applyNumberFormat="1" applyFill="1" applyBorder="1" applyAlignment="1">
      <alignment horizontal="center"/>
    </xf>
    <xf numFmtId="168" fontId="2" fillId="2" borderId="12" xfId="1" applyNumberFormat="1" applyFill="1" applyBorder="1" applyAlignment="1">
      <alignment horizontal="center"/>
    </xf>
    <xf numFmtId="172" fontId="8" fillId="2" borderId="1" xfId="1" applyNumberFormat="1" applyFont="1" applyFill="1" applyAlignment="1">
      <alignment horizontal="center" vertical="center"/>
    </xf>
  </cellXfs>
  <cellStyles count="6">
    <cellStyle name="Bom" xfId="5" builtinId="26"/>
    <cellStyle name="Normal" xfId="0" builtinId="0"/>
    <cellStyle name="Título 1" xfId="1" builtinId="16"/>
    <cellStyle name="Título 3" xfId="3" builtinId="18"/>
    <cellStyle name="Título 4" xfId="2" builtinId="19"/>
    <cellStyle name="Total" xfId="4" builtinId="25"/>
  </cellStyles>
  <dxfs count="10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165" formatCode="&quot;R$&quot;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64" formatCode="[$$-409]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4" formatCode="[$$-409]#,##0.00"/>
      <alignment horizontal="center" textRotation="0" wrapText="0" indent="0" justifyLastLine="0" shrinkToFit="0" readingOrder="0"/>
    </dxf>
    <dxf>
      <numFmt numFmtId="168" formatCode="0.00000000"/>
      <alignment horizontal="center" textRotation="0" wrapText="0" indent="0" justifyLastLine="0" shrinkToFit="0" readingOrder="0"/>
    </dxf>
    <dxf>
      <numFmt numFmtId="168" formatCode="0.00000000"/>
      <alignment horizontal="center" textRotation="0" wrapText="0" indent="0" justifyLastLine="0" shrinkToFit="0" readingOrder="0"/>
    </dxf>
    <dxf>
      <numFmt numFmtId="168" formatCode="0.00000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64" formatCode="[$$-409]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4" formatCode="[$$-409]#,##0.00"/>
      <alignment horizontal="center" textRotation="0" wrapText="0" indent="0" justifyLastLine="0" shrinkToFit="0" readingOrder="0"/>
    </dxf>
    <dxf>
      <numFmt numFmtId="167" formatCode="0.000000000000000"/>
      <alignment horizontal="center" textRotation="0" wrapText="0" indent="0" justifyLastLine="0" shrinkToFit="0" readingOrder="0"/>
    </dxf>
    <dxf>
      <numFmt numFmtId="167" formatCode="0.000000000000000"/>
      <alignment horizontal="center" textRotation="0" wrapText="0" indent="0" justifyLastLine="0" shrinkToFit="0" readingOrder="0"/>
    </dxf>
    <dxf>
      <numFmt numFmtId="167" formatCode="0.000000000000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64" formatCode="[$$-409]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5" formatCode="&quot;R$&quot;#,##0.00"/>
      <alignment horizontal="center" textRotation="0" wrapText="0" indent="0" justifyLastLine="0" shrinkToFit="0" readingOrder="0"/>
    </dxf>
    <dxf>
      <numFmt numFmtId="164" formatCode="[$$-409]#,##0.00"/>
      <alignment horizontal="center" textRotation="0" wrapText="0" indent="0" justifyLastLine="0" shrinkToFit="0" readingOrder="0"/>
    </dxf>
    <dxf>
      <numFmt numFmtId="167" formatCode="0.000000000000000"/>
      <alignment horizontal="center" textRotation="0" wrapText="0" indent="0" justifyLastLine="0" shrinkToFit="0" readingOrder="0"/>
    </dxf>
    <dxf>
      <numFmt numFmtId="167" formatCode="0.000000000000000"/>
      <alignment horizontal="center" textRotation="0" wrapText="0" indent="0" justifyLastLine="0" shrinkToFit="0" readingOrder="0"/>
    </dxf>
    <dxf>
      <numFmt numFmtId="167" formatCode="0.000000000000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</dxf>
    <dxf>
      <numFmt numFmtId="170" formatCode="#,##0.0"/>
      <alignment horizontal="center" vertical="bottom" textRotation="0" wrapText="0" indent="0" justifyLastLine="0" shrinkToFit="0" readingOrder="0"/>
    </dxf>
    <dxf>
      <numFmt numFmtId="165" formatCode="&quot;R$&quot;#,##0.00"/>
    </dxf>
    <dxf>
      <numFmt numFmtId="164" formatCode="[$$-409]#,##0.00"/>
    </dxf>
    <dxf>
      <numFmt numFmtId="164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numFmt numFmtId="166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9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Atlas!$E$28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Atlas!$A$30:$A$52</c:f>
              <c:numCache>
                <c:formatCode>m/d/yyyy</c:formatCode>
                <c:ptCount val="23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</c:numCache>
            </c:numRef>
          </c:cat>
          <c:val>
            <c:numRef>
              <c:f>Atlas!$F$30:$F$52</c:f>
              <c:numCache>
                <c:formatCode>General</c:formatCode>
                <c:ptCount val="23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7520"/>
        <c:axId val="1034592288"/>
      </c:lineChart>
      <c:dateAx>
        <c:axId val="1034607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2288"/>
        <c:crosses val="autoZero"/>
        <c:auto val="1"/>
        <c:lblOffset val="100"/>
        <c:baseTimeUnit val="days"/>
      </c:dateAx>
      <c:valAx>
        <c:axId val="10345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Total!$H$20:$H$42</c:f>
              <c:numCache>
                <c:formatCode>m/d/yyyy</c:formatCode>
                <c:ptCount val="23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</c:numCache>
            </c:numRef>
          </c:cat>
          <c:val>
            <c:numRef>
              <c:f>Total!$O$20:$O$42</c:f>
              <c:numCache>
                <c:formatCode>"R$"#,##0.00</c:formatCode>
                <c:ptCount val="23"/>
                <c:pt idx="0">
                  <c:v>0</c:v>
                </c:pt>
                <c:pt idx="1">
                  <c:v>68.158107521739112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5.7699678410178876</c:v>
                </c:pt>
                <c:pt idx="7">
                  <c:v>4.2924719313619164</c:v>
                </c:pt>
                <c:pt idx="8">
                  <c:v>6.1689798471030883</c:v>
                </c:pt>
                <c:pt idx="9">
                  <c:v>6.8692913984961876</c:v>
                </c:pt>
                <c:pt idx="10">
                  <c:v>5.9605497813717818</c:v>
                </c:pt>
                <c:pt idx="11">
                  <c:v>2.2881941015209293</c:v>
                </c:pt>
                <c:pt idx="12">
                  <c:v>6.6174022830628303</c:v>
                </c:pt>
                <c:pt idx="13">
                  <c:v>7.3632208878656797</c:v>
                </c:pt>
                <c:pt idx="14">
                  <c:v>8.2447273404767429</c:v>
                </c:pt>
                <c:pt idx="15">
                  <c:v>7.4390447502469783</c:v>
                </c:pt>
                <c:pt idx="16">
                  <c:v>-0.39418118152292436</c:v>
                </c:pt>
                <c:pt idx="17">
                  <c:v>8.5785799101014391</c:v>
                </c:pt>
                <c:pt idx="18">
                  <c:v>6.5317805675363729</c:v>
                </c:pt>
                <c:pt idx="19">
                  <c:v>7.3137872895343889</c:v>
                </c:pt>
                <c:pt idx="20">
                  <c:v>1.4258788590789209</c:v>
                </c:pt>
                <c:pt idx="21">
                  <c:v>-13.867206276364016</c:v>
                </c:pt>
                <c:pt idx="22">
                  <c:v>4.603101923641816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80624"/>
        <c:axId val="858481712"/>
      </c:lineChart>
      <c:dateAx>
        <c:axId val="858480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81712"/>
        <c:crosses val="autoZero"/>
        <c:auto val="1"/>
        <c:lblOffset val="100"/>
        <c:baseTimeUnit val="days"/>
      </c:dateAx>
      <c:valAx>
        <c:axId val="8584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482800"/>
        <c:axId val="857874416"/>
      </c:lineChart>
      <c:dateAx>
        <c:axId val="85848280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874416"/>
        <c:crosses val="autoZero"/>
        <c:auto val="1"/>
        <c:lblOffset val="100"/>
        <c:baseTimeUnit val="months"/>
      </c:dateAx>
      <c:valAx>
        <c:axId val="857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2560"/>
        <c:axId val="1077223440"/>
      </c:lineChart>
      <c:dateAx>
        <c:axId val="107721256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3440"/>
        <c:crosses val="autoZero"/>
        <c:auto val="1"/>
        <c:lblOffset val="100"/>
        <c:baseTimeUnit val="months"/>
      </c:dateAx>
      <c:valAx>
        <c:axId val="10772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Atlas!$E$28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Atlas!$A$30:$A$52</c:f>
              <c:numCache>
                <c:formatCode>m/d/yyyy</c:formatCode>
                <c:ptCount val="23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</c:numCache>
            </c:numRef>
          </c:cat>
          <c:val>
            <c:numRef>
              <c:f>Atlas!$F$30:$F$52</c:f>
              <c:numCache>
                <c:formatCode>General</c:formatCode>
                <c:ptCount val="23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5824"/>
        <c:axId val="1077213648"/>
      </c:lineChart>
      <c:dateAx>
        <c:axId val="107721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3648"/>
        <c:crosses val="autoZero"/>
        <c:auto val="1"/>
        <c:lblOffset val="100"/>
        <c:baseTimeUnit val="days"/>
      </c:dateAx>
      <c:valAx>
        <c:axId val="10772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Atlas!$I$2:$I$10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Atlas!$J$2:$J$10</c:f>
              <c:numCache>
                <c:formatCode>[$$-409]#,##0.00</c:formatCode>
                <c:ptCount val="9"/>
                <c:pt idx="0">
                  <c:v>0.24225165700000001</c:v>
                </c:pt>
                <c:pt idx="1">
                  <c:v>0.29207463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Atlas!$I$2:$I$10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Atlas!$K$2:$K$10</c:f>
              <c:numCache>
                <c:formatCode>"R$"#,##0.00</c:formatCode>
                <c:ptCount val="9"/>
                <c:pt idx="0">
                  <c:v>0.859536144</c:v>
                </c:pt>
                <c:pt idx="1">
                  <c:v>1.0799428499999999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6912"/>
        <c:axId val="1077223984"/>
      </c:lineChart>
      <c:catAx>
        <c:axId val="10772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3984"/>
        <c:crosses val="autoZero"/>
        <c:auto val="1"/>
        <c:lblAlgn val="ctr"/>
        <c:lblOffset val="100"/>
        <c:noMultiLvlLbl val="1"/>
      </c:catAx>
      <c:valAx>
        <c:axId val="10772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Atlas!$J$28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Atlas!$A$30:$A$52</c:f>
              <c:numCache>
                <c:formatCode>m/d/yyyy</c:formatCode>
                <c:ptCount val="23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</c:numCache>
            </c:numRef>
          </c:cat>
          <c:val>
            <c:numRef>
              <c:f>Atlas!$L$30:$L$52</c:f>
              <c:numCache>
                <c:formatCode>0.00%</c:formatCode>
                <c:ptCount val="23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27248"/>
        <c:axId val="1077226704"/>
      </c:lineChart>
      <c:dateAx>
        <c:axId val="1077227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6704"/>
        <c:crosses val="autoZero"/>
        <c:auto val="1"/>
        <c:lblOffset val="100"/>
        <c:baseTimeUnit val="days"/>
      </c:dateAx>
      <c:valAx>
        <c:axId val="1077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AWS!$A$21:$A$44</c:f>
              <c:numCache>
                <c:formatCode>m/d/yyyy</c:formatCode>
                <c:ptCount val="24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</c:numCache>
            </c:numRef>
          </c:cat>
          <c:val>
            <c:numRef>
              <c:f>AWS!$D$21:$D$44</c:f>
              <c:numCache>
                <c:formatCode>[$$-409]#,##0.00</c:formatCode>
                <c:ptCount val="24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5280"/>
        <c:axId val="1077214192"/>
      </c:lineChart>
      <c:dateAx>
        <c:axId val="1077215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4192"/>
        <c:crosses val="autoZero"/>
        <c:auto val="1"/>
        <c:lblOffset val="100"/>
        <c:baseTimeUnit val="days"/>
      </c:dateAx>
      <c:valAx>
        <c:axId val="1077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AWS!$C$20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AWS!$A$21:$A$44</c:f>
              <c:numCache>
                <c:formatCode>m/d/yyyy</c:formatCode>
                <c:ptCount val="24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</c:numCache>
            </c:numRef>
          </c:cat>
          <c:val>
            <c:numRef>
              <c:f>AWS!$C$21:$C$44</c:f>
              <c:numCache>
                <c:formatCode>[$$-409]#,##0.00</c:formatCode>
                <c:ptCount val="24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3104"/>
        <c:axId val="1077224528"/>
      </c:lineChart>
      <c:dateAx>
        <c:axId val="1077213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4528"/>
        <c:crosses val="autoZero"/>
        <c:auto val="1"/>
        <c:lblOffset val="100"/>
        <c:baseTimeUnit val="days"/>
      </c:dateAx>
      <c:valAx>
        <c:axId val="10772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1'!$H$32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'Type 1'!$A$34:$A$53</c:f>
              <c:numCache>
                <c:formatCode>m/d/yyyy</c:formatCode>
                <c:ptCount val="2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43236</c:v>
                </c:pt>
                <c:pt idx="17">
                  <c:v>43236</c:v>
                </c:pt>
                <c:pt idx="18">
                  <c:v>43237</c:v>
                </c:pt>
                <c:pt idx="19">
                  <c:v>43238</c:v>
                </c:pt>
              </c:numCache>
            </c:numRef>
          </c:cat>
          <c:val>
            <c:numRef>
              <c:f>'Type 1'!$I$34:$I$53</c:f>
              <c:numCache>
                <c:formatCode>"R$"#,##0.00</c:formatCode>
                <c:ptCount val="20"/>
                <c:pt idx="0">
                  <c:v>3.0632508910178999</c:v>
                </c:pt>
                <c:pt idx="1">
                  <c:v>3.8016893223797998</c:v>
                </c:pt>
                <c:pt idx="2">
                  <c:v>4.8834005694829195</c:v>
                </c:pt>
                <c:pt idx="3">
                  <c:v>7.0087665679790838</c:v>
                </c:pt>
                <c:pt idx="4">
                  <c:v>8.1332313493509005</c:v>
                </c:pt>
                <c:pt idx="5">
                  <c:v>8.5285204508718007</c:v>
                </c:pt>
                <c:pt idx="6">
                  <c:v>10.353122907710461</c:v>
                </c:pt>
                <c:pt idx="7">
                  <c:v>12.065445955716216</c:v>
                </c:pt>
                <c:pt idx="8">
                  <c:v>14.2452996854083</c:v>
                </c:pt>
                <c:pt idx="9">
                  <c:v>16.455972923270686</c:v>
                </c:pt>
                <c:pt idx="10">
                  <c:v>17.208236500528514</c:v>
                </c:pt>
                <c:pt idx="11">
                  <c:v>19.364612728618845</c:v>
                </c:pt>
                <c:pt idx="12">
                  <c:v>20.584118541949113</c:v>
                </c:pt>
                <c:pt idx="13">
                  <c:v>22.341560295817999</c:v>
                </c:pt>
                <c:pt idx="14">
                  <c:v>23.358893971641052</c:v>
                </c:pt>
                <c:pt idx="15">
                  <c:v>23.801109041939998</c:v>
                </c:pt>
                <c:pt idx="16">
                  <c:v>3.63923606</c:v>
                </c:pt>
                <c:pt idx="17">
                  <c:v>4.1076448746281997</c:v>
                </c:pt>
                <c:pt idx="18">
                  <c:v>7.2119206240490463</c:v>
                </c:pt>
                <c:pt idx="19">
                  <c:v>8.9807065179409502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4736"/>
        <c:axId val="1077221264"/>
      </c:lineChart>
      <c:dateAx>
        <c:axId val="1077214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1264"/>
        <c:crosses val="autoZero"/>
        <c:auto val="1"/>
        <c:lblOffset val="100"/>
        <c:baseTimeUnit val="days"/>
      </c:dateAx>
      <c:valAx>
        <c:axId val="10772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1'!$J$1</c:f>
              <c:strCache>
                <c:ptCount val="1"/>
                <c:pt idx="0">
                  <c:v>Variação Mensal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'Type 1'!$J$2:$J$13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'Type 1'!$K$2:$K$13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7.4556596018554684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'Type 1'!$J$2:$J$13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'Type 1'!$L$2:$L$13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27.385297768608282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6368"/>
        <c:axId val="1077225072"/>
      </c:lineChart>
      <c:catAx>
        <c:axId val="10772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5072"/>
        <c:crosses val="autoZero"/>
        <c:auto val="1"/>
        <c:lblAlgn val="ctr"/>
        <c:lblOffset val="100"/>
        <c:noMultiLvlLbl val="1"/>
      </c:catAx>
      <c:valAx>
        <c:axId val="1077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AWS!$A$21:$A$44</c:f>
              <c:numCache>
                <c:formatCode>m/d/yyyy</c:formatCode>
                <c:ptCount val="24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</c:numCache>
            </c:numRef>
          </c:cat>
          <c:val>
            <c:numRef>
              <c:f>AWS!$D$21:$D$44</c:f>
              <c:numCache>
                <c:formatCode>[$$-409]#,##0.00</c:formatCode>
                <c:ptCount val="24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8816"/>
        <c:axId val="1034597728"/>
      </c:lineChart>
      <c:dateAx>
        <c:axId val="1034598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7728"/>
        <c:crosses val="autoZero"/>
        <c:auto val="1"/>
        <c:lblOffset val="100"/>
        <c:baseTimeUnit val="days"/>
      </c:dateAx>
      <c:valAx>
        <c:axId val="10345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1'!$J$32</c:f>
              <c:strCache>
                <c:ptCount val="1"/>
                <c:pt idx="0">
                  <c:v>Variação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'Type 1'!$A$34:$A$53</c:f>
              <c:numCache>
                <c:formatCode>m/d/yyyy</c:formatCode>
                <c:ptCount val="2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43236</c:v>
                </c:pt>
                <c:pt idx="17">
                  <c:v>43236</c:v>
                </c:pt>
                <c:pt idx="18">
                  <c:v>43237</c:v>
                </c:pt>
                <c:pt idx="19">
                  <c:v>43238</c:v>
                </c:pt>
              </c:numCache>
            </c:numRef>
          </c:cat>
          <c:val>
            <c:numRef>
              <c:f>'Type 1'!$L$34:$L$53</c:f>
              <c:numCache>
                <c:formatCode>0.00%</c:formatCode>
                <c:ptCount val="20"/>
                <c:pt idx="0">
                  <c:v>0</c:v>
                </c:pt>
                <c:pt idx="1">
                  <c:v>0.23530019349753223</c:v>
                </c:pt>
                <c:pt idx="2">
                  <c:v>0.24708325527846953</c:v>
                </c:pt>
                <c:pt idx="3">
                  <c:v>0.39799314608506592</c:v>
                </c:pt>
                <c:pt idx="4">
                  <c:v>0.12922742901024853</c:v>
                </c:pt>
                <c:pt idx="5">
                  <c:v>8.572037371234266E-2</c:v>
                </c:pt>
                <c:pt idx="6">
                  <c:v>0.23137668747539741</c:v>
                </c:pt>
                <c:pt idx="7">
                  <c:v>0.16271303467766701</c:v>
                </c:pt>
                <c:pt idx="8">
                  <c:v>0.17530086601396616</c:v>
                </c:pt>
                <c:pt idx="9">
                  <c:v>0.14332815683989095</c:v>
                </c:pt>
                <c:pt idx="10">
                  <c:v>0.14285963653790035</c:v>
                </c:pt>
                <c:pt idx="11">
                  <c:v>0.10262656103866132</c:v>
                </c:pt>
                <c:pt idx="12">
                  <c:v>4.1650204077757769E-2</c:v>
                </c:pt>
                <c:pt idx="13">
                  <c:v>8.7022533183069573E-2</c:v>
                </c:pt>
                <c:pt idx="14">
                  <c:v>5.5322083728803401E-2</c:v>
                </c:pt>
                <c:pt idx="15">
                  <c:v>4.7362069233761114E-2</c:v>
                </c:pt>
                <c:pt idx="16">
                  <c:v>0</c:v>
                </c:pt>
                <c:pt idx="17">
                  <c:v>0.12871075327501552</c:v>
                </c:pt>
                <c:pt idx="18">
                  <c:v>0.80178723437991106</c:v>
                </c:pt>
                <c:pt idx="19">
                  <c:v>0.23845150471787355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7456"/>
        <c:axId val="1077218000"/>
      </c:lineChart>
      <c:dateAx>
        <c:axId val="1077217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8000"/>
        <c:crosses val="autoZero"/>
        <c:auto val="1"/>
        <c:lblOffset val="100"/>
        <c:baseTimeUnit val="days"/>
      </c:dateAx>
      <c:valAx>
        <c:axId val="10772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2'!$H$32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'Type 2'!$A$34:$A$46</c:f>
              <c:numCache>
                <c:formatCode>m/d/yyyy</c:formatCode>
                <c:ptCount val="13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</c:numCache>
            </c:numRef>
          </c:cat>
          <c:val>
            <c:numRef>
              <c:f>'Type 2'!$I$34:$I$46</c:f>
              <c:numCache>
                <c:formatCode>"R$"#,##0.00</c:formatCode>
                <c:ptCount val="13"/>
                <c:pt idx="0">
                  <c:v>1.3560000000000001</c:v>
                </c:pt>
                <c:pt idx="1">
                  <c:v>3.8624172262242</c:v>
                </c:pt>
                <c:pt idx="2">
                  <c:v>6.0038004760841108</c:v>
                </c:pt>
                <c:pt idx="3">
                  <c:v>8.4520402768687504</c:v>
                </c:pt>
                <c:pt idx="4">
                  <c:v>10.56862833925334</c:v>
                </c:pt>
                <c:pt idx="5">
                  <c:v>11.57163966047262</c:v>
                </c:pt>
                <c:pt idx="6">
                  <c:v>13.400841092483724</c:v>
                </c:pt>
                <c:pt idx="7">
                  <c:v>14.343057406689805</c:v>
                </c:pt>
                <c:pt idx="8">
                  <c:v>15.988288002355301</c:v>
                </c:pt>
                <c:pt idx="9">
                  <c:v>16.968129685611199</c:v>
                </c:pt>
                <c:pt idx="10">
                  <c:v>17.480337606260001</c:v>
                </c:pt>
                <c:pt idx="11">
                  <c:v>17.033518200481002</c:v>
                </c:pt>
                <c:pt idx="12">
                  <c:v>17.127142843849999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2016"/>
        <c:axId val="1077219632"/>
      </c:lineChart>
      <c:dateAx>
        <c:axId val="1077212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9632"/>
        <c:crosses val="autoZero"/>
        <c:auto val="1"/>
        <c:lblOffset val="100"/>
        <c:baseTimeUnit val="days"/>
      </c:dateAx>
      <c:valAx>
        <c:axId val="10772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2'!$J$1</c:f>
              <c:strCache>
                <c:ptCount val="1"/>
                <c:pt idx="0">
                  <c:v>Variação Mensal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'Type 2'!$J$2:$J$13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'Type 2'!$K$2:$K$13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4.6294296666582788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'Type 2'!$J$2:$J$13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'Type 2'!$L$2:$L$13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17.036059799979174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20176"/>
        <c:axId val="1077225616"/>
      </c:lineChart>
      <c:catAx>
        <c:axId val="10772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5616"/>
        <c:crosses val="autoZero"/>
        <c:auto val="1"/>
        <c:lblAlgn val="ctr"/>
        <c:lblOffset val="100"/>
        <c:noMultiLvlLbl val="1"/>
      </c:catAx>
      <c:valAx>
        <c:axId val="1077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2'!$J$32</c:f>
              <c:strCache>
                <c:ptCount val="1"/>
                <c:pt idx="0">
                  <c:v>Variação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'Type 2'!$A$34:$A$46</c:f>
              <c:numCache>
                <c:formatCode>m/d/yyyy</c:formatCode>
                <c:ptCount val="13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</c:numCache>
            </c:numRef>
          </c:cat>
          <c:val>
            <c:numRef>
              <c:f>'Type 2'!$L$34:$L$46</c:f>
              <c:numCache>
                <c:formatCode>0.00%</c:formatCode>
                <c:ptCount val="13"/>
                <c:pt idx="0">
                  <c:v>0</c:v>
                </c:pt>
                <c:pt idx="1">
                  <c:v>1.88930073775</c:v>
                </c:pt>
                <c:pt idx="2">
                  <c:v>0.55084215638431422</c:v>
                </c:pt>
                <c:pt idx="3">
                  <c:v>0.40138076347500917</c:v>
                </c:pt>
                <c:pt idx="4">
                  <c:v>0.23758772371237988</c:v>
                </c:pt>
                <c:pt idx="5">
                  <c:v>0.1966203059219393</c:v>
                </c:pt>
                <c:pt idx="6">
                  <c:v>0.13473161790546009</c:v>
                </c:pt>
                <c:pt idx="7">
                  <c:v>4.8837301054614791E-2</c:v>
                </c:pt>
                <c:pt idx="8">
                  <c:v>0.11639413681559585</c:v>
                </c:pt>
                <c:pt idx="9">
                  <c:v>7.1218990430204687E-2</c:v>
                </c:pt>
                <c:pt idx="10">
                  <c:v>5.8931248597584127E-2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8544"/>
        <c:axId val="1077221808"/>
      </c:lineChart>
      <c:dateAx>
        <c:axId val="1077218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1808"/>
        <c:crosses val="autoZero"/>
        <c:auto val="1"/>
        <c:lblOffset val="100"/>
        <c:baseTimeUnit val="days"/>
      </c:dateAx>
      <c:valAx>
        <c:axId val="10772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io'!$H$32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'Mine io'!$A$34:$A$39</c:f>
              <c:numCache>
                <c:formatCode>m/d/yyyy</c:formatCode>
                <c:ptCount val="6"/>
                <c:pt idx="0">
                  <c:v>43230</c:v>
                </c:pt>
                <c:pt idx="1">
                  <c:v>43231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43234</c:v>
                </c:pt>
              </c:numCache>
            </c:numRef>
          </c:cat>
          <c:val>
            <c:numRef>
              <c:f>'Mine io'!$I$34:$I$39</c:f>
              <c:numCache>
                <c:formatCode>"R$"#,##0.00</c:formatCode>
                <c:ptCount val="6"/>
                <c:pt idx="0">
                  <c:v>16.00502925</c:v>
                </c:pt>
                <c:pt idx="1">
                  <c:v>58.23231492</c:v>
                </c:pt>
                <c:pt idx="2">
                  <c:v>106.15182903</c:v>
                </c:pt>
                <c:pt idx="3">
                  <c:v>157.297145</c:v>
                </c:pt>
                <c:pt idx="4">
                  <c:v>174.07535000000001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9088"/>
        <c:axId val="1077226160"/>
      </c:lineChart>
      <c:dateAx>
        <c:axId val="1077219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6160"/>
        <c:crosses val="autoZero"/>
        <c:auto val="1"/>
        <c:lblOffset val="100"/>
        <c:baseTimeUnit val="days"/>
      </c:dateAx>
      <c:valAx>
        <c:axId val="1077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io'!$J$1</c:f>
              <c:strCache>
                <c:ptCount val="1"/>
                <c:pt idx="0">
                  <c:v>Variação Mensal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'Mine io'!$J$2:$J$13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'Mine io'!$K$2:$K$13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46.134235216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'Mine io'!$J$2:$J$13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'Mine io'!$L$2:$L$13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172.30245380000002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20720"/>
        <c:axId val="1077222352"/>
      </c:lineChart>
      <c:catAx>
        <c:axId val="10772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2352"/>
        <c:crosses val="autoZero"/>
        <c:auto val="1"/>
        <c:lblAlgn val="ctr"/>
        <c:lblOffset val="100"/>
        <c:noMultiLvlLbl val="1"/>
      </c:catAx>
      <c:valAx>
        <c:axId val="10772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io'!$J$32</c:f>
              <c:strCache>
                <c:ptCount val="1"/>
                <c:pt idx="0">
                  <c:v>Variação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'Mine io'!$A$34:$A$39</c:f>
              <c:numCache>
                <c:formatCode>m/d/yyyy</c:formatCode>
                <c:ptCount val="6"/>
                <c:pt idx="0">
                  <c:v>43230</c:v>
                </c:pt>
                <c:pt idx="1">
                  <c:v>43231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43234</c:v>
                </c:pt>
              </c:numCache>
            </c:numRef>
          </c:cat>
          <c:val>
            <c:numRef>
              <c:f>'Mine io'!$L$34:$L$39</c:f>
              <c:numCache>
                <c:formatCode>0.00%</c:formatCode>
                <c:ptCount val="6"/>
                <c:pt idx="0">
                  <c:v>0</c:v>
                </c:pt>
                <c:pt idx="1">
                  <c:v>2.9763781200212427</c:v>
                </c:pt>
                <c:pt idx="2">
                  <c:v>0.78615616385665743</c:v>
                </c:pt>
                <c:pt idx="3">
                  <c:v>0.45208421191157694</c:v>
                </c:pt>
                <c:pt idx="4">
                  <c:v>0.10834191555097847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22896"/>
        <c:axId val="1095438256"/>
      </c:lineChart>
      <c:dateAx>
        <c:axId val="1077222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438256"/>
        <c:crosses val="autoZero"/>
        <c:auto val="1"/>
        <c:lblOffset val="100"/>
        <c:baseTimeUnit val="days"/>
      </c:dateAx>
      <c:valAx>
        <c:axId val="1095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 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'Type 1'!$H$32</c:f>
              <c:strCache>
                <c:ptCount val="1"/>
                <c:pt idx="0">
                  <c:v>Valor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'Type 1'!$A$34:$A$53</c:f>
              <c:numCache>
                <c:formatCode>m/d/yyyy</c:formatCode>
                <c:ptCount val="2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43236</c:v>
                </c:pt>
                <c:pt idx="17">
                  <c:v>43236</c:v>
                </c:pt>
                <c:pt idx="18">
                  <c:v>43237</c:v>
                </c:pt>
                <c:pt idx="19">
                  <c:v>43238</c:v>
                </c:pt>
              </c:numCache>
            </c:numRef>
          </c:cat>
          <c:val>
            <c:numRef>
              <c:f>'Type 1'!$I$34:$I$53</c:f>
              <c:numCache>
                <c:formatCode>"R$"#,##0.00</c:formatCode>
                <c:ptCount val="20"/>
                <c:pt idx="0">
                  <c:v>3.0632508910178999</c:v>
                </c:pt>
                <c:pt idx="1">
                  <c:v>3.8016893223797998</c:v>
                </c:pt>
                <c:pt idx="2">
                  <c:v>4.8834005694829195</c:v>
                </c:pt>
                <c:pt idx="3">
                  <c:v>7.0087665679790838</c:v>
                </c:pt>
                <c:pt idx="4">
                  <c:v>8.1332313493509005</c:v>
                </c:pt>
                <c:pt idx="5">
                  <c:v>8.5285204508718007</c:v>
                </c:pt>
                <c:pt idx="6">
                  <c:v>10.353122907710461</c:v>
                </c:pt>
                <c:pt idx="7">
                  <c:v>12.065445955716216</c:v>
                </c:pt>
                <c:pt idx="8">
                  <c:v>14.2452996854083</c:v>
                </c:pt>
                <c:pt idx="9">
                  <c:v>16.455972923270686</c:v>
                </c:pt>
                <c:pt idx="10">
                  <c:v>17.208236500528514</c:v>
                </c:pt>
                <c:pt idx="11">
                  <c:v>19.364612728618845</c:v>
                </c:pt>
                <c:pt idx="12">
                  <c:v>20.584118541949113</c:v>
                </c:pt>
                <c:pt idx="13">
                  <c:v>22.341560295817999</c:v>
                </c:pt>
                <c:pt idx="14">
                  <c:v>23.358893971641052</c:v>
                </c:pt>
                <c:pt idx="15">
                  <c:v>23.801109041939998</c:v>
                </c:pt>
                <c:pt idx="16">
                  <c:v>3.63923606</c:v>
                </c:pt>
                <c:pt idx="17">
                  <c:v>4.1076448746281997</c:v>
                </c:pt>
                <c:pt idx="18">
                  <c:v>7.2119206240490463</c:v>
                </c:pt>
                <c:pt idx="19">
                  <c:v>8.9807065179409502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6976"/>
        <c:axId val="1034602080"/>
      </c:lineChart>
      <c:dateAx>
        <c:axId val="1034606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2080"/>
        <c:crosses val="autoZero"/>
        <c:auto val="1"/>
        <c:lblOffset val="100"/>
        <c:baseTimeUnit val="days"/>
      </c:dateAx>
      <c:valAx>
        <c:axId val="10346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3712"/>
        <c:axId val="1034600992"/>
      </c:lineChart>
      <c:dateAx>
        <c:axId val="1034603712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0992"/>
        <c:crosses val="autoZero"/>
        <c:auto val="1"/>
        <c:lblOffset val="100"/>
        <c:baseTimeUnit val="months"/>
      </c:dateAx>
      <c:valAx>
        <c:axId val="10346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Total!$N$19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Total!$H$20:$H$42</c:f>
              <c:numCache>
                <c:formatCode>m/d/yyyy</c:formatCode>
                <c:ptCount val="23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</c:numCache>
            </c:numRef>
          </c:cat>
          <c:val>
            <c:numRef>
              <c:f>Total!$N$20:$N$42</c:f>
              <c:numCache>
                <c:formatCode>"R$"#,##0.00</c:formatCode>
                <c:ptCount val="23"/>
                <c:pt idx="0">
                  <c:v>58.595487478260871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144.3923683910179</c:v>
                </c:pt>
                <c:pt idx="7">
                  <c:v>148.68484032237981</c:v>
                </c:pt>
                <c:pt idx="8">
                  <c:v>154.8538201694829</c:v>
                </c:pt>
                <c:pt idx="9">
                  <c:v>161.72311156797909</c:v>
                </c:pt>
                <c:pt idx="10">
                  <c:v>167.68366134935087</c:v>
                </c:pt>
                <c:pt idx="11">
                  <c:v>169.9718554508718</c:v>
                </c:pt>
                <c:pt idx="12">
                  <c:v>176.58925773393463</c:v>
                </c:pt>
                <c:pt idx="13">
                  <c:v>183.95247862180031</c:v>
                </c:pt>
                <c:pt idx="14">
                  <c:v>192.19720596227705</c:v>
                </c:pt>
                <c:pt idx="15">
                  <c:v>199.63625071252403</c:v>
                </c:pt>
                <c:pt idx="16">
                  <c:v>199.24206953100111</c:v>
                </c:pt>
                <c:pt idx="17">
                  <c:v>207.82064944110255</c:v>
                </c:pt>
                <c:pt idx="18">
                  <c:v>214.35243000863892</c:v>
                </c:pt>
                <c:pt idx="19">
                  <c:v>221.66621729817331</c:v>
                </c:pt>
                <c:pt idx="20">
                  <c:v>223.09209615725223</c:v>
                </c:pt>
                <c:pt idx="21">
                  <c:v>209.22488988088821</c:v>
                </c:pt>
                <c:pt idx="22">
                  <c:v>213.82799180453003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4800"/>
        <c:axId val="1034595552"/>
      </c:lineChart>
      <c:dateAx>
        <c:axId val="1034604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5552"/>
        <c:crosses val="autoZero"/>
        <c:auto val="1"/>
        <c:lblOffset val="100"/>
        <c:baseTimeUnit val="days"/>
      </c:dateAx>
      <c:valAx>
        <c:axId val="10345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Cotação!$A$3:$A$25</c:f>
              <c:numCache>
                <c:formatCode>m/d/yyyy</c:formatCode>
                <c:ptCount val="23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</c:numCache>
            </c:numRef>
          </c:cat>
          <c:val>
            <c:numRef>
              <c:f>Cotação!$D$3:$D$25</c:f>
              <c:numCache>
                <c:formatCode>"R$"#,##0.00</c:formatCode>
                <c:ptCount val="23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2624"/>
        <c:axId val="1034599904"/>
      </c:lineChart>
      <c:dateAx>
        <c:axId val="1034602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9904"/>
        <c:crosses val="autoZero"/>
        <c:auto val="1"/>
        <c:lblOffset val="100"/>
        <c:baseTimeUnit val="days"/>
      </c:dateAx>
      <c:valAx>
        <c:axId val="1034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Cotação!$A$3:$A$25</c:f>
              <c:numCache>
                <c:formatCode>m/d/yyyy</c:formatCode>
                <c:ptCount val="23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</c:numCache>
            </c:numRef>
          </c:cat>
          <c:val>
            <c:numRef>
              <c:f>Cotação!$F$3:$F$25</c:f>
              <c:numCache>
                <c:formatCode>"R$"#,##0.00</c:formatCode>
                <c:ptCount val="23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7184"/>
        <c:axId val="1034598272"/>
      </c:lineChart>
      <c:dateAx>
        <c:axId val="1034597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8272"/>
        <c:crosses val="autoZero"/>
        <c:auto val="1"/>
        <c:lblOffset val="100"/>
        <c:baseTimeUnit val="days"/>
      </c:dateAx>
      <c:valAx>
        <c:axId val="1034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Cotação!$A$3:$A$25</c:f>
              <c:numCache>
                <c:formatCode>m/d/yyyy</c:formatCode>
                <c:ptCount val="23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</c:numCache>
            </c:numRef>
          </c:cat>
          <c:val>
            <c:numRef>
              <c:f>Cotação!$B$3:$B$25</c:f>
              <c:numCache>
                <c:formatCode>[$$-409]#,##0.00</c:formatCode>
                <c:ptCount val="23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4256"/>
        <c:axId val="1034596640"/>
      </c:lineChart>
      <c:dateAx>
        <c:axId val="1034604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596640"/>
        <c:crosses val="autoZero"/>
        <c:auto val="1"/>
        <c:lblOffset val="100"/>
        <c:baseTimeUnit val="days"/>
      </c:dateAx>
      <c:valAx>
        <c:axId val="1034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Total!$N$19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Total!$H$20:$H$42</c:f>
              <c:numCache>
                <c:formatCode>m/d/yyyy</c:formatCode>
                <c:ptCount val="23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</c:numCache>
            </c:numRef>
          </c:cat>
          <c:val>
            <c:numRef>
              <c:f>Total!$N$20:$N$42</c:f>
              <c:numCache>
                <c:formatCode>"R$"#,##0.00</c:formatCode>
                <c:ptCount val="23"/>
                <c:pt idx="0">
                  <c:v>58.595487478260871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144.3923683910179</c:v>
                </c:pt>
                <c:pt idx="7">
                  <c:v>148.68484032237981</c:v>
                </c:pt>
                <c:pt idx="8">
                  <c:v>154.8538201694829</c:v>
                </c:pt>
                <c:pt idx="9">
                  <c:v>161.72311156797909</c:v>
                </c:pt>
                <c:pt idx="10">
                  <c:v>167.68366134935087</c:v>
                </c:pt>
                <c:pt idx="11">
                  <c:v>169.9718554508718</c:v>
                </c:pt>
                <c:pt idx="12">
                  <c:v>176.58925773393463</c:v>
                </c:pt>
                <c:pt idx="13">
                  <c:v>183.95247862180031</c:v>
                </c:pt>
                <c:pt idx="14">
                  <c:v>192.19720596227705</c:v>
                </c:pt>
                <c:pt idx="15">
                  <c:v>199.63625071252403</c:v>
                </c:pt>
                <c:pt idx="16">
                  <c:v>199.24206953100111</c:v>
                </c:pt>
                <c:pt idx="17">
                  <c:v>207.82064944110255</c:v>
                </c:pt>
                <c:pt idx="18">
                  <c:v>214.35243000863892</c:v>
                </c:pt>
                <c:pt idx="19">
                  <c:v>221.66621729817331</c:v>
                </c:pt>
                <c:pt idx="20">
                  <c:v>223.09209615725223</c:v>
                </c:pt>
                <c:pt idx="21">
                  <c:v>209.22488988088821</c:v>
                </c:pt>
                <c:pt idx="22">
                  <c:v>213.82799180453003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600448"/>
        <c:axId val="1034605344"/>
      </c:lineChart>
      <c:dateAx>
        <c:axId val="1034600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5344"/>
        <c:crosses val="autoZero"/>
        <c:auto val="1"/>
        <c:lblOffset val="100"/>
        <c:baseTimeUnit val="days"/>
      </c:dateAx>
      <c:valAx>
        <c:axId val="10346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6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17369</xdr:colOff>
      <xdr:row>32</xdr:row>
      <xdr:rowOff>83484</xdr:rowOff>
    </xdr:from>
    <xdr:to>
      <xdr:col>17</xdr:col>
      <xdr:colOff>360269</xdr:colOff>
      <xdr:row>46</xdr:row>
      <xdr:rowOff>159684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0</xdr:row>
      <xdr:rowOff>0</xdr:rowOff>
    </xdr:from>
    <xdr:to>
      <xdr:col>26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11</xdr:row>
      <xdr:rowOff>52387</xdr:rowOff>
    </xdr:from>
    <xdr:to>
      <xdr:col>5</xdr:col>
      <xdr:colOff>885826</xdr:colOff>
      <xdr:row>25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11</xdr:row>
      <xdr:rowOff>47625</xdr:rowOff>
    </xdr:from>
    <xdr:to>
      <xdr:col>21</xdr:col>
      <xdr:colOff>419100</xdr:colOff>
      <xdr:row>25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11</xdr:row>
      <xdr:rowOff>47625</xdr:rowOff>
    </xdr:from>
    <xdr:to>
      <xdr:col>12</xdr:col>
      <xdr:colOff>257175</xdr:colOff>
      <xdr:row>25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6</xdr:col>
      <xdr:colOff>828675</xdr:colOff>
      <xdr:row>28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561974</xdr:colOff>
      <xdr:row>14</xdr:row>
      <xdr:rowOff>0</xdr:rowOff>
    </xdr:from>
    <xdr:to>
      <xdr:col>19</xdr:col>
      <xdr:colOff>323849</xdr:colOff>
      <xdr:row>28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819149</xdr:colOff>
      <xdr:row>14</xdr:row>
      <xdr:rowOff>0</xdr:rowOff>
    </xdr:from>
    <xdr:to>
      <xdr:col>12</xdr:col>
      <xdr:colOff>581024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6</xdr:col>
      <xdr:colOff>828675</xdr:colOff>
      <xdr:row>28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561974</xdr:colOff>
      <xdr:row>14</xdr:row>
      <xdr:rowOff>0</xdr:rowOff>
    </xdr:from>
    <xdr:to>
      <xdr:col>19</xdr:col>
      <xdr:colOff>323849</xdr:colOff>
      <xdr:row>28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819149</xdr:colOff>
      <xdr:row>14</xdr:row>
      <xdr:rowOff>0</xdr:rowOff>
    </xdr:from>
    <xdr:to>
      <xdr:col>12</xdr:col>
      <xdr:colOff>581024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6</xdr:col>
      <xdr:colOff>828675</xdr:colOff>
      <xdr:row>28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561974</xdr:colOff>
      <xdr:row>14</xdr:row>
      <xdr:rowOff>0</xdr:rowOff>
    </xdr:from>
    <xdr:to>
      <xdr:col>19</xdr:col>
      <xdr:colOff>323849</xdr:colOff>
      <xdr:row>28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819149</xdr:colOff>
      <xdr:row>14</xdr:row>
      <xdr:rowOff>0</xdr:rowOff>
    </xdr:from>
    <xdr:to>
      <xdr:col>12</xdr:col>
      <xdr:colOff>581024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25" totalsRowShown="0" headerRowDxfId="100" dataDxfId="99">
  <autoFilter ref="A2:G25"/>
  <tableColumns count="7">
    <tableColumn id="1" name="Data" dataDxfId="98"/>
    <tableColumn id="2" name="BTC/USD" dataDxfId="97"/>
    <tableColumn id="6" name="/" dataDxfId="96">
      <calculatedColumnFormula>IF(Tabela25[[#This Row],[BTC/USD]]&lt;B2,"▼",IF(Tabela25[[#This Row],[BTC/USD]]&gt;B2,"▲","-"))</calculatedColumnFormula>
    </tableColumn>
    <tableColumn id="3" name="BTC/BRL" dataDxfId="95"/>
    <tableColumn id="7" name="." dataDxfId="94">
      <calculatedColumnFormula>IF(Tabela25[[#This Row],[BTC/BRL]]&lt;D2,"▼",IF(Tabela25[[#This Row],[BTC/BRL]]&gt;D2,"▲","-"))</calculatedColumnFormula>
    </tableColumn>
    <tableColumn id="4" name="USD/BRL" dataDxfId="93"/>
    <tableColumn id="8" name="," dataDxfId="9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P42" totalsRowShown="0" headerRowDxfId="91" dataDxfId="90">
  <autoFilter ref="H19:P42"/>
  <tableColumns count="9">
    <tableColumn id="1" name="Data" dataDxfId="89"/>
    <tableColumn id="2" name="Atlas" dataDxfId="88">
      <calculatedColumnFormula>IFERROR(VLOOKUP(Tabela6[[#This Row],[Data]]+1,Tabela1[[Data ]:[BRL]],9),0)</calculatedColumnFormula>
    </tableColumn>
    <tableColumn id="3" name="AWS" dataDxfId="87">
      <calculatedColumnFormula>IFERROR(VLOOKUP(Tabela6[[#This Row],[Data]]+1,Tabela3[[Data]:[Saldo BRL]],5),0)</calculatedColumnFormula>
    </tableColumn>
    <tableColumn id="4" name="Type" dataDxfId="86">
      <calculatedColumnFormula>IFERROR(VLOOKUP(Tabela6[[#This Row],[Data]],Tabela2[[Data ]:[BRL]],9),0)</calculatedColumnFormula>
    </tableColumn>
    <tableColumn id="11" name="Type 2" dataDxfId="85">
      <calculatedColumnFormula>IFERROR(VLOOKUP(Tabela6[[#This Row],[Data]],Tabela29[[Data ]:[BRL]],9),0)</calculatedColumnFormula>
    </tableColumn>
    <tableColumn id="5" name="Easy" dataDxfId="84">
      <calculatedColumnFormula>VLOOKUP(Tabela6[[#This Row],[Data]]+1,Tabela16[#All],3)</calculatedColumnFormula>
    </tableColumn>
    <tableColumn id="6" name="Total" dataDxfId="83">
      <calculatedColumnFormula>SUM(Tabela6[[#This Row],[Atlas]:[Easy]])</calculatedColumnFormula>
    </tableColumn>
    <tableColumn id="7" name="Variação" dataDxfId="82">
      <calculatedColumnFormula>IFERROR(Tabela6[[#This Row],[Total]]-N19,0)</calculatedColumnFormula>
    </tableColumn>
    <tableColumn id="8" name="Variação %" dataDxfId="81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80" dataDxfId="79">
  <autoFilter ref="A16:F36"/>
  <tableColumns count="6">
    <tableColumn id="1" name="Data " dataDxfId="78"/>
    <tableColumn id="3" name="Anterior" dataDxfId="77">
      <calculatedColumnFormula>C16</calculatedColumnFormula>
    </tableColumn>
    <tableColumn id="4" name="Posterior" dataDxfId="76"/>
    <tableColumn id="8" name="Bruto " dataDxfId="75">
      <calculatedColumnFormula>IF(Tabela16[[#This Row],[Anterior]]=0,"-",IFERROR(Tabela16[Posterior]-Tabela16[Anterior],"N/A"))</calculatedColumnFormula>
    </tableColumn>
    <tableColumn id="10" name="porcentagem" dataDxfId="74">
      <calculatedColumnFormula>IFERROR(Tabela16[[Bruto ]]/Tabela16[Anterior],"N/A")</calculatedColumnFormula>
    </tableColumn>
    <tableColumn id="12" name="Anual" dataDxfId="73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29:N52" totalsRowShown="0" headerRowDxfId="72" dataDxfId="71">
  <autoFilter ref="A29:N52"/>
  <tableColumns count="14">
    <tableColumn id="1" name="Data " dataDxfId="70"/>
    <tableColumn id="13" name="Mês" dataDxfId="69">
      <calculatedColumnFormula>Tabela1[[#This Row],[Data ]]</calculatedColumnFormula>
    </tableColumn>
    <tableColumn id="14" name="Ano" dataDxfId="68"/>
    <tableColumn id="2" name="Tipo" dataDxfId="67"/>
    <tableColumn id="3" name="Anterior" dataDxfId="66"/>
    <tableColumn id="4" name="Posterior" dataDxfId="65"/>
    <tableColumn id="5" name="Variação" dataDxfId="64"/>
    <tableColumn id="6" name="USD" dataDxfId="63">
      <calculatedColumnFormula>Tabela1[[#This Row],[Posterior]]*VLOOKUP(Tabela1[[#This Row],[Data ]],Tabela25[],2)</calculatedColumnFormula>
    </tableColumn>
    <tableColumn id="7" name="BRL" dataDxfId="62">
      <calculatedColumnFormula>Tabela1[[#This Row],[Posterior]]*VLOOKUP(Tabela1[[#This Row],[Data ]],Tabela25[],4)</calculatedColumnFormula>
    </tableColumn>
    <tableColumn id="8" name="Bruto BRL" dataDxfId="61">
      <calculatedColumnFormula>IF(Tabela1[[#This Row],[Tipo]]="Depósito (BTC)","N/A",Tabela1[[#This Row],[Variação]]*VLOOKUP(Tabela1[[#This Row],[Data ]],Tabela25[],4))</calculatedColumnFormula>
    </tableColumn>
    <tableColumn id="9" name="Bruto USD" dataDxfId="60">
      <calculatedColumnFormula>IF(Tabela1[[#This Row],[Tipo]]="Depósito (BTC)","N/A",Tabela1[[#This Row],[Variação]]*VLOOKUP(Tabela1[[#This Row],[Data ]],Tabela25[],2))</calculatedColumnFormula>
    </tableColumn>
    <tableColumn id="10" name="porcentagem" dataDxfId="59">
      <calculatedColumnFormula>G30/E30</calculatedColumnFormula>
    </tableColumn>
    <tableColumn id="11" name="Mensal" dataDxfId="58">
      <calculatedColumnFormula>L30*30</calculatedColumnFormula>
    </tableColumn>
    <tableColumn id="12" name="Anual" dataDxfId="57">
      <calculatedColumnFormula>M30*12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0:G44" totalsRowShown="0">
  <autoFilter ref="A20:G44"/>
  <tableColumns count="7">
    <tableColumn id="1" name="Data" dataDxfId="56"/>
    <tableColumn id="2" name="Descrição"/>
    <tableColumn id="3" name="Valor" dataDxfId="55"/>
    <tableColumn id="4" name="Saldo disponível para saque" dataDxfId="54">
      <calculatedColumnFormula>C22+D21</calculatedColumnFormula>
    </tableColumn>
    <tableColumn id="5" name="Saldo BRL" dataDxfId="53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52"/>
    <tableColumn id="6" name="Ação" dataDxfId="51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2" name="Tabela2" displayName="Tabela2" ref="A33:N53" totalsRowShown="0" headerRowDxfId="50" dataDxfId="49">
  <autoFilter ref="A33:N53"/>
  <tableColumns count="14">
    <tableColumn id="1" name="Data " dataDxfId="48"/>
    <tableColumn id="2" name="Mês" dataDxfId="47"/>
    <tableColumn id="14" name="Ano" dataDxfId="46"/>
    <tableColumn id="3" name="Tipo" dataDxfId="45"/>
    <tableColumn id="4" name="Anterior" dataDxfId="44"/>
    <tableColumn id="5" name="Posterior" dataDxfId="43"/>
    <tableColumn id="6" name="Variação" dataDxfId="42">
      <calculatedColumnFormula>IFERROR(F34-E34,"-")</calculatedColumnFormula>
    </tableColumn>
    <tableColumn id="7" name="USD" dataDxfId="41">
      <calculatedColumnFormula>VLOOKUP(Tabela2[[Data ]],Tabela25[],2)*Tabela2[Posterior]</calculatedColumnFormula>
    </tableColumn>
    <tableColumn id="8" name="BRL" dataDxfId="40">
      <calculatedColumnFormula>VLOOKUP(Tabela2[[Data ]],Tabela25[],4)*Tabela2[Posterior]</calculatedColumnFormula>
    </tableColumn>
    <tableColumn id="9" name="Bruto BRL" dataDxfId="39">
      <calculatedColumnFormula>IF(Tabela2[[#This Row],[Tipo]]="mining",IFERROR(VLOOKUP(Tabela2[[Data ]],Tabela25[],4)*Tabela2[Variação],"-"),0)</calculatedColumnFormula>
    </tableColumn>
    <tableColumn id="10" name="Bruto USD" dataDxfId="38">
      <calculatedColumnFormula>IF(Tabela2[[#This Row],[Tipo]]="Mining",IFERROR(VLOOKUP(Tabela2[[Data ]],Tabela25[],2)*Tabela2[Variação],"-"),0)</calculatedColumnFormula>
    </tableColumn>
    <tableColumn id="11" name="porcentagem" dataDxfId="37">
      <calculatedColumnFormula>IF(Tabela2[[#This Row],[Tipo]]="Mining",IFERROR(Tabela2[Variação]/Tabela2[Anterior],"-"),0)</calculatedColumnFormula>
    </tableColumn>
    <tableColumn id="12" name="Mensal" dataDxfId="36">
      <calculatedColumnFormula>IFERROR(Tabela2[[#This Row],[Bruto BRL]]*30,"-")</calculatedColumnFormula>
    </tableColumn>
    <tableColumn id="13" name="Anual" dataDxfId="35">
      <calculatedColumnFormula>IFERROR(Tabela2[Mensal]*12,"-")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8" name="Tabela29" displayName="Tabela29" ref="A33:N46" totalsRowShown="0" headerRowDxfId="34" dataDxfId="33">
  <autoFilter ref="A33:N46"/>
  <tableColumns count="14">
    <tableColumn id="1" name="Data " dataDxfId="32"/>
    <tableColumn id="2" name="Mês" dataDxfId="31"/>
    <tableColumn id="14" name="Ano" dataDxfId="30"/>
    <tableColumn id="3" name="Tipo" dataDxfId="29"/>
    <tableColumn id="4" name="Anterior" dataDxfId="28"/>
    <tableColumn id="5" name="Posterior" dataDxfId="27"/>
    <tableColumn id="6" name="Variação" dataDxfId="26">
      <calculatedColumnFormula>IFERROR(F34-E34,"-")</calculatedColumnFormula>
    </tableColumn>
    <tableColumn id="7" name="USD" dataDxfId="25">
      <calculatedColumnFormula>VLOOKUP(Tabela29[[Data ]],Tabela25[],2)*Tabela29[Posterior]</calculatedColumnFormula>
    </tableColumn>
    <tableColumn id="8" name="BRL" dataDxfId="24">
      <calculatedColumnFormula>VLOOKUP(Tabela29[[Data ]],Tabela25[],4)*Tabela29[Posterior]</calculatedColumnFormula>
    </tableColumn>
    <tableColumn id="9" name="Bruto BRL" dataDxfId="23">
      <calculatedColumnFormula>IFERROR(VLOOKUP(Tabela29[[Data ]],Tabela25[],4)*Tabela29[Variação],"-")</calculatedColumnFormula>
    </tableColumn>
    <tableColumn id="10" name="Bruto USD" dataDxfId="22">
      <calculatedColumnFormula>IFERROR(VLOOKUP(Tabela29[[Data ]],Tabela25[],2)*Tabela29[Variação],"-")</calculatedColumnFormula>
    </tableColumn>
    <tableColumn id="11" name="porcentagem" dataDxfId="21">
      <calculatedColumnFormula>IFERROR(Tabela29[Variação]/Tabela29[Anterior],"-")</calculatedColumnFormula>
    </tableColumn>
    <tableColumn id="12" name="Mensal" dataDxfId="20">
      <calculatedColumnFormula>IFERROR(Tabela29[[#This Row],[Bruto BRL]]*30,"-")</calculatedColumnFormula>
    </tableColumn>
    <tableColumn id="13" name="Anual" dataDxfId="19">
      <calculatedColumnFormula>IFERROR(Tabela29[Mensal]*12,"-")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7" name="Tabela28" displayName="Tabela28" ref="A33:N39" totalsRowShown="0" headerRowDxfId="18" dataDxfId="17">
  <autoFilter ref="A33:N39"/>
  <tableColumns count="14">
    <tableColumn id="1" name="Data " dataDxfId="16"/>
    <tableColumn id="2" name="Mês" dataDxfId="15"/>
    <tableColumn id="14" name="Ano" dataDxfId="14"/>
    <tableColumn id="3" name="Tipo" dataDxfId="13"/>
    <tableColumn id="4" name="Anterior" dataDxfId="12"/>
    <tableColumn id="5" name="Posterior" dataDxfId="11"/>
    <tableColumn id="6" name="Variação" dataDxfId="10">
      <calculatedColumnFormula>IF(Tabela28[[#This Row],[Tipo]]="Mining",IFERROR(F34-E34,"-"),"")</calculatedColumnFormula>
    </tableColumn>
    <tableColumn id="7" name="USD" dataDxfId="9">
      <calculatedColumnFormula>VLOOKUP(Tabela28[[Data ]],Tabela25[],2)*Tabela28[Posterior]</calculatedColumnFormula>
    </tableColumn>
    <tableColumn id="8" name="BRL" dataDxfId="8">
      <calculatedColumnFormula>VLOOKUP(Tabela28[[Data ]],Tabela25[],4)*Tabela28[Posterior]</calculatedColumnFormula>
    </tableColumn>
    <tableColumn id="9" name="Bruto BRL" dataDxfId="7">
      <calculatedColumnFormula>IFERROR(VLOOKUP(Tabela28[[Data ]],Tabela25[],4)*Tabela28[Variação],"-")</calculatedColumnFormula>
    </tableColumn>
    <tableColumn id="10" name="Bruto USD" dataDxfId="6">
      <calculatedColumnFormula>IFERROR(VLOOKUP(Tabela28[[Data ]],Tabela25[],2)*Tabela28[Variação],"-")</calculatedColumnFormula>
    </tableColumn>
    <tableColumn id="11" name="porcentagem" dataDxfId="5">
      <calculatedColumnFormula>IFERROR(Tabela28[Variação]/Tabela28[Anterior],"-")</calculatedColumnFormula>
    </tableColumn>
    <tableColumn id="12" name="Mensal" dataDxfId="4">
      <calculatedColumnFormula>IF(Tabela28[[#This Row],[Tipo]]="Mining",IFERROR(Tabela28[[#This Row],[Bruto BRL]]*30,"-"),"")</calculatedColumnFormula>
    </tableColumn>
    <tableColumn id="13" name="Anual" dataDxfId="3">
      <calculatedColumnFormula>IFERROR(Tabela28[Mensal]*12,"-")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10" workbookViewId="0">
      <selection activeCell="G47" sqref="G47"/>
    </sheetView>
  </sheetViews>
  <sheetFormatPr defaultRowHeight="15" x14ac:dyDescent="0.25"/>
  <cols>
    <col min="1" max="1" width="13" style="6" customWidth="1"/>
    <col min="2" max="2" width="9.42578125" style="6" bestFit="1" customWidth="1"/>
    <col min="3" max="3" width="9.42578125" style="6" customWidth="1"/>
    <col min="4" max="4" width="9.42578125" style="6" bestFit="1" customWidth="1"/>
    <col min="5" max="6" width="18" style="136" bestFit="1" customWidth="1"/>
    <col min="7" max="7" width="18.5703125" style="136" bestFit="1" customWidth="1"/>
    <col min="8" max="8" width="9.28515625" style="4" bestFit="1" customWidth="1"/>
    <col min="9" max="9" width="11.28515625" style="5" bestFit="1" customWidth="1"/>
    <col min="10" max="10" width="14" style="5" bestFit="1" customWidth="1"/>
    <col min="11" max="11" width="14.5703125" style="4" bestFit="1" customWidth="1"/>
    <col min="12" max="12" width="17.28515625" style="3" bestFit="1" customWidth="1"/>
    <col min="13" max="13" width="12.140625" style="5" bestFit="1" customWidth="1"/>
    <col min="14" max="14" width="11.28515625" style="5" bestFit="1" customWidth="1"/>
    <col min="16" max="18" width="17.85546875" bestFit="1" customWidth="1"/>
    <col min="20" max="21" width="17.85546875" bestFit="1" customWidth="1"/>
    <col min="22" max="22" width="17.85546875" style="48" bestFit="1" customWidth="1"/>
    <col min="23" max="23" width="17.85546875" bestFit="1" customWidth="1"/>
  </cols>
  <sheetData>
    <row r="1" spans="2:18" ht="20.25" thickBot="1" x14ac:dyDescent="0.35">
      <c r="J1" s="187" t="s">
        <v>57</v>
      </c>
      <c r="K1" s="188"/>
      <c r="L1" s="126">
        <v>2018</v>
      </c>
    </row>
    <row r="2" spans="2:18" x14ac:dyDescent="0.25">
      <c r="J2" s="93" t="s">
        <v>79</v>
      </c>
      <c r="K2" s="94" t="str">
        <f>IF((SUMIFS(Tabela28[Bruto USD],Tabela28[Mês],Plan4!A1,Tabela28[Ano],L$1))=0,"SR",SUMIFS(Tabela28[Bruto USD],Tabela28[Mês],Plan4!A1,Tabela28[Ano],L$1))</f>
        <v>SR</v>
      </c>
      <c r="L2" s="95" t="str">
        <f>IF((SUMIFS(Tabela28[Bruto BRL],Tabela28[Mês],Plan4!A1,Tabela28[Ano],L$1))=0,"SR",SUMIFS(Tabela28[Bruto BRL],Tabela28[Mês],Plan4!A1,Tabela28[Ano],L$1))</f>
        <v>SR</v>
      </c>
    </row>
    <row r="3" spans="2:18" x14ac:dyDescent="0.25">
      <c r="J3" s="127" t="s">
        <v>80</v>
      </c>
      <c r="K3" s="128" t="str">
        <f>IF((SUMIFS(Tabela28[Bruto USD],Tabela28[Mês],Plan4!A2,Tabela28[Ano],L$1))=0,"SR",SUMIFS(Tabela28[Bruto USD],Tabela28[Mês],Plan4!A2,Tabela28[Ano],L$1))</f>
        <v>SR</v>
      </c>
      <c r="L3" s="129" t="str">
        <f>IF((SUMIFS(Tabela28[Bruto BRL],Tabela28[Mês],Plan4!A2,Tabela28[Ano],L$1))=0,"SR",SUMIFS(Tabela28[Bruto BRL],Tabela28[Mês],Plan4!A2,Tabela28[Ano],L$1))</f>
        <v>SR</v>
      </c>
    </row>
    <row r="4" spans="2:18" ht="15.75" customHeight="1" thickBot="1" x14ac:dyDescent="0.3">
      <c r="B4" s="211">
        <v>5.0000000000000001E-3</v>
      </c>
      <c r="C4" s="211"/>
      <c r="D4" s="209" t="s">
        <v>83</v>
      </c>
      <c r="E4" s="209"/>
      <c r="F4" s="189">
        <f ca="1">TODAY()+(B4-INDEX(Tabela28[Posterior],MATCH(9.99999999999999+307,Tabela28[Posterior])))/R8</f>
        <v>43242.645976584281</v>
      </c>
      <c r="G4" s="189"/>
      <c r="H4" s="189"/>
      <c r="J4" s="21" t="s">
        <v>81</v>
      </c>
      <c r="K4" s="47" t="str">
        <f>IF((SUMIFS(Tabela28[Bruto USD],Tabela28[Mês],Plan4!A3,Tabela28[Ano],L$1))=0,"SR",SUMIFS(Tabela28[Bruto USD],Tabela28[Mês],Plan4!A3,Tabela28[Ano],L$1))</f>
        <v>SR</v>
      </c>
      <c r="L4" s="92" t="str">
        <f>IF((SUMIFS(Tabela28[Bruto BRL],Tabela28[Mês],Plan4!A3,Tabela28[Ano],L$1))=0,"SR",SUMIFS(Tabela28[Bruto BRL],Tabela28[Mês],Plan4!A3,Tabela28[Ano],L$1))</f>
        <v>SR</v>
      </c>
    </row>
    <row r="5" spans="2:18" ht="16.5" customHeight="1" thickTop="1" thickBot="1" x14ac:dyDescent="0.3">
      <c r="B5" s="212"/>
      <c r="C5" s="212"/>
      <c r="D5" s="210"/>
      <c r="E5" s="210"/>
      <c r="F5" s="189"/>
      <c r="G5" s="189"/>
      <c r="H5" s="189"/>
      <c r="J5" s="127" t="s">
        <v>28</v>
      </c>
      <c r="K5" s="128" t="str">
        <f>IF((SUMIFS(Tabela28[Bruto USD],Tabela28[Mês],Plan4!A4,Tabela28[Ano],L$1))=0,"SR",SUMIFS(Tabela28[Bruto USD],Tabela28[Mês],Plan4!A4,Tabela28[Ano],L$1))</f>
        <v>SR</v>
      </c>
      <c r="L5" s="129" t="str">
        <f>IF((SUMIFS(Tabela28[Bruto BRL],Tabela28[Mês],Plan4!A4,Tabela28[Ano],L$1))=0,"SR",SUMIFS(Tabela28[Bruto BRL],Tabela28[Mês],Plan4!A4,Tabela28[Ano],L$1))</f>
        <v>SR</v>
      </c>
    </row>
    <row r="6" spans="2:18" ht="16.5" thickTop="1" thickBot="1" x14ac:dyDescent="0.3">
      <c r="B6" s="207" t="s">
        <v>76</v>
      </c>
      <c r="C6" s="207"/>
      <c r="D6" s="207"/>
      <c r="E6" s="207"/>
      <c r="F6" s="224">
        <f>B4-INDEX(Tabela28[Posterior],MATCH(9.99999999999999+307,Tabela28[Posterior]))</f>
        <v>5.0000000000000001E-3</v>
      </c>
      <c r="G6" s="224"/>
      <c r="H6" s="224"/>
      <c r="J6" s="21" t="s">
        <v>29</v>
      </c>
      <c r="K6" s="47">
        <f>IF((SUMIFS(Tabela28[Bruto USD],Tabela28[Mês],Plan4!A5,Tabela28[Ano],L$1))=0,"SR",SUMIFS(Tabela28[Bruto USD],Tabela28[Mês],Plan4!A5,Tabela28[Ano],L$1))</f>
        <v>46.134235216</v>
      </c>
      <c r="L6" s="92">
        <f>IF((SUMIFS(Tabela28[Bruto BRL],Tabela28[Mês],Plan4!A5,Tabela28[Ano],L$1))=0,"SR",SUMIFS(Tabela28[Bruto BRL],Tabela28[Mês],Plan4!A5,Tabela28[Ano],L$1))</f>
        <v>172.30245380000002</v>
      </c>
      <c r="P6" s="175" t="s">
        <v>47</v>
      </c>
      <c r="Q6" s="214"/>
      <c r="R6" s="176"/>
    </row>
    <row r="7" spans="2:18" ht="16.5" thickTop="1" thickBot="1" x14ac:dyDescent="0.3">
      <c r="B7" s="207"/>
      <c r="C7" s="207"/>
      <c r="D7" s="207"/>
      <c r="E7" s="207"/>
      <c r="F7" s="224"/>
      <c r="G7" s="224"/>
      <c r="H7" s="224"/>
      <c r="J7" s="127" t="s">
        <v>30</v>
      </c>
      <c r="K7" s="128" t="str">
        <f>IF((SUMIFS(Tabela28[Bruto USD],Tabela28[Mês],Plan4!A6,Tabela28[Ano],L$1))=0,"SR",SUMIFS(Tabela28[Bruto USD],Tabela28[Mês],Plan4!A6,Tabela28[Ano],L$1))</f>
        <v>SR</v>
      </c>
      <c r="L7" s="129" t="str">
        <f>IF((SUMIFS(Tabela28[Bruto BRL],Tabela28[Mês],Plan4!A6,Tabela28[Ano],L$1))=0,"SR",SUMIFS(Tabela28[Bruto BRL],Tabela28[Mês],Plan4!A6,Tabela28[Ano],L$1))</f>
        <v>SR</v>
      </c>
      <c r="P7" s="85" t="s">
        <v>26</v>
      </c>
      <c r="Q7" s="119" t="s">
        <v>27</v>
      </c>
      <c r="R7" s="120" t="s">
        <v>75</v>
      </c>
    </row>
    <row r="8" spans="2:18" ht="16.5" thickTop="1" thickBot="1" x14ac:dyDescent="0.3">
      <c r="B8" s="189" t="s">
        <v>62</v>
      </c>
      <c r="C8" s="189"/>
      <c r="D8" s="189"/>
      <c r="E8" s="189"/>
      <c r="F8" s="191">
        <f>INDEX(Tabela28[BRL],MATCH(9.99999999999999+307,Tabela28[BRL]))</f>
        <v>0</v>
      </c>
      <c r="G8" s="191"/>
      <c r="H8" s="191"/>
      <c r="J8" s="21" t="s">
        <v>31</v>
      </c>
      <c r="K8" s="47" t="str">
        <f>IF((SUMIFS(Tabela28[Bruto USD],Tabela28[Mês],Plan4!A7,Tabela28[Ano],L$1))=0,"SR",SUMIFS(Tabela28[Bruto USD],Tabela28[Mês],Plan4!A7,Tabela28[Ano],L$1))</f>
        <v>SR</v>
      </c>
      <c r="L8" s="92" t="str">
        <f>IF((SUMIFS(Tabela28[Bruto BRL],Tabela28[Mês],Plan4!A7,Tabela28[Ano],L$1))=0,"SR",SUMIFS(Tabela28[Bruto BRL],Tabela28[Mês],Plan4!A7,Tabela28[Ano],L$1))</f>
        <v>SR</v>
      </c>
      <c r="P8" s="122">
        <f>SUM(Tabela28[porcentagem])/COUNT(Tabela28[porcentagem])</f>
        <v>1.080740102835114</v>
      </c>
      <c r="Q8" s="123">
        <f>SUM(Tabela28[Bruto BRL])/COUNT(Tabela28[Bruto BRL])</f>
        <v>34.460490760000006</v>
      </c>
      <c r="R8" s="140">
        <f>SUM(Tabela28[Variação])/COUNT(Tabela28[Variação])</f>
        <v>1.0762E-3</v>
      </c>
    </row>
    <row r="9" spans="2:18" ht="16.5" thickTop="1" thickBot="1" x14ac:dyDescent="0.3">
      <c r="B9" s="189"/>
      <c r="C9" s="189"/>
      <c r="D9" s="189"/>
      <c r="E9" s="189"/>
      <c r="F9" s="191"/>
      <c r="G9" s="191"/>
      <c r="H9" s="191"/>
      <c r="J9" s="127" t="s">
        <v>32</v>
      </c>
      <c r="K9" s="128" t="str">
        <f>IF((SUMIFS(Tabela28[Bruto USD],Tabela28[Mês],Plan4!A8,Tabela28[Ano],L$1))=0,"SR",SUMIFS(Tabela28[Bruto USD],Tabela28[Mês],Plan4!A8,Tabela28[Ano],L$1))</f>
        <v>SR</v>
      </c>
      <c r="L9" s="129" t="str">
        <f>IF((SUMIFS(Tabela28[Bruto BRL],Tabela28[Mês],Plan4!A8,Tabela28[Ano],L$1))=0,"SR",SUMIFS(Tabela28[Bruto BRL],Tabela28[Mês],Plan4!A8,Tabela28[Ano],L$1))</f>
        <v>SR</v>
      </c>
      <c r="P9" s="220" t="s">
        <v>1</v>
      </c>
      <c r="Q9" s="221"/>
      <c r="R9" s="48"/>
    </row>
    <row r="10" spans="2:18" ht="15.75" thickTop="1" x14ac:dyDescent="0.25">
      <c r="J10" s="21" t="s">
        <v>33</v>
      </c>
      <c r="K10" s="47" t="str">
        <f>IF((SUMIFS(Tabela28[Bruto USD],Tabela28[Mês],Plan4!A9,Tabela28[Ano],L$1))=0,"SR",SUMIFS(Tabela28[Bruto USD],Tabela28[Mês],Plan4!A9,Tabela28[Ano],L$1))</f>
        <v>SR</v>
      </c>
      <c r="L10" s="92" t="str">
        <f>IF((SUMIFS(Tabela28[Bruto BRL],Tabela28[Mês],Plan4!A9,Tabela28[Ano],L$1))=0,"SR",SUMIFS(Tabela28[Bruto BRL],Tabela28[Mês],Plan4!A9,Tabela28[Ano],L$1))</f>
        <v>SR</v>
      </c>
      <c r="P10" s="124" t="s">
        <v>54</v>
      </c>
      <c r="Q10" s="125" t="s">
        <v>55</v>
      </c>
      <c r="R10" s="48"/>
    </row>
    <row r="11" spans="2:18" x14ac:dyDescent="0.25">
      <c r="J11" s="127" t="s">
        <v>34</v>
      </c>
      <c r="K11" s="128" t="str">
        <f>IF((SUMIFS(Tabela28[Bruto USD],Tabela28[Mês],Plan4!A10,Tabela28[Ano],L$1))=0,"SR",SUMIFS(Tabela28[Bruto USD],Tabela28[Mês],Plan4!A10,Tabela28[Ano],L$1))</f>
        <v>SR</v>
      </c>
      <c r="L11" s="129" t="str">
        <f>IF((SUMIFS(Tabela28[Bruto BRL],Tabela28[Mês],Plan4!A10,Tabela28[Ano],L$1))=0,"SR",SUMIFS(Tabela28[Bruto BRL],Tabela28[Mês],Plan4!A10,Tabela28[Ano],L$1))</f>
        <v>SR</v>
      </c>
      <c r="P11" s="142">
        <f>LARGE(Tabela28[Variação],1)</f>
        <v>1.5115300000000001E-3</v>
      </c>
      <c r="Q11" s="141">
        <f>SMALL(Tabela28[Variação],1)</f>
        <v>4.7074999999999998E-4</v>
      </c>
      <c r="R11" s="48"/>
    </row>
    <row r="12" spans="2:18" x14ac:dyDescent="0.25">
      <c r="J12" s="21" t="s">
        <v>35</v>
      </c>
      <c r="K12" s="47" t="str">
        <f>IF((SUMIFS(Tabela28[Bruto USD],Tabela28[Mês],Plan4!A11,Tabela28[Ano],L$1))=0,"SR",SUMIFS(Tabela28[Bruto USD],Tabela28[Mês],Plan4!A11,Tabela28[Ano],L$1))</f>
        <v>SR</v>
      </c>
      <c r="L12" s="92" t="str">
        <f>IF((SUMIFS(Tabela28[Bruto BRL],Tabela28[Mês],Plan4!A11,Tabela28[Ano],L$1))=0,"SR",SUMIFS(Tabela28[Bruto BRL],Tabela28[Mês],Plan4!A11,Tabela28[Ano],L$1))</f>
        <v>SR</v>
      </c>
      <c r="P12" s="83">
        <f>LARGE(Tabela28[Bruto USD],1)</f>
        <v>13.008378333000001</v>
      </c>
      <c r="Q12" s="87">
        <f>SMALL(Tabela28[Bruto USD],1)</f>
        <v>4.415635</v>
      </c>
      <c r="R12" s="48"/>
    </row>
    <row r="13" spans="2:18" ht="15.75" thickBot="1" x14ac:dyDescent="0.3">
      <c r="J13" s="127" t="s">
        <v>36</v>
      </c>
      <c r="K13" s="128" t="str">
        <f>IF((SUMIFS(Tabela28[Bruto USD],Tabela28[Mês],Plan4!A12,Tabela28[Ano],L$1))=0,"SR",SUMIFS(Tabela28[Bruto USD],Tabela28[Mês],Plan4!A12,Tabela28[Ano],L$1))</f>
        <v>SR</v>
      </c>
      <c r="L13" s="129" t="str">
        <f>IF((SUMIFS(Tabela28[Bruto BRL],Tabela28[Mês],Plan4!A12,Tabela28[Ano],L$1))=0,"SR",SUMIFS(Tabela28[Bruto BRL],Tabela28[Mês],Plan4!A12,Tabela28[Ano],L$1))</f>
        <v>SR</v>
      </c>
      <c r="P13" s="84">
        <f>LARGE(Tabela28[Bruto BRL],1)</f>
        <v>48.972060470000002</v>
      </c>
      <c r="Q13" s="86">
        <f>SMALL(Tabela28[Bruto BRL],1)</f>
        <v>16.00502925</v>
      </c>
      <c r="R13" s="48"/>
    </row>
    <row r="14" spans="2:18" ht="15.75" thickBot="1" x14ac:dyDescent="0.3">
      <c r="J14" s="96" t="s">
        <v>59</v>
      </c>
      <c r="K14" s="97">
        <f>SUM(K6:K13)</f>
        <v>46.134235216</v>
      </c>
      <c r="L14" s="133">
        <f>SUM(L6:L13)</f>
        <v>172.30245380000002</v>
      </c>
    </row>
    <row r="32" spans="1:14" ht="20.25" thickBot="1" x14ac:dyDescent="0.35">
      <c r="A32" s="8"/>
      <c r="B32" s="12"/>
      <c r="C32" s="12"/>
      <c r="E32" s="222" t="s">
        <v>8</v>
      </c>
      <c r="F32" s="223"/>
      <c r="H32" s="193" t="s">
        <v>9</v>
      </c>
      <c r="I32" s="194"/>
      <c r="J32" s="179" t="s">
        <v>58</v>
      </c>
      <c r="K32" s="180"/>
      <c r="L32" s="180"/>
      <c r="M32" s="177" t="s">
        <v>11</v>
      </c>
      <c r="N32" s="178"/>
    </row>
    <row r="33" spans="1:14" ht="15.75" thickTop="1" x14ac:dyDescent="0.25">
      <c r="A33" s="24" t="s">
        <v>45</v>
      </c>
      <c r="B33" s="17" t="s">
        <v>37</v>
      </c>
      <c r="C33" s="17" t="s">
        <v>77</v>
      </c>
      <c r="D33" s="2" t="s">
        <v>0</v>
      </c>
      <c r="E33" s="137" t="s">
        <v>12</v>
      </c>
      <c r="F33" s="138" t="s">
        <v>13</v>
      </c>
      <c r="G33" s="139" t="s">
        <v>1</v>
      </c>
      <c r="H33" s="50" t="s">
        <v>14</v>
      </c>
      <c r="I33" s="51" t="s">
        <v>15</v>
      </c>
      <c r="J33" s="52" t="s">
        <v>16</v>
      </c>
      <c r="K33" s="53" t="s">
        <v>17</v>
      </c>
      <c r="L33" s="31" t="s">
        <v>39</v>
      </c>
      <c r="M33" s="52" t="s">
        <v>18</v>
      </c>
      <c r="N33" s="51" t="s">
        <v>19</v>
      </c>
    </row>
    <row r="34" spans="1:14" x14ac:dyDescent="0.25">
      <c r="A34" s="8">
        <v>43230</v>
      </c>
      <c r="B34" s="6">
        <v>5</v>
      </c>
      <c r="C34" s="6">
        <v>2018</v>
      </c>
      <c r="D34" s="6" t="s">
        <v>46</v>
      </c>
      <c r="E34" s="136">
        <v>0</v>
      </c>
      <c r="F34" s="136">
        <v>4.7074999999999998E-4</v>
      </c>
      <c r="G34" s="136">
        <f>IF(Tabela28[[#This Row],[Tipo]]="Mining",IFERROR(F34-E34,"-"),"")</f>
        <v>4.7074999999999998E-4</v>
      </c>
      <c r="H34" s="4">
        <f>VLOOKUP(Tabela28[[Data ]],Tabela25[],2)*Tabela28[Posterior]</f>
        <v>4.415635</v>
      </c>
      <c r="I34" s="5">
        <f>VLOOKUP(Tabela28[[Data ]],Tabela25[],4)*Tabela28[Posterior]</f>
        <v>16.00502925</v>
      </c>
      <c r="J34" s="5">
        <f>IFERROR(VLOOKUP(Tabela28[[Data ]],Tabela25[],4)*Tabela28[Variação],"-")</f>
        <v>16.00502925</v>
      </c>
      <c r="K34" s="4">
        <f>IFERROR(VLOOKUP(Tabela28[[Data ]],Tabela25[],2)*Tabela28[Variação],"-")</f>
        <v>4.415635</v>
      </c>
      <c r="L34" s="3" t="str">
        <f>IFERROR(Tabela28[Variação]/Tabela28[Anterior],"-")</f>
        <v>-</v>
      </c>
      <c r="M34" s="5">
        <f>IF(Tabela28[[#This Row],[Tipo]]="Mining",IFERROR(Tabela28[[#This Row],[Bruto BRL]]*30,"-"),"")</f>
        <v>480.15087749999998</v>
      </c>
      <c r="N34" s="5">
        <f>IFERROR(Tabela28[Mensal]*12,"-")</f>
        <v>5761.8105299999997</v>
      </c>
    </row>
    <row r="35" spans="1:14" x14ac:dyDescent="0.25">
      <c r="A35" s="8">
        <v>43231</v>
      </c>
      <c r="B35" s="6">
        <v>5</v>
      </c>
      <c r="C35" s="6">
        <v>2018</v>
      </c>
      <c r="D35" s="6" t="s">
        <v>46</v>
      </c>
      <c r="E35" s="136">
        <f>F34</f>
        <v>4.7074999999999998E-4</v>
      </c>
      <c r="F35" s="136">
        <v>1.87188E-3</v>
      </c>
      <c r="G35" s="136">
        <f>IF(Tabela28[[#This Row],[Tipo]]="Mining",IFERROR(F35-E35,"-"),"")</f>
        <v>1.40113E-3</v>
      </c>
      <c r="H35" s="4">
        <f>VLOOKUP(Tabela28[[Data ]],Tabela25[],2)*Tabela28[Posterior]</f>
        <v>15.741949236000002</v>
      </c>
      <c r="I35" s="5">
        <f>VLOOKUP(Tabela28[[Data ]],Tabela25[],4)*Tabela28[Posterior]</f>
        <v>58.23231492</v>
      </c>
      <c r="J35" s="5">
        <f>IFERROR(VLOOKUP(Tabela28[[Data ]],Tabela25[],4)*Tabela28[Variação],"-")</f>
        <v>43.587753169999999</v>
      </c>
      <c r="K35" s="4">
        <f>IFERROR(VLOOKUP(Tabela28[[Data ]],Tabela25[],2)*Tabela28[Variação],"-")</f>
        <v>11.783082961000002</v>
      </c>
      <c r="L35" s="3">
        <f>IFERROR(Tabela28[Variação]/Tabela28[Anterior],"-")</f>
        <v>2.9763781200212427</v>
      </c>
      <c r="M35" s="5">
        <f>IF(Tabela28[[#This Row],[Tipo]]="Mining",IFERROR(Tabela28[[#This Row],[Bruto BRL]]*30,"-"),"")</f>
        <v>1307.6325950999999</v>
      </c>
      <c r="N35" s="5">
        <f>IFERROR(Tabela28[Mensal]*12,"-")</f>
        <v>15691.591141199999</v>
      </c>
    </row>
    <row r="36" spans="1:14" x14ac:dyDescent="0.25">
      <c r="A36" s="8">
        <v>43232</v>
      </c>
      <c r="B36" s="6">
        <v>5</v>
      </c>
      <c r="C36" s="6">
        <v>2018</v>
      </c>
      <c r="D36" s="6" t="s">
        <v>46</v>
      </c>
      <c r="E36" s="136">
        <f>F35</f>
        <v>1.87188E-3</v>
      </c>
      <c r="F36" s="136">
        <v>3.3434699999999999E-3</v>
      </c>
      <c r="G36" s="136">
        <f>IF(Tabela28[[#This Row],[Tipo]]="Mining",IFERROR(F36-E36,"-"),"")</f>
        <v>1.4715899999999998E-3</v>
      </c>
      <c r="H36" s="4">
        <f>VLOOKUP(Tabela28[[Data ]],Tabela25[],2)*Tabela28[Posterior]</f>
        <v>28.004236025999997</v>
      </c>
      <c r="I36" s="5">
        <f>VLOOKUP(Tabela28[[Data ]],Tabela25[],4)*Tabela28[Posterior]</f>
        <v>106.15182903</v>
      </c>
      <c r="J36" s="5">
        <f>IFERROR(VLOOKUP(Tabela28[[Data ]],Tabela25[],4)*Tabela28[Variação],"-")</f>
        <v>46.721510909999992</v>
      </c>
      <c r="K36" s="4">
        <f>IFERROR(VLOOKUP(Tabela28[[Data ]],Tabela25[],2)*Tabela28[Variação],"-")</f>
        <v>12.325743521999998</v>
      </c>
      <c r="L36" s="3">
        <f>IFERROR(Tabela28[Variação]/Tabela28[Anterior],"-")</f>
        <v>0.78615616385665743</v>
      </c>
      <c r="M36" s="5">
        <f>IF(Tabela28[[#This Row],[Tipo]]="Mining",IFERROR(Tabela28[[#This Row],[Bruto BRL]]*30,"-"),"")</f>
        <v>1401.6453272999997</v>
      </c>
      <c r="N36" s="5">
        <f>IFERROR(Tabela28[Mensal]*12,"-")</f>
        <v>16819.743927599997</v>
      </c>
    </row>
    <row r="37" spans="1:14" ht="15.75" customHeight="1" x14ac:dyDescent="0.25">
      <c r="A37" s="8">
        <v>43233</v>
      </c>
      <c r="B37" s="6">
        <v>5</v>
      </c>
      <c r="C37" s="6">
        <v>2018</v>
      </c>
      <c r="D37" s="6" t="s">
        <v>46</v>
      </c>
      <c r="E37" s="136">
        <f>F36</f>
        <v>3.3434699999999999E-3</v>
      </c>
      <c r="F37" s="136">
        <v>4.8549999999999999E-3</v>
      </c>
      <c r="G37" s="136">
        <f>IF(Tabela28[[#This Row],[Tipo]]="Mining",IFERROR(F37-E37,"-"),"")</f>
        <v>1.5115300000000001E-3</v>
      </c>
      <c r="H37" s="4">
        <f>VLOOKUP(Tabela28[[Data ]],Tabela25[],2)*Tabela28[Posterior]</f>
        <v>41.782615499999999</v>
      </c>
      <c r="I37" s="67">
        <f>VLOOKUP(Tabela28[[Data ]],Tabela25[],4)*Tabela28[Posterior]</f>
        <v>157.297145</v>
      </c>
      <c r="J37" s="5">
        <f>IFERROR(VLOOKUP(Tabela28[[Data ]],Tabela25[],4)*Tabela28[Variação],"-")</f>
        <v>48.972060470000002</v>
      </c>
      <c r="K37" s="4">
        <f>IFERROR(VLOOKUP(Tabela28[[Data ]],Tabela25[],2)*Tabela28[Variação],"-")</f>
        <v>13.008378333000001</v>
      </c>
      <c r="L37" s="3">
        <f>IFERROR(Tabela28[Variação]/Tabela28[Anterior],"-")</f>
        <v>0.45208421191157694</v>
      </c>
      <c r="M37" s="5">
        <f>IF(Tabela28[[#This Row],[Tipo]]="Mining",IFERROR(Tabela28[[#This Row],[Bruto BRL]]*30,"-"),"")</f>
        <v>1469.1618141000001</v>
      </c>
      <c r="N37" s="5">
        <f>IFERROR(Tabela28[Mensal]*12,"-")</f>
        <v>17629.941769200002</v>
      </c>
    </row>
    <row r="38" spans="1:14" ht="16.5" customHeight="1" x14ac:dyDescent="0.25">
      <c r="A38" s="8">
        <v>43234</v>
      </c>
      <c r="B38" s="6">
        <v>5</v>
      </c>
      <c r="C38" s="6">
        <v>2018</v>
      </c>
      <c r="D38" s="6" t="s">
        <v>46</v>
      </c>
      <c r="E38" s="136">
        <f>F37</f>
        <v>4.8549999999999999E-3</v>
      </c>
      <c r="F38" s="136">
        <v>5.3810000000000004E-3</v>
      </c>
      <c r="G38" s="136">
        <f>IF(Tabela28[[#This Row],[Tipo]]="Mining",IFERROR(F38-E38,"-"),"")</f>
        <v>5.2600000000000043E-4</v>
      </c>
      <c r="H38" s="4">
        <f>VLOOKUP(Tabela28[[Data ]],Tabela25[],2)*Tabela28[Posterior]</f>
        <v>47.072449900000002</v>
      </c>
      <c r="I38" s="5">
        <f>VLOOKUP(Tabela28[[Data ]],Tabela25[],4)*Tabela28[Posterior]</f>
        <v>174.07535000000001</v>
      </c>
      <c r="J38" s="5">
        <f>IFERROR(VLOOKUP(Tabela28[[Data ]],Tabela25[],4)*Tabela28[Variação],"-")</f>
        <v>17.016100000000012</v>
      </c>
      <c r="K38" s="4">
        <f>IFERROR(VLOOKUP(Tabela28[[Data ]],Tabela25[],2)*Tabela28[Variação],"-")</f>
        <v>4.6013954000000039</v>
      </c>
      <c r="L38" s="3">
        <f>IFERROR(Tabela28[Variação]/Tabela28[Anterior],"-")</f>
        <v>0.10834191555097847</v>
      </c>
      <c r="M38" s="5">
        <f>IF(Tabela28[[#This Row],[Tipo]]="Mining",IFERROR(Tabela28[[#This Row],[Bruto BRL]]*30,"-"),"")</f>
        <v>510.48300000000035</v>
      </c>
      <c r="N38" s="5">
        <f>IFERROR(Tabela28[Mensal]*12,"-")</f>
        <v>6125.7960000000039</v>
      </c>
    </row>
    <row r="39" spans="1:14" x14ac:dyDescent="0.25">
      <c r="A39" s="8">
        <v>43234</v>
      </c>
      <c r="B39" s="6">
        <v>5</v>
      </c>
      <c r="C39" s="6">
        <v>2018</v>
      </c>
      <c r="D39" t="s">
        <v>98</v>
      </c>
      <c r="E39" s="136">
        <f>F38</f>
        <v>5.3810000000000004E-3</v>
      </c>
      <c r="F39" s="136">
        <v>0</v>
      </c>
      <c r="G39" s="136" t="str">
        <f>IF(Tabela28[[#This Row],[Tipo]]="Mining",IFERROR(F39-E39,"-"),"")</f>
        <v/>
      </c>
      <c r="H39" s="4">
        <f>VLOOKUP(Tabela28[[Data ]],Tabela25[],2)*Tabela28[Posterior]</f>
        <v>0</v>
      </c>
      <c r="I39" s="5">
        <f>VLOOKUP(Tabela28[[Data ]],Tabela25[],4)*Tabela28[Posterior]</f>
        <v>0</v>
      </c>
      <c r="J39" s="5" t="str">
        <f>IFERROR(VLOOKUP(Tabela28[[Data ]],Tabela25[],4)*Tabela28[Variação],"-")</f>
        <v>-</v>
      </c>
      <c r="K39" s="4" t="str">
        <f>IFERROR(VLOOKUP(Tabela28[[Data ]],Tabela25[],2)*Tabela28[Variação],"-")</f>
        <v>-</v>
      </c>
      <c r="L39" s="3" t="str">
        <f>IFERROR(Tabela28[Variação]/Tabela28[Anterior],"-")</f>
        <v>-</v>
      </c>
      <c r="M39" s="5" t="str">
        <f>IF(Tabela28[[#This Row],[Tipo]]="Mining",IFERROR(Tabela28[[#This Row],[Bruto BRL]]*30,"-"),"")</f>
        <v/>
      </c>
      <c r="N39" s="5" t="str">
        <f>IFERROR(Tabela28[Mensal]*12,"-")</f>
        <v>-</v>
      </c>
    </row>
  </sheetData>
  <mergeCells count="14">
    <mergeCell ref="J1:K1"/>
    <mergeCell ref="B4:C5"/>
    <mergeCell ref="D4:E5"/>
    <mergeCell ref="F4:H5"/>
    <mergeCell ref="B6:E7"/>
    <mergeCell ref="F6:H7"/>
    <mergeCell ref="P6:R6"/>
    <mergeCell ref="B8:E9"/>
    <mergeCell ref="F8:H9"/>
    <mergeCell ref="P9:Q9"/>
    <mergeCell ref="E32:F32"/>
    <mergeCell ref="H32:I32"/>
    <mergeCell ref="J32:L32"/>
    <mergeCell ref="M32:N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Plan4!$B:$B</xm:f>
          </x14:formula1>
          <xm:sqref>L1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R1" sqref="R1:U2"/>
    </sheetView>
  </sheetViews>
  <sheetFormatPr defaultRowHeight="15" x14ac:dyDescent="0.25"/>
  <cols>
    <col min="1" max="16384" width="9.140625" style="56"/>
  </cols>
  <sheetData>
    <row r="1" spans="14:21" ht="15.75" thickBot="1" x14ac:dyDescent="0.3">
      <c r="N1" s="173" t="s">
        <v>63</v>
      </c>
      <c r="O1" s="173"/>
      <c r="P1" s="173"/>
      <c r="Q1" s="173"/>
      <c r="R1" s="172">
        <f>SUM(Atlas!A4,AWS!K1,'Type 1'!F8,Easy!L22)</f>
        <v>198.95675201794091</v>
      </c>
      <c r="S1" s="172"/>
      <c r="T1" s="172"/>
      <c r="U1" s="172"/>
    </row>
    <row r="2" spans="14:21" ht="16.5" thickTop="1" thickBot="1" x14ac:dyDescent="0.3">
      <c r="N2" s="173"/>
      <c r="O2" s="173"/>
      <c r="P2" s="173"/>
      <c r="Q2" s="173"/>
      <c r="R2" s="172"/>
      <c r="S2" s="172"/>
      <c r="T2" s="172"/>
      <c r="U2" s="172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I29" sqref="I29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74" t="s">
        <v>7</v>
      </c>
      <c r="C1" s="174"/>
      <c r="D1" s="174"/>
      <c r="E1" s="174"/>
      <c r="F1" s="174"/>
      <c r="G1" s="174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96</v>
      </c>
      <c r="D2" s="5" t="s">
        <v>21</v>
      </c>
      <c r="E2" s="5" t="s">
        <v>94</v>
      </c>
      <c r="F2" s="5" t="s">
        <v>22</v>
      </c>
      <c r="G2" s="5" t="s">
        <v>95</v>
      </c>
      <c r="H2" s="6"/>
      <c r="I2" s="167" t="s">
        <v>22</v>
      </c>
      <c r="J2" s="38">
        <f>AVERAGE(Tabela25[USD/BRL])</f>
        <v>3.5660565217391307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67" t="s">
        <v>21</v>
      </c>
      <c r="J3" s="168">
        <f>AVERAGE(Tabela25[BTC/BRL])</f>
        <v>32625.31739130435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66" t="s">
        <v>20</v>
      </c>
      <c r="J4" s="169">
        <f>AVERAGE(Tabela25[BTC/USD])</f>
        <v>9016.0695652173908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54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67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67" t="s">
        <v>21</v>
      </c>
      <c r="J8" s="168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66" t="s">
        <v>20</v>
      </c>
      <c r="J9" s="169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55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67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67" t="s">
        <v>21</v>
      </c>
      <c r="J13" s="168">
        <f>SMALL(Tabela25[BTC/BRL],1)</f>
        <v>30383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66" t="s">
        <v>20</v>
      </c>
      <c r="J14" s="169">
        <f>SMALL(Tabela25[BTC/USD],1)</f>
        <v>8001.4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6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H27" s="145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H28" s="143"/>
      <c r="I28" s="143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2:28" x14ac:dyDescent="0.25"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T42"/>
  <sheetViews>
    <sheetView topLeftCell="A7" workbookViewId="0">
      <selection activeCell="W30" sqref="W30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1" width="9.85546875" bestFit="1" customWidth="1"/>
    <col min="12" max="12" width="11.28515625" bestFit="1" customWidth="1"/>
    <col min="13" max="13" width="9.42578125" bestFit="1" customWidth="1"/>
    <col min="14" max="14" width="10" bestFit="1" customWidth="1"/>
    <col min="15" max="15" width="13.140625" bestFit="1" customWidth="1"/>
    <col min="16" max="16" width="15.140625" bestFit="1" customWidth="1"/>
    <col min="18" max="18" width="9.140625" customWidth="1"/>
    <col min="19" max="20" width="9.7109375" customWidth="1"/>
  </cols>
  <sheetData>
    <row r="18" spans="8:20" ht="15.75" thickBot="1" x14ac:dyDescent="0.3"/>
    <row r="19" spans="8:20" x14ac:dyDescent="0.25">
      <c r="H19" s="6" t="s">
        <v>5</v>
      </c>
      <c r="I19" s="5" t="s">
        <v>69</v>
      </c>
      <c r="J19" s="5" t="s">
        <v>70</v>
      </c>
      <c r="K19" s="5" t="s">
        <v>71</v>
      </c>
      <c r="L19" s="5" t="s">
        <v>88</v>
      </c>
      <c r="M19" s="5" t="s">
        <v>72</v>
      </c>
      <c r="N19" s="5" t="s">
        <v>59</v>
      </c>
      <c r="O19" s="5" t="s">
        <v>1</v>
      </c>
      <c r="P19" s="3" t="s">
        <v>64</v>
      </c>
      <c r="S19" s="175" t="s">
        <v>44</v>
      </c>
      <c r="T19" s="176"/>
    </row>
    <row r="20" spans="8:20" x14ac:dyDescent="0.25">
      <c r="H20" s="113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2.9954874782608698</v>
      </c>
      <c r="K20" s="5">
        <f>IFERROR(VLOOKUP(Tabela6[[#This Row],[Data]],Tabela2[[Data ]:[BRL]],9),0)</f>
        <v>0</v>
      </c>
      <c r="L20" s="5">
        <f>IFERROR(VLOOKUP(Tabela6[[#This Row],[Data]],Tabela29[[Data ]:[BRL]],9),0)</f>
        <v>0</v>
      </c>
      <c r="M20" s="5">
        <f>VLOOKUP(Tabela6[[#This Row],[Data]]+1,Tabela16[#All],3)</f>
        <v>55.6</v>
      </c>
      <c r="N20" s="5">
        <f>SUM(Tabela6[[#This Row],[Atlas]:[Easy]])</f>
        <v>58.595487478260871</v>
      </c>
      <c r="O20" s="5">
        <f>IFERROR(Tabela6[[#This Row],[Total]]-N19,0)</f>
        <v>0</v>
      </c>
      <c r="P20" s="3">
        <f>Tabela6[[#This Row],[Variação]]/Tabela6[[#This Row],[Total]]</f>
        <v>0</v>
      </c>
      <c r="S20" s="85" t="s">
        <v>26</v>
      </c>
      <c r="T20" s="134" t="s">
        <v>27</v>
      </c>
    </row>
    <row r="21" spans="8:20" ht="15.75" thickBot="1" x14ac:dyDescent="0.3">
      <c r="H21" s="113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IFERROR(VLOOKUP(Tabela6[[#This Row],[Data]],Tabela2[[Data ]:[BRL]],9),0)</f>
        <v>0</v>
      </c>
      <c r="L21" s="5">
        <f>IFERROR(VLOOKUP(Tabela6[[#This Row],[Data]],Tabela29[[Data ]:[BRL]],9),0)</f>
        <v>0</v>
      </c>
      <c r="M21" s="5">
        <f>VLOOKUP(Tabela6[[#This Row],[Data]]+1,Tabela16[#All],3)</f>
        <v>55.6</v>
      </c>
      <c r="N21" s="5">
        <f>SUM(Tabela6[[#This Row],[Atlas]:[Easy]])</f>
        <v>126.75359499999999</v>
      </c>
      <c r="O21" s="5">
        <f>IFERROR(Tabela6[[#This Row],[Total]]-N20,0)</f>
        <v>68.158107521739112</v>
      </c>
      <c r="P21" s="3">
        <f>Tabela6[[#This Row],[Variação]]/Tabela6[[#This Row],[Total]]</f>
        <v>0.53772129714931649</v>
      </c>
      <c r="S21" s="135">
        <f>AVERAGE(Tabela6[Variação %])</f>
        <v>4.5579323112333668E-2</v>
      </c>
      <c r="T21" s="86">
        <f>AVERAGE(Tabela6[Variação])</f>
        <v>6.7492393185334416</v>
      </c>
    </row>
    <row r="22" spans="8:20" x14ac:dyDescent="0.25">
      <c r="H22" s="113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IFERROR(VLOOKUP(Tabela6[[#This Row],[Data]],Tabela2[[Data ]:[BRL]],9),0)</f>
        <v>0</v>
      </c>
      <c r="L22" s="5">
        <f>IFERROR(VLOOKUP(Tabela6[[#This Row],[Data]],Tabela29[[Data ]:[BRL]],9),0)</f>
        <v>0</v>
      </c>
      <c r="M22" s="5">
        <f>VLOOKUP(Tabela6[[#This Row],[Data]]+1,Tabela16[#All],3)</f>
        <v>55.6</v>
      </c>
      <c r="N22" s="5">
        <f>SUM(Tabela6[[#This Row],[Atlas]:[Easy]])</f>
        <v>129.94021313600001</v>
      </c>
      <c r="O22" s="5">
        <f>IFERROR(Tabela6[[#This Row],[Total]]-N21,0)</f>
        <v>3.1866181360000212</v>
      </c>
      <c r="P22" s="3">
        <f>Tabela6[[#This Row],[Variação]]/Tabela6[[#This Row],[Total]]</f>
        <v>2.4523725635764458E-2</v>
      </c>
    </row>
    <row r="23" spans="8:20" x14ac:dyDescent="0.25">
      <c r="H23" s="113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IFERROR(VLOOKUP(Tabela6[[#This Row],[Data]],Tabela2[[Data ]:[BRL]],9),0)</f>
        <v>0</v>
      </c>
      <c r="L23" s="5">
        <f>IFERROR(VLOOKUP(Tabela6[[#This Row],[Data]],Tabela29[[Data ]:[BRL]],9),0)</f>
        <v>0</v>
      </c>
      <c r="M23" s="5">
        <f>VLOOKUP(Tabela6[[#This Row],[Data]]+1,Tabela16[#All],3)</f>
        <v>55.6</v>
      </c>
      <c r="N23" s="5">
        <f>SUM(Tabela6[[#This Row],[Atlas]:[Easy]])</f>
        <v>134.154078704</v>
      </c>
      <c r="O23" s="5">
        <f>IFERROR(Tabela6[[#This Row],[Total]]-N22,0)</f>
        <v>4.2138655679999886</v>
      </c>
      <c r="P23" s="3">
        <f>Tabela6[[#This Row],[Variação]]/Tabela6[[#This Row],[Total]]</f>
        <v>3.1410640725262916E-2</v>
      </c>
    </row>
    <row r="24" spans="8:20" x14ac:dyDescent="0.25">
      <c r="H24" s="113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IFERROR(VLOOKUP(Tabela6[[#This Row],[Data]],Tabela2[[Data ]:[BRL]],9),0)</f>
        <v>0</v>
      </c>
      <c r="L24" s="5">
        <f>IFERROR(VLOOKUP(Tabela6[[#This Row],[Data]],Tabela29[[Data ]:[BRL]],9),0)</f>
        <v>0</v>
      </c>
      <c r="M24" s="5">
        <f>VLOOKUP(Tabela6[[#This Row],[Data]]+1,Tabela16[#All],3)</f>
        <v>55.6</v>
      </c>
      <c r="N24" s="5">
        <f>SUM(Tabela6[[#This Row],[Atlas]:[Easy]])</f>
        <v>135.41257100000001</v>
      </c>
      <c r="O24" s="5">
        <f>IFERROR(Tabela6[[#This Row],[Total]]-N23,0)</f>
        <v>1.2584922960000142</v>
      </c>
      <c r="P24" s="3">
        <f>Tabela6[[#This Row],[Variação]]/Tabela6[[#This Row],[Total]]</f>
        <v>9.2937626595983765E-3</v>
      </c>
    </row>
    <row r="25" spans="8:20" x14ac:dyDescent="0.25">
      <c r="H25" s="113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IFERROR(VLOOKUP(Tabela6[[#This Row],[Data]],Tabela2[[Data ]:[BRL]],9),0)</f>
        <v>0</v>
      </c>
      <c r="L25" s="5">
        <f>IFERROR(VLOOKUP(Tabela6[[#This Row],[Data]],Tabela29[[Data ]:[BRL]],9),0)</f>
        <v>0</v>
      </c>
      <c r="M25" s="5">
        <f>VLOOKUP(Tabela6[[#This Row],[Data]]+1,Tabela16[#All],3)</f>
        <v>55.64</v>
      </c>
      <c r="N25" s="5">
        <f>SUM(Tabela6[[#This Row],[Atlas]:[Easy]])</f>
        <v>138.62240055000001</v>
      </c>
      <c r="O25" s="5">
        <f>IFERROR(Tabela6[[#This Row],[Total]]-N24,0)</f>
        <v>3.2098295499999949</v>
      </c>
      <c r="P25" s="3">
        <f>Tabela6[[#This Row],[Variação]]/Tabela6[[#This Row],[Total]]</f>
        <v>2.3155201015598013E-2</v>
      </c>
    </row>
    <row r="26" spans="8:20" x14ac:dyDescent="0.25">
      <c r="H26" s="113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IFERROR(VLOOKUP(Tabela6[[#This Row],[Data]],Tabela2[[Data ]:[BRL]],9),0)</f>
        <v>3.0632508910178999</v>
      </c>
      <c r="L26" s="5">
        <f>IFERROR(VLOOKUP(Tabela6[[#This Row],[Data]],Tabela29[[Data ]:[BRL]],9),0)</f>
        <v>0</v>
      </c>
      <c r="M26" s="5">
        <f>VLOOKUP(Tabela6[[#This Row],[Data]]+1,Tabela16[#All],3)</f>
        <v>55.64</v>
      </c>
      <c r="N26" s="5">
        <f>SUM(Tabela6[[#This Row],[Atlas]:[Easy]])</f>
        <v>144.3923683910179</v>
      </c>
      <c r="O26" s="5">
        <f>IFERROR(Tabela6[[#This Row],[Total]]-N25,0)</f>
        <v>5.7699678410178876</v>
      </c>
      <c r="P26" s="3">
        <f>Tabela6[[#This Row],[Variação]]/Tabela6[[#This Row],[Total]]</f>
        <v>3.9960337968781567E-2</v>
      </c>
    </row>
    <row r="27" spans="8:20" x14ac:dyDescent="0.25">
      <c r="H27" s="113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IFERROR(VLOOKUP(Tabela6[[#This Row],[Data]],Tabela2[[Data ]:[BRL]],9),0)</f>
        <v>3.8016893223797998</v>
      </c>
      <c r="L27" s="5">
        <f>IFERROR(VLOOKUP(Tabela6[[#This Row],[Data]],Tabela29[[Data ]:[BRL]],9),0)</f>
        <v>0</v>
      </c>
      <c r="M27" s="5">
        <f>VLOOKUP(Tabela6[[#This Row],[Data]]+1,Tabela16[#All],3)</f>
        <v>55.64</v>
      </c>
      <c r="N27" s="5">
        <f>SUM(Tabela6[[#This Row],[Atlas]:[Easy]])</f>
        <v>148.68484032237981</v>
      </c>
      <c r="O27" s="5">
        <f>IFERROR(Tabela6[[#This Row],[Total]]-N26,0)</f>
        <v>4.2924719313619164</v>
      </c>
      <c r="P27" s="3">
        <f>Tabela6[[#This Row],[Variação]]/Tabela6[[#This Row],[Total]]</f>
        <v>2.8869600438450483E-2</v>
      </c>
    </row>
    <row r="28" spans="8:20" x14ac:dyDescent="0.25">
      <c r="H28" s="113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IFERROR(VLOOKUP(Tabela6[[#This Row],[Data]],Tabela2[[Data ]:[BRL]],9),0)</f>
        <v>4.8834005694829195</v>
      </c>
      <c r="L28" s="5">
        <f>IFERROR(VLOOKUP(Tabela6[[#This Row],[Data]],Tabela29[[Data ]:[BRL]],9),0)</f>
        <v>0</v>
      </c>
      <c r="M28" s="5">
        <f>VLOOKUP(Tabela6[[#This Row],[Data]]+1,Tabela16[#All],3)</f>
        <v>55.64</v>
      </c>
      <c r="N28" s="5">
        <f>SUM(Tabela6[[#This Row],[Atlas]:[Easy]])</f>
        <v>154.8538201694829</v>
      </c>
      <c r="O28" s="5">
        <f>IFERROR(Tabela6[[#This Row],[Total]]-N27,0)</f>
        <v>6.1689798471030883</v>
      </c>
      <c r="P28" s="3">
        <f>Tabela6[[#This Row],[Variação]]/Tabela6[[#This Row],[Total]]</f>
        <v>3.9837440499377562E-2</v>
      </c>
    </row>
    <row r="29" spans="8:20" x14ac:dyDescent="0.25">
      <c r="H29" s="113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IFERROR(VLOOKUP(Tabela6[[#This Row],[Data]],Tabela2[[Data ]:[BRL]],9),0)</f>
        <v>7.0087665679790838</v>
      </c>
      <c r="L29" s="5">
        <f>IFERROR(VLOOKUP(Tabela6[[#This Row],[Data]],Tabela29[[Data ]:[BRL]],9),0)</f>
        <v>0</v>
      </c>
      <c r="M29" s="5">
        <f>VLOOKUP(Tabela6[[#This Row],[Data]]+1,Tabela16[#All],3)</f>
        <v>55.64</v>
      </c>
      <c r="N29" s="5">
        <f>SUM(Tabela6[[#This Row],[Atlas]:[Easy]])</f>
        <v>161.72311156797909</v>
      </c>
      <c r="O29" s="5">
        <f>IFERROR(Tabela6[[#This Row],[Total]]-N28,0)</f>
        <v>6.8692913984961876</v>
      </c>
      <c r="P29" s="3">
        <f>Tabela6[[#This Row],[Variação]]/Tabela6[[#This Row],[Total]]</f>
        <v>4.2475632158541131E-2</v>
      </c>
    </row>
    <row r="30" spans="8:20" x14ac:dyDescent="0.25">
      <c r="H30" s="113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IFERROR(VLOOKUP(Tabela6[[#This Row],[Data]],Tabela2[[Data ]:[BRL]],9),0)</f>
        <v>8.1332313493509005</v>
      </c>
      <c r="L30" s="5">
        <f>IFERROR(VLOOKUP(Tabela6[[#This Row],[Data]],Tabela29[[Data ]:[BRL]],9),0)</f>
        <v>0</v>
      </c>
      <c r="M30" s="5">
        <f>VLOOKUP(Tabela6[[#This Row],[Data]]+1,Tabela16[#All],3)</f>
        <v>55.64</v>
      </c>
      <c r="N30" s="5">
        <f>SUM(Tabela6[[#This Row],[Atlas]:[Easy]])</f>
        <v>167.68366134935087</v>
      </c>
      <c r="O30" s="5">
        <f>IFERROR(Tabela6[[#This Row],[Total]]-N29,0)</f>
        <v>5.9605497813717818</v>
      </c>
      <c r="P30" s="3">
        <f>Tabela6[[#This Row],[Variação]]/Tabela6[[#This Row],[Total]]</f>
        <v>3.5546395715642311E-2</v>
      </c>
    </row>
    <row r="31" spans="8:20" x14ac:dyDescent="0.25">
      <c r="H31" s="113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IFERROR(VLOOKUP(Tabela6[[#This Row],[Data]],Tabela2[[Data ]:[BRL]],9),0)</f>
        <v>8.5285204508718007</v>
      </c>
      <c r="L31" s="5">
        <f>IFERROR(VLOOKUP(Tabela6[[#This Row],[Data]],Tabela29[[Data ]:[BRL]],9),0)</f>
        <v>1.3560000000000001</v>
      </c>
      <c r="M31" s="5">
        <f>VLOOKUP(Tabela6[[#This Row],[Data]]+1,Tabela16[#All],3)</f>
        <v>55.64</v>
      </c>
      <c r="N31" s="5">
        <f>SUM(Tabela6[[#This Row],[Atlas]:[Easy]])</f>
        <v>169.9718554508718</v>
      </c>
      <c r="O31" s="5">
        <f>IFERROR(Tabela6[[#This Row],[Total]]-N30,0)</f>
        <v>2.2881941015209293</v>
      </c>
      <c r="P31" s="3">
        <f>Tabela6[[#This Row],[Variação]]/Tabela6[[#This Row],[Total]]</f>
        <v>1.3462194052369468E-2</v>
      </c>
    </row>
    <row r="32" spans="8:20" x14ac:dyDescent="0.25">
      <c r="H32" s="113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IFERROR(VLOOKUP(Tabela6[[#This Row],[Data]],Tabela2[[Data ]:[BRL]],9),0)</f>
        <v>10.353122907710461</v>
      </c>
      <c r="L32" s="5">
        <f>IFERROR(VLOOKUP(Tabela6[[#This Row],[Data]],Tabela29[[Data ]:[BRL]],9),0)</f>
        <v>3.8624172262242</v>
      </c>
      <c r="M32" s="5">
        <f>VLOOKUP(Tabela6[[#This Row],[Data]]+1,Tabela16[#All],3)</f>
        <v>55.64</v>
      </c>
      <c r="N32" s="5">
        <f>SUM(Tabela6[[#This Row],[Atlas]:[Easy]])</f>
        <v>176.58925773393463</v>
      </c>
      <c r="O32" s="5">
        <f>IFERROR(Tabela6[[#This Row],[Total]]-N31,0)</f>
        <v>6.6174022830628303</v>
      </c>
      <c r="P32" s="3">
        <f>Tabela6[[#This Row],[Variação]]/Tabela6[[#This Row],[Total]]</f>
        <v>3.7473413547234047E-2</v>
      </c>
    </row>
    <row r="33" spans="8:16" x14ac:dyDescent="0.25">
      <c r="H33" s="113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IFERROR(VLOOKUP(Tabela6[[#This Row],[Data]],Tabela2[[Data ]:[BRL]],9),0)</f>
        <v>12.065445955716216</v>
      </c>
      <c r="L33" s="5">
        <f>IFERROR(VLOOKUP(Tabela6[[#This Row],[Data]],Tabela29[[Data ]:[BRL]],9),0)</f>
        <v>6.0038004760841108</v>
      </c>
      <c r="M33" s="5">
        <f>VLOOKUP(Tabela6[[#This Row],[Data]]+1,Tabela16[#All],3)</f>
        <v>55.64</v>
      </c>
      <c r="N33" s="5">
        <f>SUM(Tabela6[[#This Row],[Atlas]:[Easy]])</f>
        <v>183.95247862180031</v>
      </c>
      <c r="O33" s="5">
        <f>IFERROR(Tabela6[[#This Row],[Total]]-N32,0)</f>
        <v>7.3632208878656797</v>
      </c>
      <c r="P33" s="3">
        <f>Tabela6[[#This Row],[Variação]]/Tabela6[[#This Row],[Total]]</f>
        <v>4.0027842750649731E-2</v>
      </c>
    </row>
    <row r="34" spans="8:16" x14ac:dyDescent="0.25">
      <c r="H34" s="113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IFERROR(VLOOKUP(Tabela6[[#This Row],[Data]],Tabela2[[Data ]:[BRL]],9),0)</f>
        <v>14.2452996854083</v>
      </c>
      <c r="L34" s="5">
        <f>IFERROR(VLOOKUP(Tabela6[[#This Row],[Data]],Tabela29[[Data ]:[BRL]],9),0)</f>
        <v>8.4520402768687504</v>
      </c>
      <c r="M34" s="5">
        <f>VLOOKUP(Tabela6[[#This Row],[Data]]+1,Tabela16[#All],3)</f>
        <v>55.64</v>
      </c>
      <c r="N34" s="5">
        <f>SUM(Tabela6[[#This Row],[Atlas]:[Easy]])</f>
        <v>192.19720596227705</v>
      </c>
      <c r="O34" s="5">
        <f>IFERROR(Tabela6[[#This Row],[Total]]-N33,0)</f>
        <v>8.2447273404767429</v>
      </c>
      <c r="P34" s="3">
        <f>Tabela6[[#This Row],[Variação]]/Tabela6[[#This Row],[Total]]</f>
        <v>4.2897227871746234E-2</v>
      </c>
    </row>
    <row r="35" spans="8:16" x14ac:dyDescent="0.25">
      <c r="H35" s="113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IFERROR(VLOOKUP(Tabela6[[#This Row],[Data]],Tabela2[[Data ]:[BRL]],9),0)</f>
        <v>16.455972923270686</v>
      </c>
      <c r="L35" s="5">
        <f>IFERROR(VLOOKUP(Tabela6[[#This Row],[Data]],Tabela29[[Data ]:[BRL]],9),0)</f>
        <v>10.56862833925334</v>
      </c>
      <c r="M35" s="5">
        <f>VLOOKUP(Tabela6[[#This Row],[Data]]+1,Tabela16[#All],3)</f>
        <v>55.64</v>
      </c>
      <c r="N35" s="5">
        <f>SUM(Tabela6[[#This Row],[Atlas]:[Easy]])</f>
        <v>199.63625071252403</v>
      </c>
      <c r="O35" s="5">
        <f>IFERROR(Tabela6[[#This Row],[Total]]-N34,0)</f>
        <v>7.4390447502469783</v>
      </c>
      <c r="P35" s="3">
        <f>Tabela6[[#This Row],[Variação]]/Tabela6[[#This Row],[Total]]</f>
        <v>3.7262995691895624E-2</v>
      </c>
    </row>
    <row r="36" spans="8:16" x14ac:dyDescent="0.25">
      <c r="H36" s="113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IFERROR(VLOOKUP(Tabela6[[#This Row],[Data]],Tabela2[[Data ]:[BRL]],9),0)</f>
        <v>17.208236500528514</v>
      </c>
      <c r="L36" s="5">
        <f>IFERROR(VLOOKUP(Tabela6[[#This Row],[Data]],Tabela29[[Data ]:[BRL]],9),0)</f>
        <v>11.57163966047262</v>
      </c>
      <c r="M36" s="5">
        <f>VLOOKUP(Tabela6[[#This Row],[Data]]+1,Tabela16[#All],3)</f>
        <v>55.64</v>
      </c>
      <c r="N36" s="5">
        <f>SUM(Tabela6[[#This Row],[Atlas]:[Easy]])</f>
        <v>199.24206953100111</v>
      </c>
      <c r="O36" s="5">
        <f>IFERROR(Tabela6[[#This Row],[Total]]-N35,0)</f>
        <v>-0.39418118152292436</v>
      </c>
      <c r="P36" s="3">
        <f>Tabela6[[#This Row],[Variação]]/Tabela6[[#This Row],[Total]]</f>
        <v>-1.9784033685797046E-3</v>
      </c>
    </row>
    <row r="37" spans="8:16" x14ac:dyDescent="0.25">
      <c r="H37" s="113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IFERROR(VLOOKUP(Tabela6[[#This Row],[Data]],Tabela2[[Data ]:[BRL]],9),0)</f>
        <v>19.364612728618845</v>
      </c>
      <c r="L37" s="5">
        <f>IFERROR(VLOOKUP(Tabela6[[#This Row],[Data]],Tabela29[[Data ]:[BRL]],9),0)</f>
        <v>13.400841092483724</v>
      </c>
      <c r="M37" s="5">
        <f>VLOOKUP(Tabela6[[#This Row],[Data]]+1,Tabela16[#All],3)</f>
        <v>55.64</v>
      </c>
      <c r="N37" s="5">
        <f>SUM(Tabela6[[#This Row],[Atlas]:[Easy]])</f>
        <v>207.82064944110255</v>
      </c>
      <c r="O37" s="5">
        <f>IFERROR(Tabela6[[#This Row],[Total]]-N36,0)</f>
        <v>8.5785799101014391</v>
      </c>
      <c r="P37" s="3">
        <f>Tabela6[[#This Row],[Variação]]/Tabela6[[#This Row],[Total]]</f>
        <v>4.1278765768329742E-2</v>
      </c>
    </row>
    <row r="38" spans="8:16" x14ac:dyDescent="0.25">
      <c r="H38" s="113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IFERROR(VLOOKUP(Tabela6[[#This Row],[Data]],Tabela2[[Data ]:[BRL]],9),0)</f>
        <v>20.584118541949113</v>
      </c>
      <c r="L38" s="5">
        <f>IFERROR(VLOOKUP(Tabela6[[#This Row],[Data]],Tabela29[[Data ]:[BRL]],9),0)</f>
        <v>14.343057406689805</v>
      </c>
      <c r="M38" s="5">
        <f>VLOOKUP(Tabela6[[#This Row],[Data]]+1,Tabela16[#All],3)</f>
        <v>55.64</v>
      </c>
      <c r="N38" s="5">
        <f>SUM(Tabela6[[#This Row],[Atlas]:[Easy]])</f>
        <v>214.35243000863892</v>
      </c>
      <c r="O38" s="5">
        <f>IFERROR(Tabela6[[#This Row],[Total]]-N37,0)</f>
        <v>6.5317805675363729</v>
      </c>
      <c r="P38" s="3">
        <f>Tabela6[[#This Row],[Variação]]/Tabela6[[#This Row],[Total]]</f>
        <v>3.0472155446397909E-2</v>
      </c>
    </row>
    <row r="39" spans="8:16" x14ac:dyDescent="0.25">
      <c r="H39" s="113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IFERROR(VLOOKUP(Tabela6[[#This Row],[Data]],Tabela2[[Data ]:[BRL]],9),0)</f>
        <v>22.341560295817999</v>
      </c>
      <c r="L39" s="5">
        <f>IFERROR(VLOOKUP(Tabela6[[#This Row],[Data]],Tabela29[[Data ]:[BRL]],9),0)</f>
        <v>15.988288002355301</v>
      </c>
      <c r="M39" s="5">
        <f>VLOOKUP(Tabela6[[#This Row],[Data]]+1,Tabela16[#All],3)</f>
        <v>55.64</v>
      </c>
      <c r="N39" s="5">
        <f>SUM(Tabela6[[#This Row],[Atlas]:[Easy]])</f>
        <v>221.66621729817331</v>
      </c>
      <c r="O39" s="5">
        <f>IFERROR(Tabela6[[#This Row],[Total]]-N38,0)</f>
        <v>7.3137872895343889</v>
      </c>
      <c r="P39" s="3">
        <f>Tabela6[[#This Row],[Variação]]/Tabela6[[#This Row],[Total]]</f>
        <v>3.2994596013231375E-2</v>
      </c>
    </row>
    <row r="40" spans="8:16" x14ac:dyDescent="0.25">
      <c r="H40" s="113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IFERROR(VLOOKUP(Tabela6[[#This Row],[Data]],Tabela2[[Data ]:[BRL]],9),0)</f>
        <v>23.358893971641052</v>
      </c>
      <c r="L40" s="5">
        <f>IFERROR(VLOOKUP(Tabela6[[#This Row],[Data]],Tabela29[[Data ]:[BRL]],9),0)</f>
        <v>16.968129685611199</v>
      </c>
      <c r="M40" s="5">
        <f>VLOOKUP(Tabela6[[#This Row],[Data]]+1,Tabela16[#All],3)</f>
        <v>55.64</v>
      </c>
      <c r="N40" s="5">
        <f>SUM(Tabela6[[#This Row],[Atlas]:[Easy]])</f>
        <v>223.09209615725223</v>
      </c>
      <c r="O40" s="5">
        <f>IFERROR(Tabela6[[#This Row],[Total]]-N39,0)</f>
        <v>1.4258788590789209</v>
      </c>
      <c r="P40" s="3">
        <f>Tabela6[[#This Row],[Variação]]/Tabela6[[#This Row],[Total]]</f>
        <v>6.391436019651065E-3</v>
      </c>
    </row>
    <row r="41" spans="8:16" x14ac:dyDescent="0.25">
      <c r="H41" s="113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IFERROR(VLOOKUP(Tabela6[[#This Row],[Data]],Tabela2[[Data ]:[BRL]],9),0)</f>
        <v>4.1076448746281997</v>
      </c>
      <c r="L41" s="5">
        <f>IFERROR(VLOOKUP(Tabela6[[#This Row],[Data]],Tabela29[[Data ]:[BRL]],9),0)</f>
        <v>17.480337606260001</v>
      </c>
      <c r="M41" s="5">
        <f>VLOOKUP(Tabela6[[#This Row],[Data]]+1,Tabela16[#All],3)</f>
        <v>55.64</v>
      </c>
      <c r="N41" s="5">
        <f>SUM(Tabela6[[#This Row],[Atlas]:[Easy]])</f>
        <v>209.22488988088821</v>
      </c>
      <c r="O41" s="5">
        <f>IFERROR(Tabela6[[#This Row],[Total]]-N40,0)</f>
        <v>-13.867206276364016</v>
      </c>
      <c r="P41" s="3">
        <f>Tabela6[[#This Row],[Variação]]/Tabela6[[#This Row],[Total]]</f>
        <v>-6.6278951248384552E-2</v>
      </c>
    </row>
    <row r="42" spans="8:16" x14ac:dyDescent="0.25">
      <c r="H42" s="113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71.412515999999982</v>
      </c>
      <c r="K42" s="5">
        <f>IFERROR(VLOOKUP(Tabela6[[#This Row],[Data]],Tabela2[[Data ]:[BRL]],9),0)</f>
        <v>7.2119206240490463</v>
      </c>
      <c r="L42" s="5">
        <f>IFERROR(VLOOKUP(Tabela6[[#This Row],[Data]],Tabela29[[Data ]:[BRL]],9),0)</f>
        <v>17.033518200481002</v>
      </c>
      <c r="M42" s="5">
        <f>VLOOKUP(Tabela6[[#This Row],[Data]]+1,Tabela16[#All],3)</f>
        <v>55.64</v>
      </c>
      <c r="N42" s="5">
        <f>SUM(Tabela6[[#This Row],[Atlas]:[Easy]])</f>
        <v>213.82799180453003</v>
      </c>
      <c r="O42" s="5">
        <f>IFERROR(Tabela6[[#This Row],[Total]]-N41,0)</f>
        <v>4.603101923641816</v>
      </c>
      <c r="P42" s="3">
        <f>Tabela6[[#This Row],[Variação]]/Tabela6[[#This Row],[Total]]</f>
        <v>2.1527125072800208E-2</v>
      </c>
    </row>
  </sheetData>
  <mergeCells count="1">
    <mergeCell ref="S19:T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105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110"/>
    </row>
    <row r="2" spans="1:15" x14ac:dyDescent="0.25">
      <c r="O2" s="110"/>
    </row>
    <row r="3" spans="1:15" x14ac:dyDescent="0.25">
      <c r="L3" s="6"/>
      <c r="O3" s="110"/>
    </row>
    <row r="4" spans="1:15" x14ac:dyDescent="0.25">
      <c r="L4" s="6"/>
      <c r="M4" s="6"/>
      <c r="O4" s="110"/>
    </row>
    <row r="5" spans="1:15" x14ac:dyDescent="0.25">
      <c r="L5" s="6"/>
      <c r="M5" s="6"/>
      <c r="O5" s="110"/>
    </row>
    <row r="6" spans="1:15" x14ac:dyDescent="0.25">
      <c r="M6" s="6"/>
      <c r="O6" s="110"/>
    </row>
    <row r="7" spans="1:15" x14ac:dyDescent="0.25">
      <c r="M7" s="6"/>
      <c r="O7" s="110"/>
    </row>
    <row r="8" spans="1:15" x14ac:dyDescent="0.25">
      <c r="M8" s="6"/>
      <c r="N8" s="13"/>
      <c r="O8" s="110"/>
    </row>
    <row r="9" spans="1:15" x14ac:dyDescent="0.25">
      <c r="M9" s="6"/>
      <c r="O9" s="110"/>
    </row>
    <row r="10" spans="1:15" x14ac:dyDescent="0.25">
      <c r="M10" s="6"/>
      <c r="O10" s="110"/>
    </row>
    <row r="11" spans="1:15" x14ac:dyDescent="0.25">
      <c r="O11" s="111"/>
    </row>
    <row r="12" spans="1:15" x14ac:dyDescent="0.25">
      <c r="O12" s="111"/>
    </row>
    <row r="13" spans="1:15" x14ac:dyDescent="0.25">
      <c r="O13" s="111"/>
    </row>
    <row r="14" spans="1:15" ht="15.75" thickBot="1" x14ac:dyDescent="0.3">
      <c r="A14" s="106"/>
      <c r="B14" s="5"/>
      <c r="C14" s="5"/>
      <c r="D14" s="6"/>
      <c r="E14" s="3"/>
      <c r="F14" s="5"/>
      <c r="G14" s="6"/>
      <c r="H14" s="6"/>
      <c r="I14" s="6"/>
      <c r="M14" s="6"/>
      <c r="O14" s="111"/>
    </row>
    <row r="15" spans="1:15" ht="20.25" thickBot="1" x14ac:dyDescent="0.35">
      <c r="A15" s="106"/>
      <c r="B15" s="177" t="s">
        <v>8</v>
      </c>
      <c r="C15" s="178"/>
      <c r="D15" s="179" t="s">
        <v>10</v>
      </c>
      <c r="E15" s="180"/>
      <c r="F15" s="109" t="s">
        <v>11</v>
      </c>
      <c r="G15" s="6"/>
      <c r="I15" s="181" t="s">
        <v>61</v>
      </c>
      <c r="J15" s="182"/>
      <c r="L15" s="73" t="s">
        <v>54</v>
      </c>
      <c r="M15" s="74" t="s">
        <v>55</v>
      </c>
      <c r="O15" s="111"/>
    </row>
    <row r="16" spans="1:15" ht="16.5" thickTop="1" thickBot="1" x14ac:dyDescent="0.3">
      <c r="A16" s="107" t="s">
        <v>45</v>
      </c>
      <c r="B16" s="52" t="s">
        <v>12</v>
      </c>
      <c r="C16" s="51" t="s">
        <v>13</v>
      </c>
      <c r="D16" s="29" t="s">
        <v>60</v>
      </c>
      <c r="E16" s="31" t="s">
        <v>39</v>
      </c>
      <c r="F16" s="51" t="s">
        <v>19</v>
      </c>
      <c r="G16" s="6"/>
      <c r="I16" s="69" t="s">
        <v>26</v>
      </c>
      <c r="J16" s="70" t="s">
        <v>27</v>
      </c>
      <c r="L16" s="100">
        <f>LARGE(Tabela16[[Bruto ]],1)</f>
        <v>0.78999999999999915</v>
      </c>
      <c r="M16" s="72">
        <f>SMALL(Tabela16[[Bruto ]],1)</f>
        <v>3.9999999999999147E-2</v>
      </c>
      <c r="O16" s="111"/>
    </row>
    <row r="17" spans="1:17" ht="15.75" thickBot="1" x14ac:dyDescent="0.3">
      <c r="A17" s="108">
        <v>42644</v>
      </c>
      <c r="B17" s="99">
        <v>0</v>
      </c>
      <c r="C17" s="60">
        <v>47.37</v>
      </c>
      <c r="D17" s="59" t="str">
        <f>IF(Tabela16[[#This Row],[Anterior]]=0,"-",IFERROR(Tabela16[Posterior]-Tabela16[Anterior],"N/A"))</f>
        <v>-</v>
      </c>
      <c r="E17" s="61" t="str">
        <f>IFERROR(Tabela16[[Bruto ]]/Tabela16[Anterior],"N/A")</f>
        <v>N/A</v>
      </c>
      <c r="F17" s="60" t="str">
        <f>IFERROR(Tabela16[[#This Row],[Bruto ]]*12,"N/A")</f>
        <v>N/A</v>
      </c>
      <c r="G17" s="6"/>
      <c r="I17" s="71">
        <f>AVERAGE(Tabela16[porcentagem])</f>
        <v>8.512678640253242E-3</v>
      </c>
      <c r="J17" s="72">
        <f>AVERAGE(Tabela16[[Bruto ]])</f>
        <v>0.43526315789473702</v>
      </c>
      <c r="O17" s="111"/>
    </row>
    <row r="18" spans="1:17" x14ac:dyDescent="0.25">
      <c r="A18" s="108">
        <v>42675</v>
      </c>
      <c r="B18" s="99">
        <f>C17</f>
        <v>47.37</v>
      </c>
      <c r="C18" s="60">
        <v>47.67</v>
      </c>
      <c r="D18" s="59">
        <f>IF(Tabela16[[#This Row],[Anterior]]=0,"-",IFERROR(Tabela16[Posterior]-Tabela16[Anterior],"N/A"))</f>
        <v>0.30000000000000426</v>
      </c>
      <c r="E18" s="61">
        <f>IFERROR(Tabela16[[Bruto ]]/Tabela16[Anterior],"N/A")</f>
        <v>6.3331222292591152E-3</v>
      </c>
      <c r="F18" s="60">
        <f>IFERROR(Tabela16[[#This Row],[Bruto ]]*12,"N/A")</f>
        <v>3.6000000000000512</v>
      </c>
      <c r="G18" s="6"/>
      <c r="O18" s="111"/>
    </row>
    <row r="19" spans="1:17" x14ac:dyDescent="0.25">
      <c r="A19" s="108">
        <v>42705</v>
      </c>
      <c r="B19" s="99">
        <f>C18</f>
        <v>47.67</v>
      </c>
      <c r="C19" s="60">
        <v>48.4</v>
      </c>
      <c r="D19" s="59">
        <f>IF(Tabela16[[#This Row],[Anterior]]=0,"-",IFERROR(Tabela16[Posterior]-Tabela16[Anterior],"N/A"))</f>
        <v>0.72999999999999687</v>
      </c>
      <c r="E19" s="61">
        <f>IFERROR(Tabela16[[Bruto ]]/Tabela16[Anterior],"N/A")</f>
        <v>1.5313614432557097E-2</v>
      </c>
      <c r="F19" s="60">
        <f>IFERROR(Tabela16[[#This Row],[Bruto ]]*12,"N/A")</f>
        <v>8.7599999999999625</v>
      </c>
      <c r="G19" s="6"/>
      <c r="O19" s="111"/>
    </row>
    <row r="20" spans="1:17" s="102" customFormat="1" x14ac:dyDescent="0.25">
      <c r="A20" s="108">
        <v>42736</v>
      </c>
      <c r="B20" s="99">
        <f>C19</f>
        <v>48.4</v>
      </c>
      <c r="C20" s="60">
        <v>49.14</v>
      </c>
      <c r="D20" s="60">
        <f>IF(Tabela16[[#This Row],[Anterior]]=0,"-",IFERROR(Tabela16[Posterior]-Tabela16[Anterior],"N/A"))</f>
        <v>0.74000000000000199</v>
      </c>
      <c r="E20" s="64">
        <f>IFERROR(Tabela16[[Bruto ]]/Tabela16[Anterior],"N/A")</f>
        <v>1.5289256198347149E-2</v>
      </c>
      <c r="F20" s="60">
        <f>IFERROR(Tabela16[[#This Row],[Bruto ]]*12,"N/A")</f>
        <v>8.8800000000000239</v>
      </c>
      <c r="G20" s="101"/>
      <c r="O20" s="112"/>
      <c r="P20"/>
      <c r="Q20"/>
    </row>
    <row r="21" spans="1:17" s="102" customFormat="1" x14ac:dyDescent="0.25">
      <c r="A21" s="108">
        <v>42767</v>
      </c>
      <c r="B21" s="99">
        <f>C20</f>
        <v>49.14</v>
      </c>
      <c r="C21" s="99">
        <v>49.78</v>
      </c>
      <c r="D21" s="103">
        <f>IF(Tabela16[[#This Row],[Anterior]]=0,"-",IFERROR(Tabela16[Posterior]-Tabela16[Anterior],"N/A"))</f>
        <v>0.64000000000000057</v>
      </c>
      <c r="E21" s="104">
        <f>IFERROR(Tabela16[[Bruto ]]/Tabela16[Anterior],"N/A")</f>
        <v>1.3024013024013036E-2</v>
      </c>
      <c r="F21" s="99">
        <f>IFERROR(Tabela16[[#This Row],[Bruto ]]*12,"N/A")</f>
        <v>7.6800000000000068</v>
      </c>
      <c r="G21" s="19"/>
      <c r="O21" s="112"/>
      <c r="P21"/>
      <c r="Q21"/>
    </row>
    <row r="22" spans="1:17" s="102" customFormat="1" ht="15.75" thickBot="1" x14ac:dyDescent="0.3">
      <c r="A22" s="108">
        <v>42795</v>
      </c>
      <c r="B22" s="99">
        <f t="shared" ref="B22:B35" si="0">C21</f>
        <v>49.78</v>
      </c>
      <c r="C22" s="99">
        <v>50.29</v>
      </c>
      <c r="D22" s="103">
        <f>IF(Tabela16[[#This Row],[Anterior]]=0,"-",IFERROR(Tabela16[Posterior]-Tabela16[Anterior],"N/A"))</f>
        <v>0.50999999999999801</v>
      </c>
      <c r="E22" s="104">
        <f>IFERROR(Tabela16[[Bruto ]]/Tabela16[Anterior],"N/A")</f>
        <v>1.0245078344716713E-2</v>
      </c>
      <c r="F22" s="99">
        <f>IFERROR(Tabela16[[#This Row],[Bruto ]]*12,"N/A")</f>
        <v>6.1199999999999761</v>
      </c>
      <c r="I22" s="183" t="s">
        <v>62</v>
      </c>
      <c r="J22" s="183"/>
      <c r="K22" s="183"/>
      <c r="L22" s="184">
        <f>INDEX(Tabela16[Posterior],MATCH(9.99999999999999+307,Tabela16[Posterior]))</f>
        <v>55.64</v>
      </c>
      <c r="M22" s="184"/>
      <c r="O22" s="112"/>
      <c r="P22"/>
      <c r="Q22"/>
    </row>
    <row r="23" spans="1:17" s="102" customFormat="1" ht="16.5" thickTop="1" thickBot="1" x14ac:dyDescent="0.3">
      <c r="A23" s="108">
        <v>42826</v>
      </c>
      <c r="B23" s="99">
        <f t="shared" si="0"/>
        <v>50.29</v>
      </c>
      <c r="C23" s="99">
        <v>50.72</v>
      </c>
      <c r="D23" s="103">
        <f>IF(Tabela16[[#This Row],[Anterior]]=0,"-",IFERROR(Tabela16[Posterior]-Tabela16[Anterior],"N/A"))</f>
        <v>0.42999999999999972</v>
      </c>
      <c r="E23" s="104">
        <f>IFERROR(Tabela16[[Bruto ]]/Tabela16[Anterior],"N/A")</f>
        <v>8.5504076357128603E-3</v>
      </c>
      <c r="F23" s="99">
        <f>IFERROR(Tabela16[[#This Row],[Bruto ]]*12,"N/A")</f>
        <v>5.1599999999999966</v>
      </c>
      <c r="I23" s="183"/>
      <c r="J23" s="183"/>
      <c r="K23" s="183"/>
      <c r="L23" s="184"/>
      <c r="M23" s="184"/>
      <c r="O23" s="112"/>
      <c r="P23"/>
      <c r="Q23"/>
    </row>
    <row r="24" spans="1:17" s="102" customFormat="1" ht="15.75" thickTop="1" x14ac:dyDescent="0.25">
      <c r="A24" s="108">
        <v>42856</v>
      </c>
      <c r="B24" s="99">
        <f t="shared" si="0"/>
        <v>50.72</v>
      </c>
      <c r="C24" s="99">
        <v>51.07</v>
      </c>
      <c r="D24" s="103">
        <f>IF(Tabela16[[#This Row],[Anterior]]=0,"-",IFERROR(Tabela16[Posterior]-Tabela16[Anterior],"N/A"))</f>
        <v>0.35000000000000142</v>
      </c>
      <c r="E24" s="104">
        <f>IFERROR(Tabela16[[Bruto ]]/Tabela16[Anterior],"N/A")</f>
        <v>6.9006309148265266E-3</v>
      </c>
      <c r="F24" s="99">
        <f>IFERROR(Tabela16[[#This Row],[Bruto ]]*12,"N/A")</f>
        <v>4.2000000000000171</v>
      </c>
      <c r="O24" s="112"/>
      <c r="P24"/>
      <c r="Q24"/>
    </row>
    <row r="25" spans="1:17" s="102" customFormat="1" x14ac:dyDescent="0.25">
      <c r="A25" s="108">
        <v>42887</v>
      </c>
      <c r="B25" s="99">
        <f t="shared" si="0"/>
        <v>51.07</v>
      </c>
      <c r="C25" s="99">
        <v>51.59</v>
      </c>
      <c r="D25" s="103">
        <f>IF(Tabela16[[#This Row],[Anterior]]=0,"-",IFERROR(Tabela16[Posterior]-Tabela16[Anterior],"N/A"))</f>
        <v>0.52000000000000313</v>
      </c>
      <c r="E25" s="104">
        <f>IFERROR(Tabela16[[Bruto ]]/Tabela16[Anterior],"N/A")</f>
        <v>1.0182102995888058E-2</v>
      </c>
      <c r="F25" s="99">
        <f>IFERROR(Tabela16[[#This Row],[Bruto ]]*12,"N/A")</f>
        <v>6.2400000000000375</v>
      </c>
      <c r="O25" s="112"/>
      <c r="P25"/>
      <c r="Q25"/>
    </row>
    <row r="26" spans="1:17" s="102" customFormat="1" x14ac:dyDescent="0.25">
      <c r="A26" s="108">
        <v>42917</v>
      </c>
      <c r="B26" s="99">
        <f t="shared" si="0"/>
        <v>51.59</v>
      </c>
      <c r="C26" s="99">
        <v>52.38</v>
      </c>
      <c r="D26" s="103">
        <f>IF(Tabela16[[#This Row],[Anterior]]=0,"-",IFERROR(Tabela16[Posterior]-Tabela16[Anterior],"N/A"))</f>
        <v>0.78999999999999915</v>
      </c>
      <c r="E26" s="104">
        <f>IFERROR(Tabela16[[Bruto ]]/Tabela16[Anterior],"N/A")</f>
        <v>1.5313045163791415E-2</v>
      </c>
      <c r="F26" s="99">
        <f>IFERROR(Tabela16[[#This Row],[Bruto ]]*12,"N/A")</f>
        <v>9.4799999999999898</v>
      </c>
      <c r="O26" s="112"/>
      <c r="P26"/>
      <c r="Q26"/>
    </row>
    <row r="27" spans="1:17" s="102" customFormat="1" x14ac:dyDescent="0.25">
      <c r="A27" s="108">
        <v>42948</v>
      </c>
      <c r="B27" s="99">
        <f t="shared" si="0"/>
        <v>52.38</v>
      </c>
      <c r="C27" s="99">
        <v>52.85</v>
      </c>
      <c r="D27" s="103">
        <f>IF(Tabela16[[#This Row],[Anterior]]=0,"-",IFERROR(Tabela16[Posterior]-Tabela16[Anterior],"N/A"))</f>
        <v>0.46999999999999886</v>
      </c>
      <c r="E27" s="104">
        <f>IFERROR(Tabela16[[Bruto ]]/Tabela16[Anterior],"N/A")</f>
        <v>8.9728904161893632E-3</v>
      </c>
      <c r="F27" s="99">
        <f>IFERROR(Tabela16[[#This Row],[Bruto ]]*12,"N/A")</f>
        <v>5.6399999999999864</v>
      </c>
      <c r="O27" s="112"/>
      <c r="P27"/>
      <c r="Q27"/>
    </row>
    <row r="28" spans="1:17" s="102" customFormat="1" x14ac:dyDescent="0.25">
      <c r="A28" s="108">
        <v>42979</v>
      </c>
      <c r="B28" s="99">
        <f t="shared" si="0"/>
        <v>52.85</v>
      </c>
      <c r="C28" s="99">
        <v>53.32</v>
      </c>
      <c r="D28" s="103">
        <f>IF(Tabela16[[#This Row],[Anterior]]=0,"-",IFERROR(Tabela16[Posterior]-Tabela16[Anterior],"N/A"))</f>
        <v>0.46999999999999886</v>
      </c>
      <c r="E28" s="104">
        <f>IFERROR(Tabela16[[Bruto ]]/Tabela16[Anterior],"N/A")</f>
        <v>8.8930936613055601E-3</v>
      </c>
      <c r="F28" s="99">
        <f>IFERROR(Tabela16[[#This Row],[Bruto ]]*12,"N/A")</f>
        <v>5.6399999999999864</v>
      </c>
      <c r="O28" s="112"/>
      <c r="P28"/>
      <c r="Q28"/>
    </row>
    <row r="29" spans="1:17" s="102" customFormat="1" x14ac:dyDescent="0.25">
      <c r="A29" s="108">
        <v>43009</v>
      </c>
      <c r="B29" s="99">
        <f t="shared" si="0"/>
        <v>53.32</v>
      </c>
      <c r="C29" s="99">
        <v>53.79</v>
      </c>
      <c r="D29" s="103">
        <f>IF(Tabela16[[#This Row],[Anterior]]=0,"-",IFERROR(Tabela16[Posterior]-Tabela16[Anterior],"N/A"))</f>
        <v>0.46999999999999886</v>
      </c>
      <c r="E29" s="104">
        <f>IFERROR(Tabela16[[Bruto ]]/Tabela16[Anterior],"N/A")</f>
        <v>8.8147036759189581E-3</v>
      </c>
      <c r="F29" s="99">
        <f>IFERROR(Tabela16[[#This Row],[Bruto ]]*12,"N/A")</f>
        <v>5.6399999999999864</v>
      </c>
      <c r="O29" s="112"/>
      <c r="P29"/>
      <c r="Q29"/>
    </row>
    <row r="30" spans="1:17" s="102" customFormat="1" x14ac:dyDescent="0.25">
      <c r="A30" s="108">
        <v>43040</v>
      </c>
      <c r="B30" s="99">
        <f t="shared" si="0"/>
        <v>53.79</v>
      </c>
      <c r="C30" s="99">
        <v>54.11</v>
      </c>
      <c r="D30" s="103">
        <f>IF(Tabela16[[#This Row],[Anterior]]=0,"-",IFERROR(Tabela16[Posterior]-Tabela16[Anterior],"N/A"))</f>
        <v>0.32000000000000028</v>
      </c>
      <c r="E30" s="104">
        <f>IFERROR(Tabela16[[Bruto ]]/Tabela16[Anterior],"N/A")</f>
        <v>5.9490611637850951E-3</v>
      </c>
      <c r="F30" s="99">
        <f>IFERROR(Tabela16[[#This Row],[Bruto ]]*12,"N/A")</f>
        <v>3.8400000000000034</v>
      </c>
      <c r="O30" s="112"/>
      <c r="P30"/>
      <c r="Q30"/>
    </row>
    <row r="31" spans="1:17" s="102" customFormat="1" x14ac:dyDescent="0.25">
      <c r="A31" s="108">
        <v>43070</v>
      </c>
      <c r="B31" s="99">
        <f t="shared" si="0"/>
        <v>54.11</v>
      </c>
      <c r="C31" s="99">
        <v>54.46</v>
      </c>
      <c r="D31" s="103">
        <f>IF(Tabela16[[#This Row],[Anterior]]=0,"-",IFERROR(Tabela16[Posterior]-Tabela16[Anterior],"N/A"))</f>
        <v>0.35000000000000142</v>
      </c>
      <c r="E31" s="104">
        <f>IFERROR(Tabela16[[Bruto ]]/Tabela16[Anterior],"N/A")</f>
        <v>6.4683053040103756E-3</v>
      </c>
      <c r="F31" s="99">
        <f>IFERROR(Tabela16[[#This Row],[Bruto ]]*12,"N/A")</f>
        <v>4.2000000000000171</v>
      </c>
      <c r="O31" s="112"/>
      <c r="P31"/>
      <c r="Q31"/>
    </row>
    <row r="32" spans="1:17" s="102" customFormat="1" x14ac:dyDescent="0.25">
      <c r="A32" s="108">
        <v>43101</v>
      </c>
      <c r="B32" s="99">
        <f t="shared" si="0"/>
        <v>54.46</v>
      </c>
      <c r="C32" s="99">
        <v>54.75</v>
      </c>
      <c r="D32" s="103">
        <f>IF(Tabela16[[#This Row],[Anterior]]=0,"-",IFERROR(Tabela16[Posterior]-Tabela16[Anterior],"N/A"))</f>
        <v>0.28999999999999915</v>
      </c>
      <c r="E32" s="104">
        <f>IFERROR(Tabela16[[Bruto ]]/Tabela16[Anterior],"N/A")</f>
        <v>5.3250091810502966E-3</v>
      </c>
      <c r="F32" s="99">
        <f>IFERROR(Tabela16[[#This Row],[Bruto ]]*12,"N/A")</f>
        <v>3.4799999999999898</v>
      </c>
      <c r="O32" s="112"/>
      <c r="P32"/>
      <c r="Q32"/>
    </row>
    <row r="33" spans="1:17" s="102" customFormat="1" x14ac:dyDescent="0.25">
      <c r="A33" s="108">
        <v>43132</v>
      </c>
      <c r="B33" s="99">
        <f t="shared" si="0"/>
        <v>54.75</v>
      </c>
      <c r="C33" s="99">
        <v>55.02</v>
      </c>
      <c r="D33" s="103">
        <f>IF(Tabela16[[#This Row],[Anterior]]=0,"-",IFERROR(Tabela16[Posterior]-Tabela16[Anterior],"N/A"))</f>
        <v>0.27000000000000313</v>
      </c>
      <c r="E33" s="104">
        <f>IFERROR(Tabela16[[Bruto ]]/Tabela16[Anterior],"N/A")</f>
        <v>4.9315068493151256E-3</v>
      </c>
      <c r="F33" s="99">
        <f>IFERROR(Tabela16[[#This Row],[Bruto ]]*12,"N/A")</f>
        <v>3.2400000000000375</v>
      </c>
      <c r="O33" s="112"/>
      <c r="P33"/>
      <c r="Q33"/>
    </row>
    <row r="34" spans="1:17" s="102" customFormat="1" x14ac:dyDescent="0.25">
      <c r="A34" s="108">
        <v>43160</v>
      </c>
      <c r="B34" s="99">
        <f t="shared" si="0"/>
        <v>55.02</v>
      </c>
      <c r="C34" s="99">
        <v>55.38</v>
      </c>
      <c r="D34" s="103">
        <f>IF(Tabela16[[#This Row],[Anterior]]=0,"-",IFERROR(Tabela16[Posterior]-Tabela16[Anterior],"N/A"))</f>
        <v>0.35999999999999943</v>
      </c>
      <c r="E34" s="104">
        <f>IFERROR(Tabela16[[Bruto ]]/Tabela16[Anterior],"N/A")</f>
        <v>6.5430752453653112E-3</v>
      </c>
      <c r="F34" s="99">
        <f>IFERROR(Tabela16[[#This Row],[Bruto ]]*12,"N/A")</f>
        <v>4.3199999999999932</v>
      </c>
      <c r="O34" s="112"/>
      <c r="P34"/>
      <c r="Q34"/>
    </row>
    <row r="35" spans="1:17" s="102" customFormat="1" x14ac:dyDescent="0.25">
      <c r="A35" s="108">
        <v>43191</v>
      </c>
      <c r="B35" s="99">
        <f t="shared" si="0"/>
        <v>55.38</v>
      </c>
      <c r="C35" s="99">
        <v>55.6</v>
      </c>
      <c r="D35" s="103">
        <f>IF(Tabela16[[#This Row],[Anterior]]=0,"-",IFERROR(Tabela16[Posterior]-Tabela16[Anterior],"N/A"))</f>
        <v>0.21999999999999886</v>
      </c>
      <c r="E35" s="104">
        <f>IFERROR(Tabela16[[Bruto ]]/Tabela16[Anterior],"N/A")</f>
        <v>3.9725532683278957E-3</v>
      </c>
      <c r="F35" s="99">
        <f>IFERROR(Tabela16[[#This Row],[Bruto ]]*12,"N/A")</f>
        <v>2.6399999999999864</v>
      </c>
      <c r="O35" s="112"/>
      <c r="P35"/>
      <c r="Q35"/>
    </row>
    <row r="36" spans="1:17" x14ac:dyDescent="0.25">
      <c r="A36" s="114">
        <v>43221</v>
      </c>
      <c r="B36" s="99">
        <f>C35</f>
        <v>55.6</v>
      </c>
      <c r="C36" s="99">
        <v>55.64</v>
      </c>
      <c r="D36" s="103">
        <f>IF(Tabela16[[#This Row],[Anterior]]=0,"-",IFERROR(Tabela16[Posterior]-Tabela16[Anterior],"N/A"))</f>
        <v>3.9999999999999147E-2</v>
      </c>
      <c r="E36" s="104">
        <f>IFERROR(Tabela16[[Bruto ]]/Tabela16[Anterior],"N/A")</f>
        <v>7.194244604316393E-4</v>
      </c>
      <c r="F36" s="99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A22" workbookViewId="0">
      <selection activeCell="L3" sqref="L3"/>
    </sheetView>
  </sheetViews>
  <sheetFormatPr defaultRowHeight="15" x14ac:dyDescent="0.25"/>
  <cols>
    <col min="1" max="1" width="15.85546875" style="8" bestFit="1" customWidth="1"/>
    <col min="2" max="2" width="11.5703125" style="12" bestFit="1" customWidth="1"/>
    <col min="3" max="3" width="11.5703125" style="12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0.710937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5" ht="20.25" thickBot="1" x14ac:dyDescent="0.35">
      <c r="I1" s="187" t="s">
        <v>78</v>
      </c>
      <c r="J1" s="188"/>
      <c r="K1" s="188"/>
      <c r="L1" s="126">
        <v>2018</v>
      </c>
    </row>
    <row r="2" spans="1:25" ht="15.75" thickBot="1" x14ac:dyDescent="0.3">
      <c r="A2" s="189" t="s">
        <v>62</v>
      </c>
      <c r="B2" s="189"/>
      <c r="C2" s="189"/>
      <c r="D2" s="189"/>
      <c r="E2" s="189"/>
      <c r="F2" s="181" t="s">
        <v>47</v>
      </c>
      <c r="G2" s="182"/>
      <c r="I2" s="42" t="s">
        <v>28</v>
      </c>
      <c r="J2" s="43">
        <f>IF((SUMIFS(Tabela1[Bruto USD],Tabela1[Mês],Plan4!A4,Tabela1[Ano],L$1))=0,"SR",SUMIFS(Tabela1[Bruto USD],Tabela1[Mês],Plan4!A4,Tabela1[Ano],L$1))</f>
        <v>0.24225165700000001</v>
      </c>
      <c r="K2" s="44">
        <f>IF((SUMIFS(Tabela1[Bruto BRL],Tabela1[Mês],Plan4!A4,Tabela1[Ano],L$1))=0,"SR",SUMIFS(Tabela1[Bruto BRL],Tabela1[Mês],Plan4!A4,Tabela1[Ano],L$1))</f>
        <v>0.859536144</v>
      </c>
      <c r="L2" s="45">
        <f>IF((SUMIFS(Tabela1[porcentagem],Tabela1[Mês],Plan4!A4,Tabela1[Ano],L$1))=0,"SR",SUMIFS(Tabela1[porcentagem],Tabela1[Mês],Plan4!A4,Tabela1[Ano],L$1))</f>
        <v>1.3004375830757654E-2</v>
      </c>
    </row>
    <row r="3" spans="1:25" ht="16.5" customHeight="1" thickTop="1" thickBot="1" x14ac:dyDescent="0.3">
      <c r="A3" s="189"/>
      <c r="B3" s="189"/>
      <c r="C3" s="189"/>
      <c r="D3" s="189"/>
      <c r="E3" s="189"/>
      <c r="F3" s="69" t="s">
        <v>26</v>
      </c>
      <c r="G3" s="70" t="s">
        <v>27</v>
      </c>
      <c r="I3" s="21" t="s">
        <v>29</v>
      </c>
      <c r="J3" s="47">
        <f>IF((SUMIFS(Tabela1[Bruto USD],Tabela1[Mês],Plan4!A5,Tabela1[Ano],L$1))=0,"SR",SUMIFS(Tabela1[Bruto USD],Tabela1[Mês],Plan4!A5,Tabela1[Ano],L$1))</f>
        <v>0.29207463</v>
      </c>
      <c r="K3" s="38">
        <f>IF((SUMIFS(Tabela1[Bruto BRL],Tabela1[Mês],Plan4!A5,Tabela1[Ano],L$1))=0,"SR",SUMIFS(Tabela1[Bruto BRL],Tabela1[Mês],Plan4!A5,Tabela1[Ano],L$1))</f>
        <v>1.0799428499999999</v>
      </c>
      <c r="L3" s="39">
        <f>IF((SUMIFS(Tabela1[porcentagem],Tabela1[Mês],Plan4!A5,Tabela1[Ano],L$1))=0,"SR",SUMIFS(Tabela1[porcentagem],Tabela1[Mês],Plan4!A5,Tabela1[Ano],L$1))</f>
        <v>1.6483800141582662E-2</v>
      </c>
    </row>
    <row r="4" spans="1:25" ht="16.5" customHeight="1" thickTop="1" thickBot="1" x14ac:dyDescent="0.3">
      <c r="A4" s="190">
        <f>INDEX(Tabela1[BRL],MATCH(9.99999999999999+307,Tabela1[BRL]))</f>
        <v>62.923529499999994</v>
      </c>
      <c r="B4" s="190"/>
      <c r="C4" s="190"/>
      <c r="D4" s="190"/>
      <c r="E4" s="190"/>
      <c r="F4" s="71">
        <f>AVERAGE(Tabela1[porcentagem])</f>
        <v>1.3403716351063782E-3</v>
      </c>
      <c r="G4" s="72">
        <f>AVERAGE(Tabela1[Bruto BRL])</f>
        <v>8.8158136090909098E-2</v>
      </c>
      <c r="I4" s="20" t="s">
        <v>30</v>
      </c>
      <c r="J4" s="35" t="str">
        <f>IF((SUMIFS(Tabela1[Bruto USD],Tabela1[Mês],Plan4!A6,Tabela1[Ano],L$1))=0,"SR",SUMIFS(Tabela1[Bruto USD],Tabela1[Mês],Plan4!A6,Tabela1[Ano],L$1))</f>
        <v>SR</v>
      </c>
      <c r="K4" s="36" t="str">
        <f>IF((SUMIFS(Tabela1[Bruto BRL],Tabela1[Mês],Plan4!A6,Tabela1[Ano],L$1))=0,"SR",SUMIFS(Tabela1[Bruto BRL],Tabela1[Mês],Plan4!A6,Tabela1[Ano],L$1))</f>
        <v>SR</v>
      </c>
      <c r="L4" s="37" t="str">
        <f>IF((SUMIFS(Tabela1[porcentagem],Tabela1[Mês],Plan4!A6,Tabela1[Ano],L$1))=0,"SR",SUMIFS(Tabela1[porcentagem],Tabela1[Mês],Plan4!A6,Tabela1[Ano],L$1))</f>
        <v>SR</v>
      </c>
    </row>
    <row r="5" spans="1:25" ht="20.25" thickBot="1" x14ac:dyDescent="0.35">
      <c r="A5" s="191"/>
      <c r="B5" s="191"/>
      <c r="C5" s="191"/>
      <c r="D5" s="191"/>
      <c r="E5" s="191"/>
      <c r="F5" s="73" t="s">
        <v>54</v>
      </c>
      <c r="G5" s="74" t="s">
        <v>55</v>
      </c>
      <c r="I5" s="21" t="s">
        <v>31</v>
      </c>
      <c r="J5" s="47" t="str">
        <f>IF((SUMIFS(Tabela1[Bruto USD],Tabela1[Mês],Plan4!A7,Tabela1[Ano],L$1))=0,"SR",SUMIFS(Tabela1[Bruto USD],Tabela1[Mês],Plan4!A7,Tabela1[Ano],L$1))</f>
        <v>SR</v>
      </c>
      <c r="K5" s="38" t="str">
        <f>IF((SUMIFS(Tabela1[Bruto BRL],Tabela1[Mês],Plan4!A7,Tabela1[Ano],L$1))=0,"SR",SUMIFS(Tabela1[Bruto BRL],Tabela1[Mês],Plan4!A7,Tabela1[Ano],L$1))</f>
        <v>SR</v>
      </c>
      <c r="L5" s="39" t="str">
        <f>IF((SUMIFS(Tabela1[porcentagem],Tabela1[Mês],Plan4!A7,Tabela1[Ano],L$1))=0,"SR",SUMIFS(Tabela1[porcentagem],Tabela1[Mês],Plan4!A7,Tabela1[Ano],L$1))</f>
        <v>SR</v>
      </c>
      <c r="O5"/>
    </row>
    <row r="6" spans="1:25" ht="16.5" thickTop="1" thickBot="1" x14ac:dyDescent="0.3">
      <c r="A6" s="189" t="s">
        <v>99</v>
      </c>
      <c r="B6" s="189"/>
      <c r="C6" s="189"/>
      <c r="D6" s="189"/>
      <c r="E6" s="189"/>
      <c r="F6" s="75">
        <f>LARGE(Tabela1[Bruto BRL],1)</f>
        <v>0.74479044800000005</v>
      </c>
      <c r="G6" s="76">
        <f>SMALL(Tabela1[Bruto BRL],1)</f>
        <v>1.165356E-2</v>
      </c>
      <c r="I6" s="20" t="s">
        <v>32</v>
      </c>
      <c r="J6" s="35" t="str">
        <f>IF((SUMIFS(Tabela1[Bruto USD],Tabela1[Mês],Plan4!A8,Tabela1[Ano],L$1))=0,"SR",SUMIFS(Tabela1[Bruto USD],Tabela1[Mês],Plan4!A8,Tabela1[Ano],L$1))</f>
        <v>SR</v>
      </c>
      <c r="K6" s="36" t="str">
        <f>IF((SUMIFS(Tabela1[Bruto BRL],Tabela1[Mês],Plan4!A8,Tabela1[Ano],L$1))=0,"SR",SUMIFS(Tabela1[Bruto BRL],Tabela1[Mês],Plan4!A8,Tabela1[Ano],L$1))</f>
        <v>SR</v>
      </c>
      <c r="L6" s="37" t="str">
        <f>IF((SUMIFS(Tabela1[porcentagem],Tabela1[Mês],Plan4!A8,Tabela1[Ano],L$1))=0,"SR",SUMIFS(Tabela1[porcentagem],Tabela1[Mês],Plan4!A8,Tabela1[Ano],L$1))</f>
        <v>SR</v>
      </c>
    </row>
    <row r="7" spans="1:25" ht="16.5" thickTop="1" thickBot="1" x14ac:dyDescent="0.3">
      <c r="A7" s="189"/>
      <c r="B7" s="189"/>
      <c r="C7" s="189"/>
      <c r="D7" s="189"/>
      <c r="E7" s="189"/>
      <c r="F7" s="77">
        <f>LARGE(Tabela1[USD],1)</f>
        <v>20.265003176</v>
      </c>
      <c r="G7" s="78">
        <f>SMALL(Tabela1[USD],1)</f>
        <v>16.467361283999999</v>
      </c>
      <c r="I7" s="21" t="s">
        <v>33</v>
      </c>
      <c r="J7" s="47" t="str">
        <f>IF((SUMIFS(Tabela1[Bruto USD],Tabela1[Mês],Plan4!A9,Tabela1[Ano],L$1))=0,"SR",SUMIFS(Tabela1[Bruto USD],Tabela1[Mês],Plan4!A9,Tabela1[Ano],L$1))</f>
        <v>SR</v>
      </c>
      <c r="K7" s="38" t="str">
        <f>IF((SUMIFS(Tabela1[Bruto BRL],Tabela1[Mês],Plan4!A9,Tabela1[Ano],L$1))=0,"SR",SUMIFS(Tabela1[Bruto BRL],Tabela1[Mês],Plan4!A9,Tabela1[Ano],L$1))</f>
        <v>SR</v>
      </c>
      <c r="L7" s="39" t="str">
        <f>IF((SUMIFS(Tabela1[porcentagem],Tabela1[Mês],Plan4!A9,Tabela1[Ano],L$1))=0,"SR",SUMIFS(Tabela1[porcentagem],Tabela1[Mês],Plan4!A9,Tabela1[Ano],L$1))</f>
        <v>SR</v>
      </c>
    </row>
    <row r="8" spans="1:25" ht="16.5" thickTop="1" thickBot="1" x14ac:dyDescent="0.3">
      <c r="A8" s="189" t="str">
        <f>SUM(Tabela1[Variação])&amp;" BTC"</f>
        <v>0,00005969 BTC</v>
      </c>
      <c r="B8" s="189"/>
      <c r="C8" s="189"/>
      <c r="D8" s="191">
        <f>SUM(Tabela1[Bruto BRL])</f>
        <v>1.9394789940000001</v>
      </c>
      <c r="E8" s="191"/>
      <c r="F8" s="79">
        <f>LARGE(Tabela1[Variação],1)</f>
        <v>2.2520000000000001E-5</v>
      </c>
      <c r="G8" s="80">
        <f>SMALL(Tabela1[Variação],1)</f>
        <v>3.5999999999999999E-7</v>
      </c>
      <c r="I8" s="20" t="s">
        <v>34</v>
      </c>
      <c r="J8" s="35" t="str">
        <f>IF((SUMIFS(Tabela1[Bruto USD],Tabela1[Mês],Plan4!A10,Tabela1[Ano],L$1))=0,"SR",SUMIFS(Tabela1[Bruto USD],Tabela1[Mês],Plan4!A10,Tabela1[Ano],L$1))</f>
        <v>SR</v>
      </c>
      <c r="K8" s="36" t="str">
        <f>IF((SUMIFS(Tabela1[Bruto BRL],Tabela1[Mês],Plan4!A10,Tabela1[Ano],L$1))=0,"SR",SUMIFS(Tabela1[Bruto BRL],Tabela1[Mês],Plan4!A10,Tabela1[Ano],L$1))</f>
        <v>SR</v>
      </c>
      <c r="L8" s="37" t="str">
        <f>IF((SUMIFS(Tabela1[porcentagem],Tabela1[Mês],Plan4!A10,Tabela1[Ano],L$1))=0,"SR",SUMIFS(Tabela1[porcentagem],Tabela1[Mês],Plan4!A10,Tabela1[Ano],L$1))</f>
        <v>SR</v>
      </c>
    </row>
    <row r="9" spans="1:25" ht="16.5" thickTop="1" thickBot="1" x14ac:dyDescent="0.3">
      <c r="A9" s="189"/>
      <c r="B9" s="189"/>
      <c r="C9" s="189"/>
      <c r="D9" s="191"/>
      <c r="E9" s="191"/>
      <c r="I9" s="21" t="s">
        <v>35</v>
      </c>
      <c r="J9" s="47" t="str">
        <f>IF((SUMIFS(Tabela1[Bruto USD],Tabela1[Mês],Plan4!A11,Tabela1[Ano],L$1))=0,"SR",SUMIFS(Tabela1[Bruto USD],Tabela1[Mês],Plan4!A11,Tabela1[Ano],L$1))</f>
        <v>SR</v>
      </c>
      <c r="K9" s="38" t="str">
        <f>IF((SUMIFS(Tabela1[Bruto BRL],Tabela1[Mês],Plan4!A11,Tabela1[Ano],L$1))=0,"SR",SUMIFS(Tabela1[Bruto BRL],Tabela1[Mês],Plan4!A11,Tabela1[Ano],L$1))</f>
        <v>SR</v>
      </c>
      <c r="L9" s="39" t="str">
        <f>IF((SUMIFS(Tabela1[porcentagem],Tabela1[Mês],Plan4!A11,Tabela1[Ano],L$1))=0,"SR",SUMIFS(Tabela1[porcentagem],Tabela1[Mês],Plan4!A11,Tabela1[Ano],L$1))</f>
        <v>SR</v>
      </c>
    </row>
    <row r="10" spans="1:25" ht="16.5" thickTop="1" thickBot="1" x14ac:dyDescent="0.3">
      <c r="I10" s="22" t="s">
        <v>36</v>
      </c>
      <c r="J10" s="46" t="str">
        <f>IF((SUMIFS(Tabela1[Bruto USD],Tabela1[Mês],Plan4!A12,Tabela1[Ano],L$1))=0,"SR",SUMIFS(Tabela1[Bruto USD],Tabela1[Mês],Plan4!A12,Tabela1[Ano],L$1))</f>
        <v>SR</v>
      </c>
      <c r="K10" s="40" t="str">
        <f>IF((SUMIFS(Tabela1[Bruto BRL],Tabela1[Mês],Plan4!A12,Tabela1[Ano],L$1))=0,"SR",SUMIFS(Tabela1[Bruto BRL],Tabela1[Mês],Plan4!A12,Tabela1[Ano],L$1))</f>
        <v>SR</v>
      </c>
      <c r="L10" s="41" t="str">
        <f>IF((SUMIFS(Tabela1[porcentagem],Tabela1[Mês],Plan4!A12,Tabela1[Ano],L$1))=0,"SR",SUMIFS(Tabela1[porcentagem],Tabela1[Mês],Plan4!A12,Tabela1[Ano],L$1))</f>
        <v>SR</v>
      </c>
    </row>
    <row r="13" spans="1:25" x14ac:dyDescent="0.25">
      <c r="U13"/>
      <c r="V13" s="15"/>
    </row>
    <row r="14" spans="1:25" s="1" customFormat="1" x14ac:dyDescent="0.25">
      <c r="A14" s="8"/>
      <c r="B14" s="12"/>
      <c r="C14" s="1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6"/>
      <c r="R14" s="6"/>
      <c r="S14" s="6"/>
      <c r="V14" s="16"/>
      <c r="X14" s="5"/>
      <c r="Y14" s="6"/>
    </row>
    <row r="15" spans="1:25" x14ac:dyDescent="0.25">
      <c r="U15"/>
      <c r="V15" s="15"/>
    </row>
    <row r="16" spans="1:25" x14ac:dyDescent="0.25">
      <c r="S16" s="6"/>
      <c r="U16"/>
      <c r="V16" s="15"/>
    </row>
    <row r="27" spans="1:19" x14ac:dyDescent="0.25">
      <c r="P27"/>
      <c r="Q27" s="6"/>
      <c r="R27" s="6"/>
      <c r="S27" s="6"/>
    </row>
    <row r="28" spans="1:19" ht="20.25" thickBot="1" x14ac:dyDescent="0.35">
      <c r="E28" s="179" t="s">
        <v>8</v>
      </c>
      <c r="F28" s="192"/>
      <c r="H28" s="193" t="s">
        <v>9</v>
      </c>
      <c r="I28" s="194"/>
      <c r="J28" s="179" t="s">
        <v>10</v>
      </c>
      <c r="K28" s="180"/>
      <c r="L28" s="180"/>
      <c r="M28" s="185" t="s">
        <v>11</v>
      </c>
      <c r="N28" s="186"/>
    </row>
    <row r="29" spans="1:19" ht="15.75" thickTop="1" x14ac:dyDescent="0.25">
      <c r="A29" s="24" t="s">
        <v>45</v>
      </c>
      <c r="B29" s="17" t="s">
        <v>37</v>
      </c>
      <c r="C29" s="17" t="s">
        <v>77</v>
      </c>
      <c r="D29" s="2" t="s">
        <v>0</v>
      </c>
      <c r="E29" s="29" t="s">
        <v>12</v>
      </c>
      <c r="F29" s="28" t="s">
        <v>13</v>
      </c>
      <c r="G29" s="2" t="s">
        <v>1</v>
      </c>
      <c r="H29" s="34" t="s">
        <v>14</v>
      </c>
      <c r="I29" s="28" t="s">
        <v>15</v>
      </c>
      <c r="J29" s="29" t="s">
        <v>16</v>
      </c>
      <c r="K29" s="30" t="s">
        <v>17</v>
      </c>
      <c r="L29" s="31" t="s">
        <v>39</v>
      </c>
      <c r="M29" s="33" t="s">
        <v>18</v>
      </c>
      <c r="N29" s="31" t="s">
        <v>19</v>
      </c>
    </row>
    <row r="30" spans="1:19" x14ac:dyDescent="0.25">
      <c r="A30" s="25">
        <v>43216.500694444447</v>
      </c>
      <c r="B30" s="18">
        <v>4</v>
      </c>
      <c r="C30" s="18">
        <v>2018</v>
      </c>
      <c r="D30" s="9" t="s">
        <v>3</v>
      </c>
      <c r="E30" s="63" t="s">
        <v>4</v>
      </c>
      <c r="F30" s="63">
        <v>2E-3</v>
      </c>
      <c r="G30" s="63" t="s">
        <v>4</v>
      </c>
      <c r="H30" s="58">
        <f>Tabela1[[#This Row],[Posterior]]*VLOOKUP(Tabela1[[#This Row],[Data ]],Tabela25[],2)</f>
        <v>18.558599999999998</v>
      </c>
      <c r="I30" s="60">
        <f>Tabela1[[#This Row],[Posterior]]*VLOOKUP(Tabela1[[#This Row],[Data ]],Tabela25[],4)</f>
        <v>65.28</v>
      </c>
      <c r="J30" s="60" t="str">
        <f>IF(Tabela1[[#This Row],[Tipo]]="Depósito (BTC)","N/A",Tabela1[[#This Row],[Variação]]*VLOOKUP(Tabela1[[#This Row],[Data ]],Tabela25[],4))</f>
        <v>N/A</v>
      </c>
      <c r="K30" s="32" t="str">
        <f>IF(Tabela1[[#This Row],[Tipo]]="Depósito (BTC)","N/A",Tabela1[[#This Row],[Variação]]*VLOOKUP(Tabela1[[#This Row],[Data ]],Tabela25[],2))</f>
        <v>N/A</v>
      </c>
      <c r="L30" s="64" t="s">
        <v>6</v>
      </c>
      <c r="M30" s="62" t="s">
        <v>6</v>
      </c>
      <c r="N30" s="62" t="s">
        <v>6</v>
      </c>
    </row>
    <row r="31" spans="1:19" x14ac:dyDescent="0.25">
      <c r="A31" s="26">
        <v>43217.419444444444</v>
      </c>
      <c r="B31" s="18">
        <v>4</v>
      </c>
      <c r="C31" s="18">
        <v>2018</v>
      </c>
      <c r="D31" s="10" t="s">
        <v>2</v>
      </c>
      <c r="E31" s="65">
        <v>2E-3</v>
      </c>
      <c r="F31" s="65">
        <v>2.0014400000000002E-3</v>
      </c>
      <c r="G31" s="65">
        <v>1.44E-6</v>
      </c>
      <c r="H31" s="58">
        <f>Tabela1[[#This Row],[Posterior]]*VLOOKUP(Tabela1[[#This Row],[Data ]],Tabela25[],2)</f>
        <v>18.421854192000001</v>
      </c>
      <c r="I31" s="60">
        <f>Tabela1[[#This Row],[Posterior]]*VLOOKUP(Tabela1[[#This Row],[Data ]],Tabela25[],4)</f>
        <v>65.621013136000002</v>
      </c>
      <c r="J31" s="60">
        <f>IF(Tabela1[[#This Row],[Tipo]]="Depósito (BTC)","N/A",Tabela1[[#This Row],[Variação]]*VLOOKUP(Tabela1[[#This Row],[Data ]],Tabela25[],4))</f>
        <v>4.7213136000000003E-2</v>
      </c>
      <c r="K31" s="32">
        <f>IF(Tabela1[[#This Row],[Tipo]]="Depósito (BTC)","N/A",Tabela1[[#This Row],[Variação]]*VLOOKUP(Tabela1[[#This Row],[Data ]],Tabela25[],2))</f>
        <v>1.3254191999999998E-2</v>
      </c>
      <c r="L31" s="64">
        <f>Tabela1[[#This Row],[Variação]]/Tabela1[[#This Row],[Anterior]]</f>
        <v>7.1999999999999994E-4</v>
      </c>
      <c r="M31" s="62">
        <f>Tabela1[[#This Row],[porcentagem]]*30</f>
        <v>2.1599999999999998E-2</v>
      </c>
      <c r="N31" s="62">
        <f>Tabela1[[#This Row],[Mensal]]*12</f>
        <v>0.25919999999999999</v>
      </c>
    </row>
    <row r="32" spans="1:19" x14ac:dyDescent="0.25">
      <c r="A32" s="8">
        <v>43218.419444444444</v>
      </c>
      <c r="B32" s="18">
        <v>4</v>
      </c>
      <c r="C32" s="18">
        <v>2018</v>
      </c>
      <c r="D32" s="6" t="s">
        <v>2</v>
      </c>
      <c r="E32" s="57">
        <v>2.0014400000000002E-3</v>
      </c>
      <c r="F32" s="57">
        <v>2.02396E-3</v>
      </c>
      <c r="G32" s="66">
        <v>2.2520000000000001E-5</v>
      </c>
      <c r="H32" s="58">
        <f>Tabela1[[#This Row],[Posterior]]*VLOOKUP(Tabela1[[#This Row],[Data ]],Tabela25[],2)</f>
        <v>18.83901968</v>
      </c>
      <c r="I32" s="59">
        <f>Tabela1[[#This Row],[Posterior]]*VLOOKUP(Tabela1[[#This Row],[Data ]],Tabela25[],4)</f>
        <v>66.937214703999999</v>
      </c>
      <c r="J32" s="60">
        <f>IF(Tabela1[[#This Row],[Tipo]]="Depósito (BTC)","N/A",Tabela1[[#This Row],[Variação]]*VLOOKUP(Tabela1[[#This Row],[Data ]],Tabela25[],4))</f>
        <v>0.74479044800000005</v>
      </c>
      <c r="K32" s="32">
        <f>IF(Tabela1[[#This Row],[Tipo]]="Depósito (BTC)","N/A",Tabela1[[#This Row],[Variação]]*VLOOKUP(Tabela1[[#This Row],[Data ]],Tabela25[],2))</f>
        <v>0.20961616000000002</v>
      </c>
      <c r="L32" s="64">
        <f>Tabela1[[#This Row],[Variação]]/Tabela1[[#This Row],[Anterior]]</f>
        <v>1.1251898632984252E-2</v>
      </c>
      <c r="M32" s="62">
        <f>Tabela1[[#This Row],[porcentagem]]*30</f>
        <v>0.33755695898952753</v>
      </c>
      <c r="N32" s="62">
        <f>Tabela1[[#This Row],[Mensal]]*12</f>
        <v>4.0506835078743304</v>
      </c>
    </row>
    <row r="33" spans="1:19" x14ac:dyDescent="0.25">
      <c r="A33" s="8">
        <v>43219.419444444444</v>
      </c>
      <c r="B33" s="18">
        <v>4</v>
      </c>
      <c r="C33" s="18">
        <v>2018</v>
      </c>
      <c r="D33" s="14" t="s">
        <v>2</v>
      </c>
      <c r="E33" s="57">
        <v>2.02396E-3</v>
      </c>
      <c r="F33" s="57">
        <v>2.0256900000000001E-3</v>
      </c>
      <c r="G33" s="57">
        <v>1.73E-6</v>
      </c>
      <c r="H33" s="58">
        <f>Tabela1[[#This Row],[Posterior]]*VLOOKUP(Tabela1[[#This Row],[Data ]],Tabela25[],2)</f>
        <v>18.777538593000003</v>
      </c>
      <c r="I33" s="59">
        <f>Tabela1[[#This Row],[Posterior]]*VLOOKUP(Tabela1[[#This Row],[Data ]],Tabela25[],4)</f>
        <v>65.429787000000005</v>
      </c>
      <c r="J33" s="60">
        <f>IF(Tabela1[[#This Row],[Tipo]]="Depósito (BTC)","N/A",Tabela1[[#This Row],[Variação]]*VLOOKUP(Tabela1[[#This Row],[Data ]],Tabela25[],4))</f>
        <v>5.5878999999999998E-2</v>
      </c>
      <c r="K33" s="32">
        <f>IF(Tabela1[[#This Row],[Tipo]]="Depósito (BTC)","N/A",Tabela1[[#This Row],[Variação]]*VLOOKUP(Tabela1[[#This Row],[Data ]],Tabela25[],2))</f>
        <v>1.6036581000000001E-2</v>
      </c>
      <c r="L33" s="64">
        <f>Tabela1[[#This Row],[Variação]]/Tabela1[[#This Row],[Anterior]]</f>
        <v>8.5475997549358681E-4</v>
      </c>
      <c r="M33" s="62">
        <f>Tabela1[[#This Row],[porcentagem]]*30</f>
        <v>2.5642799264807604E-2</v>
      </c>
      <c r="N33" s="62">
        <f>Tabela1[[#This Row],[Mensal]]*12</f>
        <v>0.30771359117769126</v>
      </c>
    </row>
    <row r="34" spans="1:19" x14ac:dyDescent="0.25">
      <c r="A34" s="8">
        <v>43220.419444444444</v>
      </c>
      <c r="B34" s="12">
        <v>4</v>
      </c>
      <c r="C34" s="18">
        <v>2018</v>
      </c>
      <c r="D34" s="12" t="s">
        <v>2</v>
      </c>
      <c r="E34" s="57">
        <v>2.0256900000000001E-3</v>
      </c>
      <c r="F34" s="57">
        <v>2.0260500000000002E-3</v>
      </c>
      <c r="G34" s="57">
        <v>3.5999999999999999E-7</v>
      </c>
      <c r="H34" s="58">
        <f>Tabela1[[#This Row],[Posterior]]*VLOOKUP(Tabela1[[#This Row],[Data ]],Tabela25[],2)</f>
        <v>18.823827945000001</v>
      </c>
      <c r="I34" s="59">
        <f>Tabela1[[#This Row],[Posterior]]*VLOOKUP(Tabela1[[#This Row],[Data ]],Tabela25[],4)</f>
        <v>65.585264550000005</v>
      </c>
      <c r="J34" s="60">
        <f>IF(Tabela1[[#This Row],[Tipo]]="Depósito (BTC)","N/A",Tabela1[[#This Row],[Variação]]*VLOOKUP(Tabela1[[#This Row],[Data ]],Tabela25[],4))</f>
        <v>1.165356E-2</v>
      </c>
      <c r="K34" s="32">
        <f>IF(Tabela1[[#This Row],[Tipo]]="Depósito (BTC)","N/A",Tabela1[[#This Row],[Variação]]*VLOOKUP(Tabela1[[#This Row],[Data ]],Tabela25[],2))</f>
        <v>3.3447239999999999E-3</v>
      </c>
      <c r="L34" s="64">
        <f>Tabela1[[#This Row],[Variação]]/Tabela1[[#This Row],[Anterior]]</f>
        <v>1.7771722227981576E-4</v>
      </c>
      <c r="M34" s="62">
        <f>Tabela1[[#This Row],[porcentagem]]*30</f>
        <v>5.3315166683944731E-3</v>
      </c>
      <c r="N34" s="62">
        <f>Tabela1[[#This Row],[Mensal]]*12</f>
        <v>6.3978200020733678E-2</v>
      </c>
    </row>
    <row r="35" spans="1:19" x14ac:dyDescent="0.25">
      <c r="A35" s="8">
        <v>43221.419444444444</v>
      </c>
      <c r="B35" s="12">
        <v>5</v>
      </c>
      <c r="C35" s="18">
        <v>2018</v>
      </c>
      <c r="D35" s="12" t="s">
        <v>2</v>
      </c>
      <c r="E35" s="57">
        <v>2.0260500000000002E-3</v>
      </c>
      <c r="F35" s="57">
        <v>2.0270499999999999E-3</v>
      </c>
      <c r="G35" s="57">
        <v>9.9999999999999995E-7</v>
      </c>
      <c r="H35" s="58">
        <f>Tabela1[[#This Row],[Posterior]]*VLOOKUP(Tabela1[[#This Row],[Data ]],Tabela25[],2)</f>
        <v>18.385140794999998</v>
      </c>
      <c r="I35" s="59">
        <f>Tabela1[[#This Row],[Posterior]]*VLOOKUP(Tabela1[[#This Row],[Data ]],Tabela25[],4)</f>
        <v>65.1696575</v>
      </c>
      <c r="J35" s="60">
        <f>IF(Tabela1[[#This Row],[Tipo]]="Depósito (BTC)","N/A",Tabela1[[#This Row],[Variação]]*VLOOKUP(Tabela1[[#This Row],[Data ]],Tabela25[],4))</f>
        <v>3.2149999999999998E-2</v>
      </c>
      <c r="K35" s="32">
        <f>IF(Tabela1[[#This Row],[Tipo]]="Depósito (BTC)","N/A",Tabela1[[#This Row],[Variação]]*VLOOKUP(Tabela1[[#This Row],[Data ]],Tabela25[],2))</f>
        <v>9.0698999999999988E-3</v>
      </c>
      <c r="L35" s="64">
        <f>Tabela1[[#This Row],[Variação]]/Tabela1[[#This Row],[Anterior]]</f>
        <v>4.9357123466844347E-4</v>
      </c>
      <c r="M35" s="62">
        <f>Tabela1[[#This Row],[porcentagem]]*30</f>
        <v>1.4807137040053304E-2</v>
      </c>
      <c r="N35" s="62">
        <f>Tabela1[[#This Row],[Mensal]]*12</f>
        <v>0.17768564448063964</v>
      </c>
    </row>
    <row r="36" spans="1:19" x14ac:dyDescent="0.25">
      <c r="A36" s="8">
        <v>43222.420138888891</v>
      </c>
      <c r="B36" s="12">
        <v>5</v>
      </c>
      <c r="C36" s="18">
        <v>2018</v>
      </c>
      <c r="D36" s="12" t="s">
        <v>2</v>
      </c>
      <c r="E36" s="57">
        <v>2.0270499999999999E-3</v>
      </c>
      <c r="F36" s="57">
        <v>2.0283300000000001E-3</v>
      </c>
      <c r="G36" s="57">
        <v>1.28E-6</v>
      </c>
      <c r="H36" s="58">
        <f>Tabela1[[#This Row],[Posterior]]*VLOOKUP(Tabela1[[#This Row],[Data ]],Tabela25[],2)</f>
        <v>18.554554341000003</v>
      </c>
      <c r="I36" s="59">
        <f>Tabela1[[#This Row],[Posterior]]*VLOOKUP(Tabela1[[#This Row],[Data ]],Tabela25[],4)</f>
        <v>65.515059000000008</v>
      </c>
      <c r="J36" s="60">
        <f>IF(Tabela1[[#This Row],[Tipo]]="Depósito (BTC)","N/A",Tabela1[[#This Row],[Variação]]*VLOOKUP(Tabela1[[#This Row],[Data ]],Tabela25[],4))</f>
        <v>4.1343999999999999E-2</v>
      </c>
      <c r="K36" s="32">
        <f>IF(Tabela1[[#This Row],[Tipo]]="Depósito (BTC)","N/A",Tabela1[[#This Row],[Variação]]*VLOOKUP(Tabela1[[#This Row],[Data ]],Tabela25[],2))</f>
        <v>1.1709056000000001E-2</v>
      </c>
      <c r="L36" s="61">
        <f t="shared" ref="L36:L41" si="0">G36/E36</f>
        <v>6.3145951012555195E-4</v>
      </c>
      <c r="M36" s="62">
        <f t="shared" ref="M36:M41" si="1">L36*30</f>
        <v>1.8943785303766558E-2</v>
      </c>
      <c r="N36" s="62">
        <f t="shared" ref="N36:N41" si="2">M36*12</f>
        <v>0.2273254236451987</v>
      </c>
    </row>
    <row r="37" spans="1:19" x14ac:dyDescent="0.25">
      <c r="A37" s="8">
        <v>43223.419444444444</v>
      </c>
      <c r="B37" s="12">
        <v>5</v>
      </c>
      <c r="C37" s="18">
        <v>2018</v>
      </c>
      <c r="D37" s="12" t="s">
        <v>2</v>
      </c>
      <c r="E37" s="6">
        <v>2.0283300000000001E-3</v>
      </c>
      <c r="F37" s="6">
        <v>2.0288799999999998E-3</v>
      </c>
      <c r="G37" s="6">
        <v>5.5000000000000003E-7</v>
      </c>
      <c r="H37" s="58">
        <f>Tabela1[[#This Row],[Posterior]]*VLOOKUP(Tabela1[[#This Row],[Data ]],Tabela25[],2)</f>
        <v>19.122193999999997</v>
      </c>
      <c r="I37" s="59">
        <f>Tabela1[[#This Row],[Posterior]]*VLOOKUP(Tabela1[[#This Row],[Data ]],Tabela25[],4)</f>
        <v>67.500837599999997</v>
      </c>
      <c r="J37" s="60">
        <f>IF(Tabela1[[#This Row],[Tipo]]="Depósito (BTC)","N/A",Tabela1[[#This Row],[Variação]]*VLOOKUP(Tabela1[[#This Row],[Data ]],Tabela25[],4))</f>
        <v>1.8298500000000002E-2</v>
      </c>
      <c r="K37" s="32">
        <f>IF(Tabela1[[#This Row],[Tipo]]="Depósito (BTC)","N/A",Tabela1[[#This Row],[Variação]]*VLOOKUP(Tabela1[[#This Row],[Data ]],Tabela25[],2))</f>
        <v>5.18375E-3</v>
      </c>
      <c r="L37" s="61">
        <f t="shared" si="0"/>
        <v>2.7115903230736618E-4</v>
      </c>
      <c r="M37" s="62">
        <f t="shared" si="1"/>
        <v>8.134770969220986E-3</v>
      </c>
      <c r="N37" s="62">
        <f t="shared" si="2"/>
        <v>9.7617251630651825E-2</v>
      </c>
    </row>
    <row r="38" spans="1:19" x14ac:dyDescent="0.25">
      <c r="A38" s="8">
        <v>43224.419444444444</v>
      </c>
      <c r="B38" s="12">
        <v>5</v>
      </c>
      <c r="C38" s="18">
        <v>2018</v>
      </c>
      <c r="D38" s="12" t="s">
        <v>2</v>
      </c>
      <c r="E38" s="6">
        <v>2.0288799999999998E-3</v>
      </c>
      <c r="F38" s="6">
        <v>2.0302499999999999E-3</v>
      </c>
      <c r="G38" s="6">
        <v>1.37E-6</v>
      </c>
      <c r="H38" s="88">
        <f>Tabela1[[#This Row],[Posterior]]*VLOOKUP(Tabela1[[#This Row],[Data ]],Tabela25[],2)</f>
        <v>19.81402185</v>
      </c>
      <c r="I38" s="89">
        <f>Tabela1[[#This Row],[Posterior]]*VLOOKUP(Tabela1[[#This Row],[Data ]],Tabela25[],4)</f>
        <v>69.345219</v>
      </c>
      <c r="J38" s="89">
        <f>IF(Tabela1[[#This Row],[Tipo]]="Depósito (BTC)","N/A",Tabela1[[#This Row],[Variação]]*VLOOKUP(Tabela1[[#This Row],[Data ]],Tabela25[],4))</f>
        <v>4.6793719999999997E-2</v>
      </c>
      <c r="K38" s="90">
        <f>IF(Tabela1[[#This Row],[Tipo]]="Depósito (BTC)","N/A",Tabela1[[#This Row],[Variação]]*VLOOKUP(Tabela1[[#This Row],[Data ]],Tabela25[],2))</f>
        <v>1.3370378E-2</v>
      </c>
      <c r="L38" s="91">
        <f t="shared" si="0"/>
        <v>6.7524939868301732E-4</v>
      </c>
      <c r="M38" s="3">
        <f t="shared" si="1"/>
        <v>2.0257481960490521E-2</v>
      </c>
      <c r="N38" s="3">
        <f t="shared" si="2"/>
        <v>0.24308978352588625</v>
      </c>
    </row>
    <row r="39" spans="1:19" x14ac:dyDescent="0.25">
      <c r="A39" s="25">
        <v>43225.419444444444</v>
      </c>
      <c r="B39" s="12">
        <v>5</v>
      </c>
      <c r="C39" s="18">
        <v>2018</v>
      </c>
      <c r="D39" s="9" t="s">
        <v>2</v>
      </c>
      <c r="E39" s="9">
        <v>2.0302499999999999E-3</v>
      </c>
      <c r="F39" s="9">
        <v>2.03162E-3</v>
      </c>
      <c r="G39" s="9">
        <v>1.37E-6</v>
      </c>
      <c r="H39" s="88">
        <f>Tabela1[[#This Row],[Posterior]]*VLOOKUP(Tabela1[[#This Row],[Data ]],Tabela25[],2)</f>
        <v>20.265003176</v>
      </c>
      <c r="I39" s="89">
        <f>Tabela1[[#This Row],[Posterior]]*VLOOKUP(Tabela1[[#This Row],[Data ]],Tabela25[],4)</f>
        <v>71.309861999999995</v>
      </c>
      <c r="J39" s="89">
        <f>IF(Tabela1[[#This Row],[Tipo]]="Depósito (BTC)","N/A",Tabela1[[#This Row],[Variação]]*VLOOKUP(Tabela1[[#This Row],[Data ]],Tabela25[],4))</f>
        <v>4.8086999999999998E-2</v>
      </c>
      <c r="K39" s="90">
        <f>IF(Tabela1[[#This Row],[Tipo]]="Depósito (BTC)","N/A",Tabela1[[#This Row],[Variação]]*VLOOKUP(Tabela1[[#This Row],[Data ]],Tabela25[],2))</f>
        <v>1.3665475999999999E-2</v>
      </c>
      <c r="L39" s="91">
        <f t="shared" si="0"/>
        <v>6.747937446127324E-4</v>
      </c>
      <c r="M39" s="117">
        <f t="shared" si="1"/>
        <v>2.0243812338381972E-2</v>
      </c>
      <c r="N39" s="3">
        <f t="shared" si="2"/>
        <v>0.24292574806058365</v>
      </c>
    </row>
    <row r="40" spans="1:19" x14ac:dyDescent="0.25">
      <c r="A40" s="8">
        <v>43226.419444444444</v>
      </c>
      <c r="B40" s="12">
        <v>5</v>
      </c>
      <c r="C40" s="18">
        <v>2018</v>
      </c>
      <c r="D40" s="12" t="s">
        <v>2</v>
      </c>
      <c r="E40" s="6">
        <v>2.03162E-3</v>
      </c>
      <c r="F40" s="6">
        <v>2.0329900000000001E-3</v>
      </c>
      <c r="G40" s="6">
        <v>1.37E-6</v>
      </c>
      <c r="H40" s="88">
        <f>Tabela1[[#This Row],[Posterior]]*VLOOKUP(Tabela1[[#This Row],[Data ]],Tabela25[],2)</f>
        <v>19.507555545000002</v>
      </c>
      <c r="I40" s="89">
        <f>Tabela1[[#This Row],[Posterior]]*VLOOKUP(Tabela1[[#This Row],[Data ]],Tabela25[],4)</f>
        <v>68.918361000000004</v>
      </c>
      <c r="J40" s="89">
        <f>IF(Tabela1[[#This Row],[Tipo]]="Depósito (BTC)","N/A",Tabela1[[#This Row],[Variação]]*VLOOKUP(Tabela1[[#This Row],[Data ]],Tabela25[],4))</f>
        <v>4.6442999999999998E-2</v>
      </c>
      <c r="K40" s="90">
        <f>IF(Tabela1[[#This Row],[Tipo]]="Depósito (BTC)","N/A",Tabela1[[#This Row],[Variação]]*VLOOKUP(Tabela1[[#This Row],[Data ]],Tabela25[],2))</f>
        <v>1.3145835E-2</v>
      </c>
      <c r="L40" s="91">
        <f t="shared" si="0"/>
        <v>6.7433870507279899E-4</v>
      </c>
      <c r="M40" s="3">
        <f t="shared" si="1"/>
        <v>2.023016115218397E-2</v>
      </c>
      <c r="N40" s="117">
        <f t="shared" si="2"/>
        <v>0.24276193382620764</v>
      </c>
      <c r="S40" s="4"/>
    </row>
    <row r="41" spans="1:19" x14ac:dyDescent="0.25">
      <c r="A41" s="8">
        <v>43227.419444444444</v>
      </c>
      <c r="B41" s="12">
        <v>5</v>
      </c>
      <c r="C41" s="12">
        <v>2018</v>
      </c>
      <c r="D41" s="12" t="s">
        <v>2</v>
      </c>
      <c r="E41" s="6">
        <v>2.0329900000000001E-3</v>
      </c>
      <c r="F41" s="6">
        <v>2.0336299999999998E-3</v>
      </c>
      <c r="G41" s="6">
        <v>6.4000000000000001E-7</v>
      </c>
      <c r="H41" s="88">
        <f>Tabela1[[#This Row],[Posterior]]*VLOOKUP(Tabela1[[#This Row],[Data ]],Tabela25[],2)</f>
        <v>18.914995992999998</v>
      </c>
      <c r="I41" s="89">
        <f>Tabela1[[#This Row],[Posterior]]*VLOOKUP(Tabela1[[#This Row],[Data ]],Tabela25[],4)</f>
        <v>67.963914599999995</v>
      </c>
      <c r="J41" s="89">
        <f>IF(Tabela1[[#This Row],[Tipo]]="Depósito (BTC)","N/A",Tabela1[[#This Row],[Variação]]*VLOOKUP(Tabela1[[#This Row],[Data ]],Tabela25[],4))</f>
        <v>2.1388799999999999E-2</v>
      </c>
      <c r="K41" s="90">
        <f>IF(Tabela1[[#This Row],[Tipo]]="Depósito (BTC)","N/A",Tabela1[[#This Row],[Variação]]*VLOOKUP(Tabela1[[#This Row],[Data ]],Tabela25[],2))</f>
        <v>5.9527040000000005E-3</v>
      </c>
      <c r="L41" s="91">
        <f t="shared" si="0"/>
        <v>3.1480725433966718E-4</v>
      </c>
      <c r="M41" s="3">
        <f t="shared" si="1"/>
        <v>9.444217630190016E-3</v>
      </c>
      <c r="N41" s="3">
        <f t="shared" si="2"/>
        <v>0.11333061156228019</v>
      </c>
      <c r="O41" s="19"/>
    </row>
    <row r="42" spans="1:19" x14ac:dyDescent="0.25">
      <c r="A42" s="8">
        <v>43228.419444444444</v>
      </c>
      <c r="B42" s="12">
        <v>5</v>
      </c>
      <c r="C42" s="12">
        <v>2018</v>
      </c>
      <c r="D42" s="12" t="s">
        <v>2</v>
      </c>
      <c r="E42" s="6">
        <v>2.0336299999999998E-3</v>
      </c>
      <c r="F42" s="6">
        <v>2.0342699999999999E-3</v>
      </c>
      <c r="G42" s="6">
        <v>6.4000000000000001E-7</v>
      </c>
      <c r="H42" s="88">
        <f>Tabela1[[#This Row],[Posterior]]*VLOOKUP(Tabela1[[#This Row],[Data ]],Tabela25[],2)</f>
        <v>18.567595997999998</v>
      </c>
      <c r="I42" s="89">
        <f>Tabela1[[#This Row],[Posterior]]*VLOOKUP(Tabela1[[#This Row],[Data ]],Tabela25[],4)</f>
        <v>68.141942189999995</v>
      </c>
      <c r="J42" s="89">
        <f>IF(Tabela1[[#This Row],[Tipo]]="Depósito (BTC)","N/A",Tabela1[[#This Row],[Variação]]*VLOOKUP(Tabela1[[#This Row],[Data ]],Tabela25[],4))</f>
        <v>2.1438080000000002E-2</v>
      </c>
      <c r="K42" s="90">
        <f>IF(Tabela1[[#This Row],[Tipo]]="Depósito (BTC)","N/A",Tabela1[[#This Row],[Variação]]*VLOOKUP(Tabela1[[#This Row],[Data ]],Tabela25[],2))</f>
        <v>5.8415359999999996E-3</v>
      </c>
      <c r="L42" s="91">
        <f t="shared" ref="L42:L47" si="3">G42/E42</f>
        <v>3.1470818192099847E-4</v>
      </c>
      <c r="M42" s="3">
        <f t="shared" ref="M42:M47" si="4">L42*30</f>
        <v>9.4412454576299539E-3</v>
      </c>
      <c r="N42" s="3">
        <f t="shared" ref="N42:N47" si="5">M42*12</f>
        <v>0.11329494549155944</v>
      </c>
      <c r="P42" s="5"/>
    </row>
    <row r="43" spans="1:19" x14ac:dyDescent="0.25">
      <c r="A43" s="8">
        <v>43229.419444444444</v>
      </c>
      <c r="B43" s="12">
        <v>5</v>
      </c>
      <c r="C43" s="12">
        <v>2018</v>
      </c>
      <c r="D43" s="12" t="s">
        <v>2</v>
      </c>
      <c r="E43" s="6">
        <v>2.0342699999999999E-3</v>
      </c>
      <c r="F43" s="6">
        <v>2.0349999999999999E-3</v>
      </c>
      <c r="G43" s="6">
        <v>7.3E-7</v>
      </c>
      <c r="H43" s="88">
        <f>Tabela1[[#This Row],[Posterior]]*VLOOKUP(Tabela1[[#This Row],[Data ]],Tabela25[],2)</f>
        <v>18.874421499999997</v>
      </c>
      <c r="I43" s="89">
        <f>Tabela1[[#This Row],[Posterior]]*VLOOKUP(Tabela1[[#This Row],[Data ]],Tabela25[],4)</f>
        <v>68.47775</v>
      </c>
      <c r="J43" s="89">
        <f>IF(Tabela1[[#This Row],[Tipo]]="Depósito (BTC)","N/A",Tabela1[[#This Row],[Variação]]*VLOOKUP(Tabela1[[#This Row],[Data ]],Tabela25[],4))</f>
        <v>2.45645E-2</v>
      </c>
      <c r="K43" s="90">
        <f>IF(Tabela1[[#This Row],[Tipo]]="Depósito (BTC)","N/A",Tabela1[[#This Row],[Variação]]*VLOOKUP(Tabela1[[#This Row],[Data ]],Tabela25[],2))</f>
        <v>6.7706770000000001E-3</v>
      </c>
      <c r="L43" s="91">
        <f t="shared" si="3"/>
        <v>3.5885108663058496E-4</v>
      </c>
      <c r="M43" s="3">
        <f t="shared" si="4"/>
        <v>1.0765532598917549E-2</v>
      </c>
      <c r="N43" s="3">
        <f t="shared" si="5"/>
        <v>0.12918639118701059</v>
      </c>
    </row>
    <row r="44" spans="1:19" x14ac:dyDescent="0.25">
      <c r="A44" s="8">
        <v>43230.419444444444</v>
      </c>
      <c r="B44" s="12">
        <v>5</v>
      </c>
      <c r="C44" s="12">
        <v>2018</v>
      </c>
      <c r="D44" s="12" t="s">
        <v>2</v>
      </c>
      <c r="E44" s="6">
        <v>2.0349999999999999E-3</v>
      </c>
      <c r="F44" s="6">
        <v>2.0355500000000001E-3</v>
      </c>
      <c r="G44" s="6">
        <v>5.5000000000000003E-7</v>
      </c>
      <c r="H44" s="88">
        <f>Tabela1[[#This Row],[Posterior]]*VLOOKUP(Tabela1[[#This Row],[Data ]],Tabela25[],2)</f>
        <v>19.093459000000003</v>
      </c>
      <c r="I44" s="89">
        <f>Tabela1[[#This Row],[Posterior]]*VLOOKUP(Tabela1[[#This Row],[Data ]],Tabela25[],4)</f>
        <v>69.206664450000005</v>
      </c>
      <c r="J44" s="89">
        <f>IF(Tabela1[[#This Row],[Tipo]]="Depósito (BTC)","N/A",Tabela1[[#This Row],[Variação]]*VLOOKUP(Tabela1[[#This Row],[Data ]],Tabela25[],4))</f>
        <v>1.8699449999999999E-2</v>
      </c>
      <c r="K44" s="90">
        <f>IF(Tabela1[[#This Row],[Tipo]]="Depósito (BTC)","N/A",Tabela1[[#This Row],[Variação]]*VLOOKUP(Tabela1[[#This Row],[Data ]],Tabela25[],2))</f>
        <v>5.1590000000000004E-3</v>
      </c>
      <c r="L44" s="91">
        <f t="shared" si="3"/>
        <v>2.7027027027027027E-4</v>
      </c>
      <c r="M44" s="3">
        <f t="shared" si="4"/>
        <v>8.1081081081081086E-3</v>
      </c>
      <c r="N44" s="3">
        <f t="shared" si="5"/>
        <v>9.7297297297297303E-2</v>
      </c>
    </row>
    <row r="45" spans="1:19" x14ac:dyDescent="0.25">
      <c r="A45" s="8">
        <v>43231.419444444444</v>
      </c>
      <c r="B45" s="12">
        <v>5</v>
      </c>
      <c r="C45" s="12">
        <v>2018</v>
      </c>
      <c r="D45" s="12" t="s">
        <v>2</v>
      </c>
      <c r="E45" s="6">
        <v>2.0355500000000001E-3</v>
      </c>
      <c r="F45" s="6">
        <v>2.0399300000000001E-3</v>
      </c>
      <c r="G45" s="6">
        <v>4.3800000000000004E-6</v>
      </c>
      <c r="H45" s="88">
        <f>Tabela1[[#This Row],[Posterior]]*VLOOKUP(Tabela1[[#This Row],[Data ]],Tabela25[],2)</f>
        <v>17.155199321000001</v>
      </c>
      <c r="I45" s="89">
        <f>Tabela1[[#This Row],[Posterior]]*VLOOKUP(Tabela1[[#This Row],[Data ]],Tabela25[],4)</f>
        <v>63.460182370000005</v>
      </c>
      <c r="J45" s="89">
        <f>IF(Tabela1[[#This Row],[Tipo]]="Depósito (BTC)","N/A",Tabela1[[#This Row],[Variação]]*VLOOKUP(Tabela1[[#This Row],[Data ]],Tabela25[],4))</f>
        <v>0.13625742000000002</v>
      </c>
      <c r="K45" s="90">
        <f>IF(Tabela1[[#This Row],[Tipo]]="Depósito (BTC)","N/A",Tabela1[[#This Row],[Variação]]*VLOOKUP(Tabela1[[#This Row],[Data ]],Tabela25[],2))</f>
        <v>3.6834486000000007E-2</v>
      </c>
      <c r="L45" s="91">
        <f t="shared" si="3"/>
        <v>2.1517525975780502E-3</v>
      </c>
      <c r="M45" s="3">
        <f t="shared" si="4"/>
        <v>6.4552577927341509E-2</v>
      </c>
      <c r="N45" s="3">
        <f t="shared" si="5"/>
        <v>0.77463093512809811</v>
      </c>
    </row>
    <row r="46" spans="1:19" x14ac:dyDescent="0.25">
      <c r="A46" s="8">
        <v>43232.419444444444</v>
      </c>
      <c r="B46" s="12">
        <v>5</v>
      </c>
      <c r="C46" s="12">
        <v>2018</v>
      </c>
      <c r="D46" s="12" t="s">
        <v>2</v>
      </c>
      <c r="E46" s="6">
        <v>2.0399300000000001E-3</v>
      </c>
      <c r="F46" s="6">
        <v>2.04938E-3</v>
      </c>
      <c r="G46" s="6">
        <v>9.4499999999999993E-6</v>
      </c>
      <c r="H46" s="88">
        <f>Tabela1[[#This Row],[Posterior]]*VLOOKUP(Tabela1[[#This Row],[Data ]],Tabela25[],2)</f>
        <v>17.165197003999999</v>
      </c>
      <c r="I46" s="89">
        <f>Tabela1[[#This Row],[Posterior]]*VLOOKUP(Tabela1[[#This Row],[Data ]],Tabela25[],4)</f>
        <v>65.065765619999993</v>
      </c>
      <c r="J46" s="89">
        <f>IF(Tabela1[[#This Row],[Tipo]]="Depósito (BTC)","N/A",Tabela1[[#This Row],[Variação]]*VLOOKUP(Tabela1[[#This Row],[Data ]],Tabela25[],4))</f>
        <v>0.30002804999999999</v>
      </c>
      <c r="K46" s="90">
        <f>IF(Tabela1[[#This Row],[Tipo]]="Depósito (BTC)","N/A",Tabela1[[#This Row],[Variação]]*VLOOKUP(Tabela1[[#This Row],[Data ]],Tabela25[],2))</f>
        <v>7.9151309999999989E-2</v>
      </c>
      <c r="L46" s="91">
        <f t="shared" si="3"/>
        <v>4.6325118999181337E-3</v>
      </c>
      <c r="M46" s="3">
        <f t="shared" si="4"/>
        <v>0.13897535699754401</v>
      </c>
      <c r="N46" s="3">
        <f t="shared" si="5"/>
        <v>1.6677042839705281</v>
      </c>
    </row>
    <row r="47" spans="1:19" x14ac:dyDescent="0.25">
      <c r="A47" s="8">
        <v>43233.419444444444</v>
      </c>
      <c r="B47" s="12">
        <v>5</v>
      </c>
      <c r="C47" s="12">
        <v>2018</v>
      </c>
      <c r="D47" s="12" t="s">
        <v>2</v>
      </c>
      <c r="E47" s="6">
        <v>2.04938E-3</v>
      </c>
      <c r="F47" s="6">
        <v>2.0509399999999998E-3</v>
      </c>
      <c r="G47" s="6">
        <v>1.5600000000000001E-6</v>
      </c>
      <c r="H47" s="88">
        <f>Tabela1[[#This Row],[Posterior]]*VLOOKUP(Tabela1[[#This Row],[Data ]],Tabela25[],2)</f>
        <v>17.650594733999998</v>
      </c>
      <c r="I47" s="89">
        <f>Tabela1[[#This Row],[Posterior]]*VLOOKUP(Tabela1[[#This Row],[Data ]],Tabela25[],4)</f>
        <v>66.448405059999999</v>
      </c>
      <c r="J47" s="89">
        <f>IF(Tabela1[[#This Row],[Tipo]]="Depósito (BTC)","N/A",Tabela1[[#This Row],[Variação]]*VLOOKUP(Tabela1[[#This Row],[Data ]],Tabela25[],4))</f>
        <v>5.0542440000000001E-2</v>
      </c>
      <c r="K47" s="90">
        <f>IF(Tabela1[[#This Row],[Tipo]]="Depósito (BTC)","N/A",Tabela1[[#This Row],[Variação]]*VLOOKUP(Tabela1[[#This Row],[Data ]],Tabela25[],2))</f>
        <v>1.3425516000000002E-2</v>
      </c>
      <c r="L47" s="91">
        <f t="shared" si="3"/>
        <v>7.6120582810410963E-4</v>
      </c>
      <c r="M47" s="3">
        <f t="shared" si="4"/>
        <v>2.2836174843123287E-2</v>
      </c>
      <c r="N47" s="3">
        <f t="shared" si="5"/>
        <v>0.27403409811747947</v>
      </c>
    </row>
    <row r="48" spans="1:19" x14ac:dyDescent="0.25">
      <c r="A48" s="8">
        <v>43234.419444444444</v>
      </c>
      <c r="B48" s="12">
        <v>5</v>
      </c>
      <c r="C48" s="12">
        <v>2018</v>
      </c>
      <c r="D48" s="12" t="s">
        <v>2</v>
      </c>
      <c r="E48" s="6">
        <v>2.0509399999999998E-3</v>
      </c>
      <c r="F48" s="6">
        <v>2.0528199999999999E-3</v>
      </c>
      <c r="G48" s="6">
        <v>1.88E-6</v>
      </c>
      <c r="H48" s="88">
        <f>Tabela1[[#This Row],[Posterior]]*VLOOKUP(Tabela1[[#This Row],[Data ]],Tabela25[],2)</f>
        <v>17.957864078</v>
      </c>
      <c r="I48" s="103">
        <f>Tabela1[[#This Row],[Posterior]]*VLOOKUP(Tabela1[[#This Row],[Data ]],Tabela25[],4)</f>
        <v>66.408726999999999</v>
      </c>
      <c r="J48" s="103">
        <f>IF(Tabela1[[#This Row],[Tipo]]="Depósito (BTC)","N/A",Tabela1[[#This Row],[Variação]]*VLOOKUP(Tabela1[[#This Row],[Data ]],Tabela25[],4))</f>
        <v>6.0817999999999997E-2</v>
      </c>
      <c r="K48" s="144">
        <f>IF(Tabela1[[#This Row],[Tipo]]="Depósito (BTC)","N/A",Tabela1[[#This Row],[Variação]]*VLOOKUP(Tabela1[[#This Row],[Data ]],Tabela25[],2))</f>
        <v>1.6446051999999999E-2</v>
      </c>
      <c r="L48" s="104">
        <f>G48/E48</f>
        <v>9.1665285186304821E-4</v>
      </c>
      <c r="M48" s="3">
        <f>L48*30</f>
        <v>2.7499585555891447E-2</v>
      </c>
      <c r="N48" s="3">
        <f>M48*12</f>
        <v>0.32999502667069736</v>
      </c>
    </row>
    <row r="49" spans="1:14" x14ac:dyDescent="0.25">
      <c r="A49" s="8">
        <v>43235.419444444444</v>
      </c>
      <c r="B49" s="12">
        <v>5</v>
      </c>
      <c r="C49" s="12">
        <v>2018</v>
      </c>
      <c r="D49" s="12" t="s">
        <v>2</v>
      </c>
      <c r="E49" s="6">
        <v>2.0528199999999999E-3</v>
      </c>
      <c r="F49" s="6">
        <v>2.0542099999999999E-3</v>
      </c>
      <c r="G49" s="6">
        <v>1.39E-6</v>
      </c>
      <c r="H49" s="88">
        <f>Tabela1[[#This Row],[Posterior]]*VLOOKUP(Tabela1[[#This Row],[Data ]],Tabela25[],2)</f>
        <v>17.410046012999999</v>
      </c>
      <c r="I49" s="103">
        <f>Tabela1[[#This Row],[Posterior]]*VLOOKUP(Tabela1[[#This Row],[Data ]],Tabela25[],4)</f>
        <v>65.837430499999996</v>
      </c>
      <c r="J49" s="103">
        <f>IF(Tabela1[[#This Row],[Tipo]]="Depósito (BTC)","N/A",Tabela1[[#This Row],[Variação]]*VLOOKUP(Tabela1[[#This Row],[Data ]],Tabela25[],4))</f>
        <v>4.4549499999999999E-2</v>
      </c>
      <c r="K49" s="144">
        <f>IF(Tabela1[[#This Row],[Tipo]]="Depósito (BTC)","N/A",Tabela1[[#This Row],[Variação]]*VLOOKUP(Tabela1[[#This Row],[Data ]],Tabela25[],2))</f>
        <v>1.1780667E-2</v>
      </c>
      <c r="L49" s="104">
        <f>G49/E49</f>
        <v>6.7711733128087218E-4</v>
      </c>
      <c r="M49" s="3">
        <f>L49*30</f>
        <v>2.0313519938426165E-2</v>
      </c>
      <c r="N49" s="3">
        <f>M49*12</f>
        <v>0.24376223926111398</v>
      </c>
    </row>
    <row r="50" spans="1:14" x14ac:dyDescent="0.25">
      <c r="A50" s="8">
        <v>43236.419444444444</v>
      </c>
      <c r="B50" s="12">
        <v>5</v>
      </c>
      <c r="C50" s="12">
        <v>2018</v>
      </c>
      <c r="D50" s="12" t="s">
        <v>2</v>
      </c>
      <c r="E50" s="6">
        <v>2.0542099999999999E-3</v>
      </c>
      <c r="F50" s="6">
        <v>2.0564300000000002E-3</v>
      </c>
      <c r="G50" s="6">
        <v>2.2199999999999999E-6</v>
      </c>
      <c r="H50" s="88">
        <f>Tabela1[[#This Row],[Posterior]]*VLOOKUP(Tabela1[[#This Row],[Data ]],Tabela25[],2)</f>
        <v>17.019014680000002</v>
      </c>
      <c r="I50" s="89">
        <f>Tabela1[[#This Row],[Posterior]]*VLOOKUP(Tabela1[[#This Row],[Data ]],Tabela25[],4)</f>
        <v>64.119487400000011</v>
      </c>
      <c r="J50" s="89">
        <f>IF(Tabela1[[#This Row],[Tipo]]="Depósito (BTC)","N/A",Tabela1[[#This Row],[Variação]]*VLOOKUP(Tabela1[[#This Row],[Data ]],Tabela25[],4))</f>
        <v>6.9219599999999992E-2</v>
      </c>
      <c r="K50" s="90">
        <f>IF(Tabela1[[#This Row],[Tipo]]="Depósito (BTC)","N/A",Tabela1[[#This Row],[Variação]]*VLOOKUP(Tabela1[[#This Row],[Data ]],Tabela25[],2))</f>
        <v>1.8372719999999999E-2</v>
      </c>
      <c r="L50" s="91">
        <f>G50/E50</f>
        <v>1.0807074252388996E-3</v>
      </c>
      <c r="M50" s="3">
        <f>L50*30</f>
        <v>3.2421222757166988E-2</v>
      </c>
      <c r="N50" s="3">
        <f>M50*12</f>
        <v>0.38905467308600383</v>
      </c>
    </row>
    <row r="51" spans="1:14" x14ac:dyDescent="0.25">
      <c r="A51" s="8">
        <v>43237.419444444444</v>
      </c>
      <c r="B51" s="12">
        <v>5</v>
      </c>
      <c r="C51" s="12">
        <v>2018</v>
      </c>
      <c r="D51" s="12" t="s">
        <v>2</v>
      </c>
      <c r="E51" s="6">
        <v>2.0564300000000002E-3</v>
      </c>
      <c r="F51" s="6">
        <v>2.05806E-3</v>
      </c>
      <c r="G51" s="6">
        <v>1.6300000000000001E-6</v>
      </c>
      <c r="H51" s="88">
        <f>Tabela1[[#This Row],[Posterior]]*VLOOKUP(Tabela1[[#This Row],[Data ]],Tabela25[],2)</f>
        <v>16.467361283999999</v>
      </c>
      <c r="I51" s="89">
        <f>Tabela1[[#This Row],[Posterior]]*VLOOKUP(Tabela1[[#This Row],[Data ]],Tabela25[],4)</f>
        <v>62.530036979999998</v>
      </c>
      <c r="J51" s="89">
        <f>IF(Tabela1[[#This Row],[Tipo]]="Depósito (BTC)","N/A",Tabela1[[#This Row],[Variação]]*VLOOKUP(Tabela1[[#This Row],[Data ]],Tabela25[],4))</f>
        <v>4.9524289999999999E-2</v>
      </c>
      <c r="K51" s="90">
        <f>IF(Tabela1[[#This Row],[Tipo]]="Depósito (BTC)","N/A",Tabela1[[#This Row],[Variação]]*VLOOKUP(Tabela1[[#This Row],[Data ]],Tabela25[],2))</f>
        <v>1.3042282000000001E-2</v>
      </c>
      <c r="L51" s="91">
        <f>G51/E51</f>
        <v>7.9263578142703612E-4</v>
      </c>
      <c r="M51" s="3">
        <f>L51*30</f>
        <v>2.3779073442811084E-2</v>
      </c>
      <c r="N51" s="3">
        <f>M51*12</f>
        <v>0.28534888131373304</v>
      </c>
    </row>
    <row r="52" spans="1:14" x14ac:dyDescent="0.25">
      <c r="A52" s="8">
        <v>43238.419444444444</v>
      </c>
      <c r="B52" s="12">
        <v>5</v>
      </c>
      <c r="C52" s="12">
        <v>2018</v>
      </c>
      <c r="D52" s="12" t="s">
        <v>2</v>
      </c>
      <c r="E52" s="6">
        <v>2.05806E-3</v>
      </c>
      <c r="F52" s="6">
        <v>2.0596899999999999E-3</v>
      </c>
      <c r="G52" s="6">
        <v>1.6300000000000001E-6</v>
      </c>
      <c r="H52" s="88">
        <f>Tabela1[[#This Row],[Posterior]]*VLOOKUP(Tabela1[[#This Row],[Data ]],Tabela25[],2)</f>
        <v>16.620668455000001</v>
      </c>
      <c r="I52" s="89">
        <f>Tabela1[[#This Row],[Posterior]]*VLOOKUP(Tabela1[[#This Row],[Data ]],Tabela25[],4)</f>
        <v>62.923529499999994</v>
      </c>
      <c r="J52" s="89">
        <f>IF(Tabela1[[#This Row],[Tipo]]="Depósito (BTC)","N/A",Tabela1[[#This Row],[Variação]]*VLOOKUP(Tabela1[[#This Row],[Data ]],Tabela25[],4))</f>
        <v>4.97965E-2</v>
      </c>
      <c r="K52" s="90">
        <f>IF(Tabela1[[#This Row],[Tipo]]="Depósito (BTC)","N/A",Tabela1[[#This Row],[Variação]]*VLOOKUP(Tabela1[[#This Row],[Data ]],Tabela25[],2))</f>
        <v>1.3153285000000001E-2</v>
      </c>
      <c r="L52" s="91">
        <f>G52/E52</f>
        <v>7.9200800754108242E-4</v>
      </c>
      <c r="M52" s="3">
        <f>L52*30</f>
        <v>2.3760240226232472E-2</v>
      </c>
      <c r="N52" s="3">
        <f>M52*12</f>
        <v>0.28512288271478969</v>
      </c>
    </row>
  </sheetData>
  <mergeCells count="11">
    <mergeCell ref="M28:N28"/>
    <mergeCell ref="J28:L28"/>
    <mergeCell ref="I1:K1"/>
    <mergeCell ref="A2:E3"/>
    <mergeCell ref="A4:E5"/>
    <mergeCell ref="F2:G2"/>
    <mergeCell ref="E28:F28"/>
    <mergeCell ref="H28:I28"/>
    <mergeCell ref="A6:E7"/>
    <mergeCell ref="D8:E9"/>
    <mergeCell ref="A8:C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0:B34 L35 L30:L34 M30:M35 N30:N35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85" zoomScaleNormal="85" workbookViewId="0">
      <selection activeCell="J16" sqref="J16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116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95" t="s">
        <v>65</v>
      </c>
      <c r="C1" s="195"/>
      <c r="D1" s="201">
        <f ca="1">TODAY()+(40-K3)/J6</f>
        <v>43262.619047619046</v>
      </c>
      <c r="E1" s="204" t="str">
        <f>I6</f>
        <v>Valor diario esperado:</v>
      </c>
      <c r="I1" s="199" t="s">
        <v>62</v>
      </c>
      <c r="J1" s="199"/>
      <c r="K1" s="191">
        <f>INDEX(Tabela3[Saldo BRL],MATCH(9.99999999999999+307,Tabela3[Saldo BRL]))</f>
        <v>71.412515999999982</v>
      </c>
      <c r="L1" s="191"/>
      <c r="M1" s="191"/>
    </row>
    <row r="2" spans="2:13" ht="16.5" customHeight="1" thickTop="1" thickBot="1" x14ac:dyDescent="0.3">
      <c r="B2" s="195"/>
      <c r="C2" s="195"/>
      <c r="D2" s="202"/>
      <c r="E2" s="205"/>
      <c r="I2" s="199"/>
      <c r="J2" s="199"/>
      <c r="K2" s="191"/>
      <c r="L2" s="191"/>
      <c r="M2" s="191"/>
    </row>
    <row r="3" spans="2:13" ht="16.5" customHeight="1" thickTop="1" thickBot="1" x14ac:dyDescent="0.3">
      <c r="B3" s="195"/>
      <c r="C3" s="195"/>
      <c r="D3" s="203">
        <f ca="1">TODAY()+(40-K3)/J7</f>
        <v>43263.689440993789</v>
      </c>
      <c r="E3" s="206" t="str">
        <f>I7</f>
        <v>Média diária:</v>
      </c>
      <c r="I3" s="199"/>
      <c r="J3" s="199"/>
      <c r="K3" s="198">
        <f>INDEX(Tabela3[Saldo disponível para saque],MATCH(9.99999999999999+307,Tabela3[Saldo disponível para saque]))</f>
        <v>19.319999999999997</v>
      </c>
      <c r="L3" s="198"/>
      <c r="M3" s="198"/>
    </row>
    <row r="4" spans="2:13" ht="16.5" customHeight="1" thickTop="1" thickBot="1" x14ac:dyDescent="0.3">
      <c r="B4" s="195"/>
      <c r="C4" s="195"/>
      <c r="D4" s="202"/>
      <c r="E4" s="205"/>
      <c r="I4" s="200"/>
      <c r="J4" s="200"/>
      <c r="K4" s="198"/>
      <c r="L4" s="198"/>
      <c r="M4" s="198"/>
    </row>
    <row r="5" spans="2:13" ht="16.5" thickTop="1" thickBot="1" x14ac:dyDescent="0.3"/>
    <row r="6" spans="2:13" x14ac:dyDescent="0.25">
      <c r="I6" s="146" t="s">
        <v>68</v>
      </c>
      <c r="J6" s="149">
        <f>(INDEX(Tabela3[CMP],MATCH(9.99999999999999+307,Tabela3[CMP]))*10)*0.21</f>
        <v>0.84</v>
      </c>
      <c r="K6" s="130">
        <f ca="1">J6*VLOOKUP(TODAY(),Tabela25[],6)</f>
        <v>3.1495799999999998</v>
      </c>
    </row>
    <row r="7" spans="2:13" x14ac:dyDescent="0.25">
      <c r="I7" s="147" t="s">
        <v>49</v>
      </c>
      <c r="J7" s="151">
        <f>SUM(Tabela3[Valor])/COUNT(Tabela3[Valor])</f>
        <v>0.80499999999999983</v>
      </c>
      <c r="K7" s="131">
        <f ca="1">J7*VLOOKUP(TODAY(),Tabela25[],6)</f>
        <v>3.0183474999999991</v>
      </c>
    </row>
    <row r="8" spans="2:13" x14ac:dyDescent="0.25">
      <c r="I8" s="147" t="s">
        <v>50</v>
      </c>
      <c r="J8" s="151">
        <f>J7*30</f>
        <v>24.149999999999995</v>
      </c>
      <c r="K8" s="131">
        <f ca="1">J8*VLOOKUP(TODAY(),Tabela25[],6)</f>
        <v>90.550424999999976</v>
      </c>
    </row>
    <row r="9" spans="2:13" x14ac:dyDescent="0.25">
      <c r="I9" s="147" t="s">
        <v>51</v>
      </c>
      <c r="J9" s="151">
        <f>J8*12</f>
        <v>289.79999999999995</v>
      </c>
      <c r="K9" s="131">
        <f ca="1">J9*VLOOKUP(TODAY(),Tabela25[],6)</f>
        <v>1086.6050999999998</v>
      </c>
    </row>
    <row r="10" spans="2:13" x14ac:dyDescent="0.25">
      <c r="I10" s="147" t="s">
        <v>52</v>
      </c>
      <c r="J10" s="151">
        <f>LARGE(Tabela3[Valor],1)</f>
        <v>0.86</v>
      </c>
      <c r="K10" s="131">
        <f ca="1">J10*VLOOKUP(TODAY(),Tabela25[],6)</f>
        <v>3.2245699999999999</v>
      </c>
    </row>
    <row r="11" spans="2:13" ht="15.75" thickBot="1" x14ac:dyDescent="0.3">
      <c r="I11" s="147" t="s">
        <v>53</v>
      </c>
      <c r="J11" s="152">
        <f>SMALL(Tabela3[Valor],1)</f>
        <v>0</v>
      </c>
      <c r="K11" s="132">
        <f ca="1">J11*VLOOKUP(TODAY(),Tabela25[],6)</f>
        <v>0</v>
      </c>
    </row>
    <row r="12" spans="2:13" ht="16.5" thickBot="1" x14ac:dyDescent="0.3">
      <c r="I12" s="147" t="s">
        <v>101</v>
      </c>
      <c r="J12" s="196">
        <f>COUNTIF(Tabela3[Ação],"Comprar")+4</f>
        <v>4</v>
      </c>
      <c r="K12" s="197"/>
    </row>
    <row r="13" spans="2:13" x14ac:dyDescent="0.25">
      <c r="I13" s="147" t="s">
        <v>102</v>
      </c>
      <c r="J13" s="149">
        <v>40</v>
      </c>
      <c r="K13" s="130">
        <f ca="1">J13*VLOOKUP(TODAY(),Tabela25[],6)</f>
        <v>149.97999999999999</v>
      </c>
    </row>
    <row r="14" spans="2:13" x14ac:dyDescent="0.25">
      <c r="I14" s="147" t="s">
        <v>105</v>
      </c>
      <c r="J14" s="153">
        <f>J12*J13</f>
        <v>160</v>
      </c>
      <c r="K14" s="131">
        <f ca="1">J14*VLOOKUP(TODAY(),Tabela25[],6)</f>
        <v>599.91999999999996</v>
      </c>
    </row>
    <row r="15" spans="2:13" ht="15.75" thickBot="1" x14ac:dyDescent="0.3">
      <c r="I15" s="148" t="s">
        <v>103</v>
      </c>
      <c r="J15" s="150">
        <f>SUM(Tabela3[Valor])</f>
        <v>19.319999999999997</v>
      </c>
      <c r="K15" s="132">
        <f ca="1">J15*VLOOKUP(TODAY(),Tabela25[],6)</f>
        <v>72.440339999999978</v>
      </c>
    </row>
    <row r="16" spans="2:13" ht="25.5" customHeight="1" thickBot="1" x14ac:dyDescent="0.3">
      <c r="I16" s="154" t="s">
        <v>104</v>
      </c>
      <c r="J16" s="155">
        <f>J15-J14</f>
        <v>-140.68</v>
      </c>
      <c r="K16" s="156">
        <f ca="1">J16*VLOOKUP(TODAY(),Tabela25[],6)</f>
        <v>-527.47965999999997</v>
      </c>
    </row>
    <row r="20" spans="1:10" x14ac:dyDescent="0.25">
      <c r="A20" s="8" t="s">
        <v>5</v>
      </c>
      <c r="B20" t="s">
        <v>23</v>
      </c>
      <c r="C20" s="11" t="s">
        <v>9</v>
      </c>
      <c r="D20" s="11" t="s">
        <v>24</v>
      </c>
      <c r="E20" s="13" t="s">
        <v>25</v>
      </c>
      <c r="F20" s="116" t="s">
        <v>66</v>
      </c>
      <c r="G20" t="s">
        <v>43</v>
      </c>
    </row>
    <row r="21" spans="1:10" x14ac:dyDescent="0.25">
      <c r="A21" s="8">
        <v>43215.853043981479</v>
      </c>
      <c r="B21" t="s">
        <v>86</v>
      </c>
      <c r="C21" s="11">
        <v>0.84</v>
      </c>
      <c r="D21" s="11">
        <v>0.84</v>
      </c>
      <c r="E21" s="13">
        <f>IFERROR(Tabela3[[#This Row],[Saldo disponível para saque]]*VLOOKUP(Tabela3[[#This Row],[Data]],Tabela25[],6),Tabela3[[#This Row],[Saldo disponível para saque]]*Cotação!J2)</f>
        <v>2.9954874782608698</v>
      </c>
      <c r="F21" s="116">
        <v>0.4</v>
      </c>
      <c r="G21" t="str">
        <f>IF(Tabela3[[#This Row],[Saldo disponível para saque]]&gt;=40,"Comprar","")</f>
        <v/>
      </c>
    </row>
    <row r="22" spans="1:10" x14ac:dyDescent="0.25">
      <c r="A22" s="8">
        <v>43216.821550925924</v>
      </c>
      <c r="B22" t="s">
        <v>84</v>
      </c>
      <c r="C22" s="11">
        <v>0.85</v>
      </c>
      <c r="D22" s="11">
        <f>C22+D21</f>
        <v>1.69</v>
      </c>
      <c r="E22" s="13">
        <f>IFERROR(Tabela3[[#This Row],[Saldo disponível para saque]]*VLOOKUP(Tabela3[[#This Row],[Data]],Tabela25[],6),Tabela3[[#This Row],[Saldo disponível para saque]]*Cotação!I3)</f>
        <v>5.8735949999999999</v>
      </c>
      <c r="F22" s="116">
        <v>0.4</v>
      </c>
      <c r="G22" t="str">
        <f>IF(Tabela3[[#This Row],[Saldo disponível para saque]]&gt;=40,"Comprar","")</f>
        <v/>
      </c>
    </row>
    <row r="23" spans="1:10" x14ac:dyDescent="0.25">
      <c r="A23" s="8">
        <v>43217.830381944441</v>
      </c>
      <c r="B23" t="s">
        <v>85</v>
      </c>
      <c r="C23" s="11">
        <v>0.83</v>
      </c>
      <c r="D23" s="11">
        <f t="shared" ref="D23:D34" si="0">C23+D22</f>
        <v>2.52</v>
      </c>
      <c r="E23" s="13">
        <f>IFERROR(Tabela3[[#This Row],[Saldo disponível para saque]]*VLOOKUP(Tabela3[[#This Row],[Data]],Tabela25[],6),Tabela3[[#This Row],[Saldo disponível para saque]]*Cotação!I4)</f>
        <v>8.7192000000000007</v>
      </c>
      <c r="F23" s="116">
        <v>0.4</v>
      </c>
      <c r="G23" t="str">
        <f>IF(Tabela3[[#This Row],[Saldo disponível para saque]]&gt;=40,"Comprar","")</f>
        <v/>
      </c>
    </row>
    <row r="24" spans="1:10" x14ac:dyDescent="0.25">
      <c r="A24" s="8">
        <v>43218.765462962961</v>
      </c>
      <c r="B24" t="s">
        <v>38</v>
      </c>
      <c r="C24" s="11">
        <v>0.84</v>
      </c>
      <c r="D24" s="11">
        <f t="shared" si="0"/>
        <v>3.36</v>
      </c>
      <c r="E24" s="13">
        <f>IFERROR(Tabela3[[#This Row],[Saldo disponível para saque]]*VLOOKUP(Tabela3[[#This Row],[Data]],Tabela25[],6),Tabela3[[#This Row],[Saldo disponível para saque]]*Cotação!I5)</f>
        <v>11.616864</v>
      </c>
      <c r="F24" s="116">
        <v>0.4</v>
      </c>
      <c r="G24" t="str">
        <f>IF(Tabela3[[#This Row],[Saldo disponível para saque]]&gt;=40,"Comprar","")</f>
        <v/>
      </c>
    </row>
    <row r="25" spans="1:10" x14ac:dyDescent="0.25">
      <c r="A25" s="8">
        <v>43219.908819444441</v>
      </c>
      <c r="B25" s="11" t="s">
        <v>40</v>
      </c>
      <c r="C25" s="11">
        <v>0.8</v>
      </c>
      <c r="D25" s="11">
        <f t="shared" si="0"/>
        <v>4.16</v>
      </c>
      <c r="E25" s="13">
        <f>IFERROR(Tabela3[[#This Row],[Saldo disponível para saque]]*VLOOKUP(Tabela3[[#This Row],[Data]],Tabela25[],6),Tabela3[[#This Row],[Saldo disponível para saque]]*Cotação!I6)</f>
        <v>14.382783999999999</v>
      </c>
      <c r="F25" s="116">
        <v>0.4</v>
      </c>
      <c r="G25" t="str">
        <f>IF(Tabela3[[#This Row],[Saldo disponível para saque]]&gt;=40,"Comprar","")</f>
        <v/>
      </c>
    </row>
    <row r="26" spans="1:10" x14ac:dyDescent="0.25">
      <c r="A26" s="8">
        <v>43220.807476851849</v>
      </c>
      <c r="B26" s="11" t="s">
        <v>41</v>
      </c>
      <c r="C26" s="11">
        <v>0.83</v>
      </c>
      <c r="D26" s="11">
        <f t="shared" si="0"/>
        <v>4.99</v>
      </c>
      <c r="E26" s="13">
        <f>IFERROR(Tabela3[[#This Row],[Saldo disponível para saque]]*VLOOKUP(Tabela3[[#This Row],[Data]],Tabela25[],6),Tabela3[[#This Row],[Saldo disponível para saque]]*Cotação!I7)</f>
        <v>17.397136000000003</v>
      </c>
      <c r="F26" s="116">
        <v>0.4</v>
      </c>
      <c r="G26" t="str">
        <f>IF(Tabela3[[#This Row],[Saldo disponível para saque]]&gt;=40,"Comprar","")</f>
        <v/>
      </c>
    </row>
    <row r="27" spans="1:10" x14ac:dyDescent="0.25">
      <c r="A27" s="8">
        <v>43221.551365740743</v>
      </c>
      <c r="B27" s="11" t="s">
        <v>42</v>
      </c>
      <c r="C27" s="11">
        <v>0.86</v>
      </c>
      <c r="D27" s="11">
        <f t="shared" si="0"/>
        <v>5.8500000000000005</v>
      </c>
      <c r="E27" s="13">
        <f>IFERROR(Tabela3[[#This Row],[Saldo disponível para saque]]*VLOOKUP(Tabela3[[#This Row],[Data]],Tabela25[],6),Tabela3[[#This Row],[Saldo disponível para saque]]*Cotação!I8)</f>
        <v>20.519460000000002</v>
      </c>
      <c r="F27" s="116">
        <v>0.4</v>
      </c>
      <c r="G27" t="str">
        <f>IF(Tabela3[[#This Row],[Saldo disponível para saque]]&gt;=40,"Comprar","")</f>
        <v/>
      </c>
    </row>
    <row r="28" spans="1:10" x14ac:dyDescent="0.25">
      <c r="A28" s="8">
        <v>43222.946527777778</v>
      </c>
      <c r="B28" t="s">
        <v>48</v>
      </c>
      <c r="C28" s="11">
        <v>0.84</v>
      </c>
      <c r="D28" s="11">
        <f t="shared" si="0"/>
        <v>6.69</v>
      </c>
      <c r="E28" s="13">
        <f>IFERROR(Tabela3[[#This Row],[Saldo disponível para saque]]*VLOOKUP(Tabela3[[#This Row],[Data]],Tabela25[],6),Tabela3[[#This Row],[Saldo disponível para saque]]*Cotação!I9)</f>
        <v>23.728092000000004</v>
      </c>
      <c r="F28" s="116">
        <v>0.4</v>
      </c>
      <c r="G28" s="68" t="str">
        <f>IF(Tabela3[[#This Row],[Saldo disponível para saque]]&gt;=40,"Comprar","")</f>
        <v/>
      </c>
    </row>
    <row r="29" spans="1:10" x14ac:dyDescent="0.25">
      <c r="A29" s="8">
        <v>43223.931134259263</v>
      </c>
      <c r="B29" t="s">
        <v>56</v>
      </c>
      <c r="C29" s="11">
        <v>0.85</v>
      </c>
      <c r="D29" s="11">
        <f t="shared" si="0"/>
        <v>7.54</v>
      </c>
      <c r="E29" s="13">
        <f>IFERROR(Tabela3[[#This Row],[Saldo disponível para saque]]*VLOOKUP(Tabela3[[#This Row],[Data]],Tabela25[],6),Tabela3[[#This Row],[Saldo disponível para saque]]*Cotação!I10)</f>
        <v>26.829582000000002</v>
      </c>
      <c r="F29" s="116">
        <v>0.4</v>
      </c>
      <c r="G29" s="68" t="str">
        <f>IF(Tabela3[[#This Row],[Saldo disponível para saque]]&gt;=40,"Comprar","")</f>
        <v/>
      </c>
    </row>
    <row r="30" spans="1:10" x14ac:dyDescent="0.25">
      <c r="A30" s="8">
        <v>43224.728194444448</v>
      </c>
      <c r="B30" t="s">
        <v>67</v>
      </c>
      <c r="C30" s="11">
        <v>0.85</v>
      </c>
      <c r="D30" s="11">
        <f t="shared" si="0"/>
        <v>8.39</v>
      </c>
      <c r="E30" s="13">
        <f>IFERROR(Tabela3[[#This Row],[Saldo disponível para saque]]*VLOOKUP(Tabela3[[#This Row],[Data]],Tabela25[],6),Tabela3[[#This Row],[Saldo disponível para saque]]*Cotação!I11)</f>
        <v>29.729126000000004</v>
      </c>
      <c r="F30" s="116">
        <v>0.4</v>
      </c>
      <c r="G30" s="68" t="str">
        <f>IF(Tabela3[[#This Row],[Saldo disponível para saque]]&gt;=40,"Comprar","")</f>
        <v/>
      </c>
    </row>
    <row r="31" spans="1:10" x14ac:dyDescent="0.25">
      <c r="A31" s="8">
        <v>43225.890462962961</v>
      </c>
      <c r="B31" t="s">
        <v>73</v>
      </c>
      <c r="C31" s="11">
        <v>0.85</v>
      </c>
      <c r="D31" s="11">
        <f t="shared" si="0"/>
        <v>9.24</v>
      </c>
      <c r="E31" s="13">
        <f>IFERROR(Tabela3[[#This Row],[Saldo disponível para saque]]*VLOOKUP(Tabela3[[#This Row],[Data]],Tabela25[],6),Tabela3[[#This Row],[Saldo disponível para saque]]*Cotação!I12)</f>
        <v>32.600568000000003</v>
      </c>
      <c r="F31" s="116">
        <v>0.4</v>
      </c>
      <c r="G31" s="68" t="str">
        <f>IF(Tabela3[[#This Row],[Saldo disponível para saque]]&gt;=40,"Comprar","")</f>
        <v/>
      </c>
      <c r="I31" s="115"/>
      <c r="J31" s="115"/>
    </row>
    <row r="32" spans="1:10" x14ac:dyDescent="0.25">
      <c r="A32" s="8">
        <v>43226.752245370371</v>
      </c>
      <c r="B32" t="s">
        <v>74</v>
      </c>
      <c r="C32" s="11">
        <v>0.83</v>
      </c>
      <c r="D32" s="11">
        <f t="shared" si="0"/>
        <v>10.07</v>
      </c>
      <c r="E32" s="13">
        <f>IFERROR(Tabela3[[#This Row],[Saldo disponível para saque]]*VLOOKUP(Tabela3[[#This Row],[Data]],Tabela25[],6),Tabela3[[#This Row],[Saldo disponível para saque]]*Cotação!I13)</f>
        <v>35.528973999999998</v>
      </c>
      <c r="F32" s="116">
        <v>0.4</v>
      </c>
      <c r="G32" s="68" t="str">
        <f>IF(Tabela3[[#This Row],[Saldo disponível para saque]]&gt;=40,"Comprar","")</f>
        <v/>
      </c>
    </row>
    <row r="33" spans="1:7" x14ac:dyDescent="0.25">
      <c r="A33" s="8">
        <v>43227.994212962964</v>
      </c>
      <c r="B33" t="s">
        <v>82</v>
      </c>
      <c r="C33" s="11">
        <v>0.86</v>
      </c>
      <c r="D33" s="11">
        <f t="shared" si="0"/>
        <v>10.93</v>
      </c>
      <c r="E33" s="13">
        <f>IFERROR(Tabela3[[#This Row],[Saldo disponível para saque]]*VLOOKUP(Tabela3[[#This Row],[Data]],Tabela25[],6),Tabela3[[#This Row],[Saldo disponível para saque]]*Cotação!I14)</f>
        <v>38.769802999999996</v>
      </c>
      <c r="F33" s="116">
        <v>0.4</v>
      </c>
      <c r="G33" s="68" t="str">
        <f>IF(Tabela3[[#This Row],[Saldo disponível para saque]]&gt;=40,"Comprar","")</f>
        <v/>
      </c>
    </row>
    <row r="34" spans="1:7" x14ac:dyDescent="0.25">
      <c r="A34" s="8">
        <v>43228.971585648149</v>
      </c>
      <c r="B34" t="s">
        <v>87</v>
      </c>
      <c r="C34" s="11">
        <v>0.84</v>
      </c>
      <c r="D34" s="11">
        <f t="shared" si="0"/>
        <v>11.77</v>
      </c>
      <c r="E34" s="13">
        <f>IFERROR(Tabela3[[#This Row],[Saldo disponível para saque]]*VLOOKUP(Tabela3[[#This Row],[Data]],Tabela25[],6),Tabela3[[#This Row],[Saldo disponível para saque]]*Cotação!I15)</f>
        <v>42.101289999999999</v>
      </c>
      <c r="F34" s="116">
        <v>0.4</v>
      </c>
      <c r="G34" s="68" t="str">
        <f>IF(Tabela3[[#This Row],[Saldo disponível para saque]]&gt;=40,"Comprar","")</f>
        <v/>
      </c>
    </row>
    <row r="35" spans="1:7" x14ac:dyDescent="0.25">
      <c r="A35" s="8">
        <v>43229.994560185187</v>
      </c>
      <c r="B35" t="s">
        <v>89</v>
      </c>
      <c r="C35" s="11">
        <v>0.86</v>
      </c>
      <c r="D35" s="11">
        <f t="shared" ref="D35:D42" si="1">C35+D34</f>
        <v>12.629999999999999</v>
      </c>
      <c r="E35" s="13">
        <f>IFERROR(Tabela3[[#This Row],[Saldo disponível para saque]]*VLOOKUP(Tabela3[[#This Row],[Data]],Tabela25[],6),Tabela3[[#This Row],[Saldo disponível para saque]]*Cotação!I16)</f>
        <v>45.382115999999996</v>
      </c>
      <c r="F35" s="116">
        <v>0.4</v>
      </c>
      <c r="G35" s="68" t="str">
        <f>IF(Tabela3[[#This Row],[Saldo disponível para saque]]&gt;=40,"Comprar","")</f>
        <v/>
      </c>
    </row>
    <row r="36" spans="1:7" x14ac:dyDescent="0.25">
      <c r="A36" s="8">
        <v>43230.981504629628</v>
      </c>
      <c r="B36" t="s">
        <v>91</v>
      </c>
      <c r="C36" s="11">
        <v>0.82</v>
      </c>
      <c r="D36" s="11">
        <f t="shared" si="1"/>
        <v>13.45</v>
      </c>
      <c r="E36" s="13">
        <f>IFERROR(Tabela3[[#This Row],[Saldo disponível para saque]]*VLOOKUP(Tabela3[[#This Row],[Data]],Tabela25[],6),Tabela3[[#This Row],[Saldo disponível para saque]]*Cotação!I17)</f>
        <v>47.764984999999996</v>
      </c>
      <c r="F36" s="116">
        <v>0.4</v>
      </c>
      <c r="G36" s="68" t="str">
        <f>IF(Tabela3[[#This Row],[Saldo disponível para saque]]&gt;=40,"Comprar","")</f>
        <v/>
      </c>
    </row>
    <row r="37" spans="1:7" x14ac:dyDescent="0.25">
      <c r="A37" s="8">
        <v>43231.88386574074</v>
      </c>
      <c r="B37" t="s">
        <v>92</v>
      </c>
      <c r="C37" s="11">
        <v>0.82</v>
      </c>
      <c r="D37" s="11">
        <f t="shared" si="1"/>
        <v>14.27</v>
      </c>
      <c r="E37" s="13">
        <f>IFERROR(Tabela3[[#This Row],[Saldo disponível para saque]]*VLOOKUP(Tabela3[[#This Row],[Data]],Tabela25[],6),Tabela3[[#This Row],[Saldo disponível para saque]]*Cotação!I18)</f>
        <v>51.362010999999995</v>
      </c>
      <c r="F37" s="116">
        <v>0.4</v>
      </c>
      <c r="G37" s="68" t="str">
        <f>IF(Tabela3[[#This Row],[Saldo disponível para saque]]&gt;=40,"Comprar","")</f>
        <v/>
      </c>
    </row>
    <row r="38" spans="1:7" x14ac:dyDescent="0.25">
      <c r="A38" s="8">
        <v>43232.762465277781</v>
      </c>
      <c r="B38" t="s">
        <v>93</v>
      </c>
      <c r="C38" s="11">
        <v>0.83</v>
      </c>
      <c r="D38" s="11">
        <f t="shared" si="1"/>
        <v>15.1</v>
      </c>
      <c r="E38" s="13">
        <f>IFERROR(Tabela3[[#This Row],[Saldo disponível para saque]]*VLOOKUP(Tabela3[[#This Row],[Data]],Tabela25[],6),Tabela3[[#This Row],[Saldo disponível para saque]]*Cotação!I19)</f>
        <v>54.349429999999998</v>
      </c>
      <c r="F38" s="116">
        <v>0.4</v>
      </c>
      <c r="G38" s="68" t="str">
        <f>IF(Tabela3[[#This Row],[Saldo disponível para saque]]&gt;=40,"Comprar","")</f>
        <v/>
      </c>
    </row>
    <row r="39" spans="1:7" x14ac:dyDescent="0.25">
      <c r="A39" s="8">
        <v>43233.91982638889</v>
      </c>
      <c r="B39" s="11" t="s">
        <v>97</v>
      </c>
      <c r="C39" s="11">
        <v>0.83</v>
      </c>
      <c r="D39" s="11">
        <f t="shared" si="1"/>
        <v>15.93</v>
      </c>
      <c r="E39" s="13">
        <f>IFERROR(Tabela3[[#This Row],[Saldo disponível para saque]]*VLOOKUP(Tabela3[[#This Row],[Data]],Tabela25[],6),Tabela3[[#This Row],[Saldo disponível para saque]]*Cotação!I20)</f>
        <v>57.336849000000001</v>
      </c>
      <c r="F39" s="116">
        <v>0.4</v>
      </c>
      <c r="G39" s="68" t="str">
        <f>IF(Tabela3[[#This Row],[Saldo disponível para saque]]&gt;=40,"Comprar","")</f>
        <v/>
      </c>
    </row>
    <row r="40" spans="1:7" x14ac:dyDescent="0.25">
      <c r="A40" s="8">
        <v>43234.9534375</v>
      </c>
      <c r="B40" t="s">
        <v>100</v>
      </c>
      <c r="C40" s="11">
        <v>0.84</v>
      </c>
      <c r="D40" s="11">
        <f t="shared" si="1"/>
        <v>16.77</v>
      </c>
      <c r="E40" s="13">
        <f>IFERROR(Tabela3[[#This Row],[Saldo disponível para saque]]*VLOOKUP(Tabela3[[#This Row],[Data]],Tabela25[],6),Tabela3[[#This Row],[Saldo disponível para saque]]*Cotação!I21)</f>
        <v>60.811373999999994</v>
      </c>
      <c r="F40" s="116">
        <v>0.4</v>
      </c>
      <c r="G40" s="68" t="str">
        <f>IF(Tabela3[[#This Row],[Saldo disponível para saque]]&gt;=40,"Comprar","")</f>
        <v/>
      </c>
    </row>
    <row r="41" spans="1:7" x14ac:dyDescent="0.25">
      <c r="A41" s="8">
        <v>43235</v>
      </c>
      <c r="B41" t="s">
        <v>6</v>
      </c>
      <c r="C41" s="11">
        <v>0</v>
      </c>
      <c r="D41" s="11">
        <f t="shared" si="1"/>
        <v>16.77</v>
      </c>
      <c r="E41" s="13">
        <f>IFERROR(Tabela3[[#This Row],[Saldo disponível para saque]]*VLOOKUP(Tabela3[[#This Row],[Data]],Tabela25[],6),Tabela3[[#This Row],[Saldo disponível para saque]]*Cotação!I22)</f>
        <v>61.287641999999998</v>
      </c>
      <c r="F41" s="116">
        <v>0.4</v>
      </c>
      <c r="G41" s="68" t="str">
        <f>IF(Tabela3[[#This Row],[Saldo disponível para saque]]&gt;=40,"Comprar","")</f>
        <v/>
      </c>
    </row>
    <row r="42" spans="1:7" x14ac:dyDescent="0.25">
      <c r="A42" s="8">
        <v>43236.422129629631</v>
      </c>
      <c r="B42" s="11" t="s">
        <v>106</v>
      </c>
      <c r="C42" s="11">
        <v>0.83</v>
      </c>
      <c r="D42" s="11">
        <f t="shared" si="1"/>
        <v>17.599999999999998</v>
      </c>
      <c r="E42" s="13">
        <f>IFERROR(Tabela3[[#This Row],[Saldo disponível para saque]]*VLOOKUP(Tabela3[[#This Row],[Data]],Tabela25[],6),Tabela3[[#This Row],[Saldo disponível para saque]]*Cotação!I23)</f>
        <v>64.715199999999996</v>
      </c>
      <c r="F42" s="116">
        <v>0.4</v>
      </c>
      <c r="G42" s="68" t="str">
        <f>IF(Tabela3[[#This Row],[Saldo disponível para saque]]&gt;=40,"Comprar","")</f>
        <v/>
      </c>
    </row>
    <row r="43" spans="1:7" x14ac:dyDescent="0.25">
      <c r="A43" s="8">
        <v>43236.943368055552</v>
      </c>
      <c r="B43" s="11" t="s">
        <v>106</v>
      </c>
      <c r="C43" s="11">
        <v>0.86</v>
      </c>
      <c r="D43" s="11">
        <f t="shared" ref="D43" si="2">C43+D42</f>
        <v>18.459999999999997</v>
      </c>
      <c r="E43" s="13">
        <f>IFERROR(Tabela3[[#This Row],[Saldo disponível para saque]]*VLOOKUP(Tabela3[[#This Row],[Data]],Tabela25[],6),Tabela3[[#This Row],[Saldo disponível para saque]]*Cotação!I24)</f>
        <v>67.877419999999987</v>
      </c>
      <c r="F43" s="116">
        <v>0.4</v>
      </c>
      <c r="G43" s="68" t="str">
        <f>IF(Tabela3[[#This Row],[Saldo disponível para saque]]&gt;=40,"Comprar","")</f>
        <v/>
      </c>
    </row>
    <row r="44" spans="1:7" x14ac:dyDescent="0.25">
      <c r="A44" s="8">
        <v>43237.965092592596</v>
      </c>
      <c r="B44" t="s">
        <v>110</v>
      </c>
      <c r="C44" s="11">
        <v>0.86</v>
      </c>
      <c r="D44" s="11">
        <f t="shared" ref="D44" si="3">C44+D43</f>
        <v>19.319999999999997</v>
      </c>
      <c r="E44" s="13">
        <f>IFERROR(Tabela3[[#This Row],[Saldo disponível para saque]]*VLOOKUP(Tabela3[[#This Row],[Data]],Tabela25[],6),Tabela3[[#This Row],[Saldo disponível para saque]]*Cotação!I25)</f>
        <v>71.412515999999982</v>
      </c>
      <c r="F44" s="116">
        <v>0.4</v>
      </c>
      <c r="G44" s="68" t="str">
        <f>IF(Tabela3[[#This Row],[Saldo disponível para saque]]&gt;=40,"Comprar","")</f>
        <v/>
      </c>
    </row>
  </sheetData>
  <mergeCells count="9"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1:D22" calculatedColumn="1"/>
  </ignoredError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19" workbookViewId="0">
      <selection activeCell="E55" sqref="E55"/>
    </sheetView>
  </sheetViews>
  <sheetFormatPr defaultRowHeight="15" x14ac:dyDescent="0.25"/>
  <cols>
    <col min="1" max="1" width="13" style="6" customWidth="1"/>
    <col min="2" max="2" width="9.42578125" style="6" bestFit="1" customWidth="1"/>
    <col min="3" max="3" width="9.42578125" style="6" customWidth="1"/>
    <col min="4" max="4" width="13.140625" style="6" bestFit="1" customWidth="1"/>
    <col min="5" max="6" width="18" style="48" bestFit="1" customWidth="1"/>
    <col min="7" max="7" width="18.5703125" style="48" bestFit="1" customWidth="1"/>
    <col min="8" max="8" width="9.28515625" style="4" bestFit="1" customWidth="1"/>
    <col min="9" max="9" width="11.28515625" style="5" bestFit="1" customWidth="1"/>
    <col min="10" max="10" width="14" style="5" bestFit="1" customWidth="1"/>
    <col min="11" max="11" width="14.5703125" style="4" bestFit="1" customWidth="1"/>
    <col min="12" max="12" width="17.28515625" style="3" bestFit="1" customWidth="1"/>
    <col min="13" max="13" width="12.140625" style="5" bestFit="1" customWidth="1"/>
    <col min="14" max="14" width="10.7109375" style="5" bestFit="1" customWidth="1"/>
    <col min="16" max="17" width="18.5703125" style="157" bestFit="1" customWidth="1"/>
    <col min="18" max="18" width="13.42578125" customWidth="1"/>
    <col min="19" max="19" width="11" customWidth="1"/>
    <col min="20" max="21" width="17.85546875" bestFit="1" customWidth="1"/>
    <col min="22" max="22" width="17.85546875" style="48" bestFit="1" customWidth="1"/>
    <col min="23" max="23" width="17.85546875" bestFit="1" customWidth="1"/>
  </cols>
  <sheetData>
    <row r="1" spans="2:18" ht="20.25" thickBot="1" x14ac:dyDescent="0.35">
      <c r="J1" s="187" t="s">
        <v>57</v>
      </c>
      <c r="K1" s="188"/>
      <c r="L1" s="126">
        <v>2018</v>
      </c>
    </row>
    <row r="2" spans="2:18" x14ac:dyDescent="0.25">
      <c r="J2" s="93" t="s">
        <v>79</v>
      </c>
      <c r="K2" s="94" t="str">
        <f>IF((SUMIFS(Tabela2[Bruto USD],Tabela2[Mês],Plan4!A1,Tabela2[Ano],L$1))=0,"SR",SUMIFS(Tabela2[Bruto USD],Tabela2[Mês],Plan4!A1,Tabela2[Ano],L$1))</f>
        <v>SR</v>
      </c>
      <c r="L2" s="95" t="str">
        <f>IF((SUMIFS(Tabela2[Bruto BRL],Tabela2[Mês],Plan4!A1,Tabela2[Ano],L$1))=0,"SR",SUMIFS(Tabela2[Bruto BRL],Tabela2[Mês],Plan4!A1,Tabela2[Ano],L$1))</f>
        <v>SR</v>
      </c>
    </row>
    <row r="3" spans="2:18" x14ac:dyDescent="0.25">
      <c r="J3" s="127" t="s">
        <v>80</v>
      </c>
      <c r="K3" s="128" t="str">
        <f>IF((SUMIFS(Tabela2[Bruto USD],Tabela2[Mês],Plan4!A2,Tabela2[Ano],L$1))=0,"SR",SUMIFS(Tabela2[Bruto USD],Tabela2[Mês],Plan4!A2,Tabela2[Ano],L$1))</f>
        <v>SR</v>
      </c>
      <c r="L3" s="129" t="str">
        <f>IF((SUMIFS(Tabela2[Bruto BRL],Tabela2[Mês],Plan4!A2,Tabela2[Ano],L$1))=0,"SR",SUMIFS(Tabela2[Bruto BRL],Tabela2[Mês],Plan4!A2,Tabela2[Ano],L$1))</f>
        <v>SR</v>
      </c>
    </row>
    <row r="4" spans="2:18" ht="15.75" customHeight="1" thickBot="1" x14ac:dyDescent="0.3">
      <c r="B4" s="211">
        <v>1.5E-3</v>
      </c>
      <c r="C4" s="211"/>
      <c r="D4" s="209" t="s">
        <v>83</v>
      </c>
      <c r="E4" s="209"/>
      <c r="F4" s="189">
        <f ca="1">TODAY()+(B4-INDEX(Tabela2[Posterior],MATCH(9.99999999999999+307,Tabela2[Posterior])))/R8</f>
        <v>43353.329933644942</v>
      </c>
      <c r="G4" s="189"/>
      <c r="H4" s="189"/>
      <c r="J4" s="21" t="s">
        <v>81</v>
      </c>
      <c r="K4" s="47" t="str">
        <f>IF((SUMIFS(Tabela2[Bruto USD],Tabela2[Mês],Plan4!A3,Tabela2[Ano],L$1))=0,"SR",SUMIFS(Tabela2[Bruto USD],Tabela2[Mês],Plan4!A3,Tabela2[Ano],L$1))</f>
        <v>SR</v>
      </c>
      <c r="L4" s="92" t="str">
        <f>IF((SUMIFS(Tabela2[Bruto BRL],Tabela2[Mês],Plan4!A3,Tabela2[Ano],L$1))=0,"SR",SUMIFS(Tabela2[Bruto BRL],Tabela2[Mês],Plan4!A3,Tabela2[Ano],L$1))</f>
        <v>SR</v>
      </c>
    </row>
    <row r="5" spans="2:18" ht="16.5" customHeight="1" thickTop="1" thickBot="1" x14ac:dyDescent="0.3">
      <c r="B5" s="212"/>
      <c r="C5" s="212"/>
      <c r="D5" s="210"/>
      <c r="E5" s="210"/>
      <c r="F5" s="189"/>
      <c r="G5" s="189"/>
      <c r="H5" s="189"/>
      <c r="J5" s="127" t="s">
        <v>28</v>
      </c>
      <c r="K5" s="128" t="str">
        <f>IF((SUMIFS(Tabela2[Bruto USD],Tabela2[Mês],Plan4!A4,Tabela2[Ano],L$1))=0,"SR",SUMIFS(Tabela2[Bruto USD],Tabela2[Mês],Plan4!A4,Tabela2[Ano],L$1))</f>
        <v>SR</v>
      </c>
      <c r="L5" s="129" t="str">
        <f>IF((SUMIFS(Tabela2[Bruto BRL],Tabela2[Mês],Plan4!A4,Tabela2[Ano],L$1))=0,"SR",SUMIFS(Tabela2[Bruto BRL],Tabela2[Mês],Plan4!A4,Tabela2[Ano],L$1))</f>
        <v>SR</v>
      </c>
    </row>
    <row r="6" spans="2:18" ht="16.5" thickTop="1" thickBot="1" x14ac:dyDescent="0.3">
      <c r="B6" s="207" t="s">
        <v>76</v>
      </c>
      <c r="C6" s="207"/>
      <c r="D6" s="207"/>
      <c r="E6" s="207"/>
      <c r="F6" s="208">
        <f>B4-INDEX(Tabela2[Posterior],MATCH(9.99999999999999+307,Tabela2[Posterior]))</f>
        <v>1.2060325198710001E-3</v>
      </c>
      <c r="G6" s="208"/>
      <c r="H6" s="208"/>
      <c r="J6" s="21" t="s">
        <v>29</v>
      </c>
      <c r="K6" s="47">
        <f>IF((SUMIFS(Tabela2[Bruto USD],Tabela2[Mês],Plan4!A5,Tabela2[Ano],L$1))=0,"SR",SUMIFS(Tabela2[Bruto USD],Tabela2[Mês],Plan4!A5,Tabela2[Ano],L$1))</f>
        <v>7.4556596018554684</v>
      </c>
      <c r="L6" s="92">
        <f>IF((SUMIFS(Tabela2[Bruto BRL],Tabela2[Mês],Plan4!A5,Tabela2[Ano],L$1))=0,"SR",SUMIFS(Tabela2[Bruto BRL],Tabela2[Mês],Plan4!A5,Tabela2[Ano],L$1))</f>
        <v>27.385297768608282</v>
      </c>
      <c r="P6" s="175" t="s">
        <v>47</v>
      </c>
      <c r="Q6" s="214"/>
      <c r="R6" s="176"/>
    </row>
    <row r="7" spans="2:18" ht="16.5" thickTop="1" thickBot="1" x14ac:dyDescent="0.3">
      <c r="B7" s="207"/>
      <c r="C7" s="207"/>
      <c r="D7" s="207"/>
      <c r="E7" s="207"/>
      <c r="F7" s="208"/>
      <c r="G7" s="208"/>
      <c r="H7" s="208"/>
      <c r="J7" s="127" t="s">
        <v>30</v>
      </c>
      <c r="K7" s="128" t="str">
        <f>IF((SUMIFS(Tabela2[Bruto USD],Tabela2[Mês],Plan4!A6,Tabela2[Ano],L$1))=0,"SR",SUMIFS(Tabela2[Bruto USD],Tabela2[Mês],Plan4!A6,Tabela2[Ano],L$1))</f>
        <v>SR</v>
      </c>
      <c r="L7" s="129" t="str">
        <f>IF((SUMIFS(Tabela2[Bruto BRL],Tabela2[Mês],Plan4!A6,Tabela2[Ano],L$1))=0,"SR",SUMIFS(Tabela2[Bruto BRL],Tabela2[Mês],Plan4!A6,Tabela2[Ano],L$1))</f>
        <v>SR</v>
      </c>
      <c r="P7" s="158" t="s">
        <v>26</v>
      </c>
      <c r="Q7" s="159" t="s">
        <v>27</v>
      </c>
      <c r="R7" s="120" t="s">
        <v>75</v>
      </c>
    </row>
    <row r="8" spans="2:18" ht="16.5" thickTop="1" thickBot="1" x14ac:dyDescent="0.3">
      <c r="B8" s="189" t="s">
        <v>62</v>
      </c>
      <c r="C8" s="189"/>
      <c r="D8" s="189"/>
      <c r="E8" s="189"/>
      <c r="F8" s="191">
        <f>INDEX(Tabela2[BRL],MATCH(9.99999999999999+307,Tabela2[BRL]))</f>
        <v>8.9807065179409502</v>
      </c>
      <c r="G8" s="191"/>
      <c r="H8" s="191"/>
      <c r="J8" s="21" t="s">
        <v>31</v>
      </c>
      <c r="K8" s="47" t="str">
        <f>IF((SUMIFS(Tabela2[Bruto USD],Tabela2[Mês],Plan4!A7,Tabela2[Ano],L$1))=0,"SR",SUMIFS(Tabela2[Bruto USD],Tabela2[Mês],Plan4!A7,Tabela2[Ano],L$1))</f>
        <v>SR</v>
      </c>
      <c r="L8" s="92" t="str">
        <f>IF((SUMIFS(Tabela2[Bruto BRL],Tabela2[Mês],Plan4!A7,Tabela2[Ano],L$1))=0,"SR",SUMIFS(Tabela2[Bruto BRL],Tabela2[Mês],Plan4!A7,Tabela2[Ano],L$1))</f>
        <v>SR</v>
      </c>
      <c r="P8" s="160">
        <f>SUM(Tabela2[porcentagem])/COUNT(Tabela2[porcentagem])</f>
        <v>0.18178082751385968</v>
      </c>
      <c r="Q8" s="161">
        <f>SUM(Tabela2[Bruto BRL])/COUNT(Tabela2[Bruto BRL])</f>
        <v>1.4413314615056991</v>
      </c>
      <c r="R8" s="121">
        <f>SUM(Tabela2[Variação])/COUNT(Tabela2[Variação])</f>
        <v>1.0457237611736844E-5</v>
      </c>
    </row>
    <row r="9" spans="2:18" ht="16.5" thickTop="1" thickBot="1" x14ac:dyDescent="0.3">
      <c r="B9" s="189"/>
      <c r="C9" s="189"/>
      <c r="D9" s="189"/>
      <c r="E9" s="189"/>
      <c r="F9" s="191"/>
      <c r="G9" s="191"/>
      <c r="H9" s="191"/>
      <c r="J9" s="127" t="s">
        <v>32</v>
      </c>
      <c r="K9" s="128" t="str">
        <f>IF((SUMIFS(Tabela2[Bruto USD],Tabela2[Mês],Plan4!A8,Tabela2[Ano],L$1))=0,"SR",SUMIFS(Tabela2[Bruto USD],Tabela2[Mês],Plan4!A8,Tabela2[Ano],L$1))</f>
        <v>SR</v>
      </c>
      <c r="L9" s="129" t="str">
        <f>IF((SUMIFS(Tabela2[Bruto BRL],Tabela2[Mês],Plan4!A8,Tabela2[Ano],L$1))=0,"SR",SUMIFS(Tabela2[Bruto BRL],Tabela2[Mês],Plan4!A8,Tabela2[Ano],L$1))</f>
        <v>SR</v>
      </c>
      <c r="P9" s="215" t="s">
        <v>1</v>
      </c>
      <c r="Q9" s="216"/>
      <c r="R9" s="48"/>
    </row>
    <row r="10" spans="2:18" ht="15.75" thickTop="1" x14ac:dyDescent="0.25">
      <c r="J10" s="21" t="s">
        <v>33</v>
      </c>
      <c r="K10" s="47" t="str">
        <f>IF((SUMIFS(Tabela2[Bruto USD],Tabela2[Mês],Plan4!A9,Tabela2[Ano],L$1))=0,"SR",SUMIFS(Tabela2[Bruto USD],Tabela2[Mês],Plan4!A9,Tabela2[Ano],L$1))</f>
        <v>SR</v>
      </c>
      <c r="L10" s="92" t="str">
        <f>IF((SUMIFS(Tabela2[Bruto BRL],Tabela2[Mês],Plan4!A9,Tabela2[Ano],L$1))=0,"SR",SUMIFS(Tabela2[Bruto BRL],Tabela2[Mês],Plan4!A9,Tabela2[Ano],L$1))</f>
        <v>SR</v>
      </c>
      <c r="P10" s="162" t="s">
        <v>54</v>
      </c>
      <c r="Q10" s="163" t="s">
        <v>55</v>
      </c>
      <c r="R10" s="48"/>
    </row>
    <row r="11" spans="2:18" x14ac:dyDescent="0.25">
      <c r="J11" s="127" t="s">
        <v>34</v>
      </c>
      <c r="K11" s="128" t="str">
        <f>IF((SUMIFS(Tabela2[Bruto USD],Tabela2[Mês],Plan4!A10,Tabela2[Ano],L$1))=0,"SR",SUMIFS(Tabela2[Bruto USD],Tabela2[Mês],Plan4!A10,Tabela2[Ano],L$1))</f>
        <v>SR</v>
      </c>
      <c r="L11" s="129" t="str">
        <f>IF((SUMIFS(Tabela2[Bruto BRL],Tabela2[Mês],Plan4!A10,Tabela2[Ano],L$1))=0,"SR",SUMIFS(Tabela2[Bruto BRL],Tabela2[Mês],Plan4!A10,Tabela2[Ano],L$1))</f>
        <v>SR</v>
      </c>
      <c r="P11" s="81">
        <f>LARGE(Tabela2[Variação],1)</f>
        <v>1.0562723617200002E-4</v>
      </c>
      <c r="Q11" s="82">
        <f>SMALL(Tabela2[Variação],1)</f>
        <v>-6.4662838299999999E-4</v>
      </c>
      <c r="R11" s="48"/>
    </row>
    <row r="12" spans="2:18" x14ac:dyDescent="0.25">
      <c r="J12" s="21" t="s">
        <v>35</v>
      </c>
      <c r="K12" s="47" t="str">
        <f>IF((SUMIFS(Tabela2[Bruto USD],Tabela2[Mês],Plan4!A11,Tabela2[Ano],L$1))=0,"SR",SUMIFS(Tabela2[Bruto USD],Tabela2[Mês],Plan4!A11,Tabela2[Ano],L$1))</f>
        <v>SR</v>
      </c>
      <c r="L12" s="92" t="str">
        <f>IF((SUMIFS(Tabela2[Bruto BRL],Tabela2[Mês],Plan4!A11,Tabela2[Ano],L$1))=0,"SR",SUMIFS(Tabela2[Bruto BRL],Tabela2[Mês],Plan4!A11,Tabela2[Ano],L$1))</f>
        <v>SR</v>
      </c>
      <c r="P12" s="158">
        <f>LARGE(Tabela2[Bruto USD],1)</f>
        <v>0.84516576750664085</v>
      </c>
      <c r="Q12" s="120">
        <f>SMALL(Tabela2[Bruto USD],1)</f>
        <v>0</v>
      </c>
      <c r="R12" s="48"/>
    </row>
    <row r="13" spans="2:18" ht="15.75" thickBot="1" x14ac:dyDescent="0.3">
      <c r="J13" s="127" t="s">
        <v>36</v>
      </c>
      <c r="K13" s="128" t="str">
        <f>IF((SUMIFS(Tabela2[Bruto USD],Tabela2[Mês],Plan4!A12,Tabela2[Ano],L$1))=0,"SR",SUMIFS(Tabela2[Bruto USD],Tabela2[Mês],Plan4!A12,Tabela2[Ano],L$1))</f>
        <v>SR</v>
      </c>
      <c r="L13" s="129" t="str">
        <f>IF((SUMIFS(Tabela2[Bruto BRL],Tabela2[Mês],Plan4!A12,Tabela2[Ano],L$1))=0,"SR",SUMIFS(Tabela2[Bruto BRL],Tabela2[Mês],Plan4!A12,Tabela2[Ano],L$1))</f>
        <v>SR</v>
      </c>
      <c r="P13" s="164">
        <f>LARGE(Tabela2[Bruto BRL],1)</f>
        <v>3.2092723166138764</v>
      </c>
      <c r="Q13" s="121">
        <f>SMALL(Tabela2[Bruto BRL],1)</f>
        <v>0</v>
      </c>
      <c r="R13" s="48"/>
    </row>
    <row r="14" spans="2:18" ht="15.75" thickBot="1" x14ac:dyDescent="0.3">
      <c r="J14" s="96" t="s">
        <v>59</v>
      </c>
      <c r="K14" s="97">
        <f>SUM(K6:K13)</f>
        <v>7.4556596018554684</v>
      </c>
      <c r="L14" s="133">
        <f>SUM(L6:L13)</f>
        <v>27.385297768608282</v>
      </c>
    </row>
    <row r="32" spans="1:18" ht="20.25" thickBot="1" x14ac:dyDescent="0.35">
      <c r="A32" s="8"/>
      <c r="B32" s="12"/>
      <c r="C32" s="12"/>
      <c r="E32" s="217" t="s">
        <v>8</v>
      </c>
      <c r="F32" s="218"/>
      <c r="H32" s="193" t="s">
        <v>9</v>
      </c>
      <c r="I32" s="194"/>
      <c r="J32" s="179" t="s">
        <v>58</v>
      </c>
      <c r="K32" s="180"/>
      <c r="L32" s="180"/>
      <c r="M32" s="177" t="s">
        <v>11</v>
      </c>
      <c r="N32" s="178"/>
      <c r="P32" s="219" t="s">
        <v>108</v>
      </c>
      <c r="Q32" s="219"/>
      <c r="R32" s="219"/>
    </row>
    <row r="33" spans="1:19" ht="15.75" thickTop="1" x14ac:dyDescent="0.25">
      <c r="A33" s="24" t="s">
        <v>45</v>
      </c>
      <c r="B33" s="17" t="s">
        <v>37</v>
      </c>
      <c r="C33" s="17" t="s">
        <v>77</v>
      </c>
      <c r="D33" s="2" t="s">
        <v>0</v>
      </c>
      <c r="E33" s="54" t="s">
        <v>12</v>
      </c>
      <c r="F33" s="49" t="s">
        <v>13</v>
      </c>
      <c r="G33" s="55" t="s">
        <v>1</v>
      </c>
      <c r="H33" s="50" t="s">
        <v>14</v>
      </c>
      <c r="I33" s="51" t="s">
        <v>15</v>
      </c>
      <c r="J33" s="52" t="s">
        <v>16</v>
      </c>
      <c r="K33" s="53" t="s">
        <v>17</v>
      </c>
      <c r="L33" s="31" t="s">
        <v>39</v>
      </c>
      <c r="M33" s="52" t="s">
        <v>18</v>
      </c>
      <c r="N33" s="51" t="s">
        <v>19</v>
      </c>
      <c r="P33" s="159">
        <f>SUMIF(Tabela2[Tipo],"Tech Upgrade",Tabela2[Variação])</f>
        <v>-6.4662838299999999E-4</v>
      </c>
      <c r="Q33" s="170">
        <f ca="1">VLOOKUP(TODAY(),Tabela25[#All],2)*P33</f>
        <v>-5.2179677366185002</v>
      </c>
      <c r="R33" s="171">
        <f ca="1">VLOOKUP(TODAY(),Tabela25[#All],4)*P33</f>
        <v>-19.754497100649999</v>
      </c>
    </row>
    <row r="34" spans="1:19" x14ac:dyDescent="0.25">
      <c r="A34" s="8">
        <v>43221</v>
      </c>
      <c r="B34" s="6">
        <v>5</v>
      </c>
      <c r="C34" s="6">
        <v>2018</v>
      </c>
      <c r="D34" s="6" t="s">
        <v>46</v>
      </c>
      <c r="E34" s="48" t="s">
        <v>6</v>
      </c>
      <c r="F34" s="48">
        <v>9.5279965506E-5</v>
      </c>
      <c r="G34" s="48" t="str">
        <f t="shared" ref="G34:G39" si="0">IFERROR(F34-E34,"-")</f>
        <v>-</v>
      </c>
      <c r="H34" s="4">
        <f>VLOOKUP(Tabela2[[Data ]],Tabela25[],2)*Tabela2[Posterior]</f>
        <v>0.86417975914286937</v>
      </c>
      <c r="I34" s="5">
        <f>VLOOKUP(Tabela2[[Data ]],Tabela25[],4)*Tabela2[Posterior]</f>
        <v>3.0632508910178999</v>
      </c>
      <c r="J34" s="5" t="str">
        <f>IF(Tabela2[[#This Row],[Tipo]]="mining",IFERROR(VLOOKUP(Tabela2[[Data ]],Tabela25[],4)*Tabela2[Variação],"-"),0)</f>
        <v>-</v>
      </c>
      <c r="K34" s="4" t="str">
        <f>IF(Tabela2[[#This Row],[Tipo]]="Mining",IFERROR(VLOOKUP(Tabela2[[Data ]],Tabela25[],2)*Tabela2[Variação],"-"),0)</f>
        <v>-</v>
      </c>
      <c r="L34" s="3" t="str">
        <f>IF(Tabela2[[#This Row],[Tipo]]="Mining",IFERROR(Tabela2[Variação]/Tabela2[Anterior],"-"),0)</f>
        <v>-</v>
      </c>
      <c r="M34" s="5" t="str">
        <f>IFERROR(Tabela2[[#This Row],[Bruto BRL]]*30,"-")</f>
        <v>-</v>
      </c>
      <c r="N34" s="5" t="str">
        <f>IFERROR(Tabela2[Mensal]*12,"-")</f>
        <v>-</v>
      </c>
      <c r="P34" s="213" t="s">
        <v>109</v>
      </c>
      <c r="Q34" s="213"/>
      <c r="R34" s="213"/>
    </row>
    <row r="35" spans="1:19" x14ac:dyDescent="0.25">
      <c r="A35" s="8">
        <v>43222</v>
      </c>
      <c r="B35" s="6">
        <v>5</v>
      </c>
      <c r="C35" s="6">
        <v>2018</v>
      </c>
      <c r="D35" s="6" t="s">
        <v>46</v>
      </c>
      <c r="E35" s="48">
        <f t="shared" ref="E35:E44" si="1">F34</f>
        <v>9.5279965506E-5</v>
      </c>
      <c r="F35" s="48">
        <v>1.17699359826E-4</v>
      </c>
      <c r="G35" s="48">
        <f t="shared" si="0"/>
        <v>2.2419394319999996E-5</v>
      </c>
      <c r="H35" s="4">
        <f>VLOOKUP(Tabela2[[Data ]],Tabela25[],2)*Tabela2[Posterior]</f>
        <v>1.0766784338803002</v>
      </c>
      <c r="I35" s="5">
        <f>VLOOKUP(Tabela2[[Data ]],Tabela25[],4)*Tabela2[Posterior]</f>
        <v>3.8016893223797998</v>
      </c>
      <c r="J35" s="5">
        <f>IF(Tabela2[[#This Row],[Tipo]]="mining",IFERROR(VLOOKUP(Tabela2[[Data ]],Tabela25[],4)*Tabela2[Variação],"-"),0)</f>
        <v>0.72414643653599986</v>
      </c>
      <c r="K35" s="4">
        <f>IF(Tabela2[[#This Row],[Tipo]]="Mining",IFERROR(VLOOKUP(Tabela2[[Data ]],Tabela25[],2)*Tabela2[Variação],"-"),0)</f>
        <v>0.20508589342106398</v>
      </c>
      <c r="L35" s="3">
        <f>IF(Tabela2[[#This Row],[Tipo]]="Mining",IFERROR(Tabela2[Variação]/Tabela2[Anterior],"-"),0)</f>
        <v>0.23530019349753223</v>
      </c>
      <c r="M35" s="5">
        <f>IFERROR(Tabela2[[#This Row],[Bruto BRL]]*30,"-")</f>
        <v>21.724393096079996</v>
      </c>
      <c r="N35" s="5">
        <f>IFERROR(Tabela2[Mensal]*12,"-")</f>
        <v>260.69271715295997</v>
      </c>
      <c r="P35" s="159">
        <f>SUMIF(Tabela2[Tipo],"Mining",Tabela2[Variação])</f>
        <v>8.4531589762300004E-4</v>
      </c>
      <c r="Q35" s="170">
        <f ca="1">VLOOKUP(TODAY(),Tabela25[#All],2)*P35</f>
        <v>6.8212766358687986</v>
      </c>
      <c r="R35" s="171">
        <f ca="1">VLOOKUP(TODAY(),Tabela25[#All],4)*P35</f>
        <v>25.824400672382652</v>
      </c>
    </row>
    <row r="36" spans="1:19" x14ac:dyDescent="0.25">
      <c r="A36" s="8">
        <v>43223</v>
      </c>
      <c r="B36" s="6">
        <v>5</v>
      </c>
      <c r="C36" s="6">
        <v>2018</v>
      </c>
      <c r="D36" s="6" t="s">
        <v>46</v>
      </c>
      <c r="E36" s="48">
        <f t="shared" si="1"/>
        <v>1.17699359826E-4</v>
      </c>
      <c r="F36" s="48">
        <v>1.4678090079599999E-4</v>
      </c>
      <c r="G36" s="48">
        <f t="shared" si="0"/>
        <v>2.9081540969999999E-5</v>
      </c>
      <c r="H36" s="4">
        <f>VLOOKUP(Tabela2[[Data ]],Tabela25[],2)*Tabela2[Posterior]</f>
        <v>1.3834099900023</v>
      </c>
      <c r="I36" s="5">
        <f>VLOOKUP(Tabela2[[Data ]],Tabela25[],4)*Tabela2[Posterior]</f>
        <v>4.8834005694829195</v>
      </c>
      <c r="J36" s="5">
        <f>IF(Tabela2[[#This Row],[Tipo]]="mining",IFERROR(VLOOKUP(Tabela2[[Data ]],Tabela25[],4)*Tabela2[Variação],"-"),0)</f>
        <v>0.96754286807189993</v>
      </c>
      <c r="K36" s="4">
        <f>IF(Tabela2[[#This Row],[Tipo]]="Mining",IFERROR(VLOOKUP(Tabela2[[Data ]],Tabela25[],2)*Tabela2[Variação],"-"),0)</f>
        <v>0.27409352364224998</v>
      </c>
      <c r="L36" s="3">
        <f>IF(Tabela2[[#This Row],[Tipo]]="Mining",IFERROR(Tabela2[Variação]/Tabela2[Anterior],"-"),0)</f>
        <v>0.24708325527846953</v>
      </c>
      <c r="M36" s="5">
        <f>IFERROR(Tabela2[[#This Row],[Bruto BRL]]*30,"-")</f>
        <v>29.026286042156997</v>
      </c>
      <c r="N36" s="5">
        <f>IFERROR(Tabela2[Mensal]*12,"-")</f>
        <v>348.31543250588396</v>
      </c>
      <c r="P36" s="213" t="s">
        <v>10</v>
      </c>
      <c r="Q36" s="213"/>
      <c r="R36" s="213"/>
    </row>
    <row r="37" spans="1:19" x14ac:dyDescent="0.25">
      <c r="A37" s="8">
        <v>43224</v>
      </c>
      <c r="B37" s="6">
        <v>5</v>
      </c>
      <c r="C37" s="6">
        <v>2018</v>
      </c>
      <c r="D37" s="6" t="s">
        <v>46</v>
      </c>
      <c r="E37" s="48">
        <f t="shared" si="1"/>
        <v>1.4678090079599999E-4</v>
      </c>
      <c r="F37" s="48">
        <v>2.0519869328899999E-4</v>
      </c>
      <c r="G37" s="48">
        <f t="shared" si="0"/>
        <v>5.8417792492999995E-5</v>
      </c>
      <c r="H37" s="4">
        <f>VLOOKUP(Tabela2[[Data ]],Tabela25[],2)*Tabela2[Posterior]</f>
        <v>2.0026161272846665</v>
      </c>
      <c r="I37" s="5">
        <f>VLOOKUP(Tabela2[[Data ]],Tabela25[],4)*Tabela2[Posterior]</f>
        <v>7.0087665679790838</v>
      </c>
      <c r="J37" s="5">
        <f>IF(Tabela2[[#This Row],[Tipo]]="mining",IFERROR(VLOOKUP(Tabela2[[Data ]],Tabela25[],4)*Tabela2[Variação],"-"),0)</f>
        <v>1.9953181203909078</v>
      </c>
      <c r="K37" s="4">
        <f>IF(Tabela2[[#This Row],[Tipo]]="Mining",IFERROR(VLOOKUP(Tabela2[[Data ]],Tabela25[],2)*Tabela2[Variação],"-"),0)</f>
        <v>0.57012260405618409</v>
      </c>
      <c r="L37" s="3">
        <f>IF(Tabela2[[#This Row],[Tipo]]="Mining",IFERROR(Tabela2[Variação]/Tabela2[Anterior],"-"),0)</f>
        <v>0.39799314608506592</v>
      </c>
      <c r="M37" s="5">
        <f>IFERROR(Tabela2[[#This Row],[Bruto BRL]]*30,"-")</f>
        <v>59.859543611727233</v>
      </c>
      <c r="N37" s="5">
        <f>IFERROR(Tabela2[Mensal]*12,"-")</f>
        <v>718.31452334072674</v>
      </c>
      <c r="P37" s="159">
        <f>P35+P33</f>
        <v>1.9868751462300005E-4</v>
      </c>
      <c r="Q37" s="170">
        <f ca="1">Q35+Q33</f>
        <v>1.6033088992502984</v>
      </c>
      <c r="R37" s="171">
        <f ca="1">R35+R33</f>
        <v>6.0699035717326524</v>
      </c>
    </row>
    <row r="38" spans="1:19" x14ac:dyDescent="0.25">
      <c r="A38" s="8">
        <v>43225</v>
      </c>
      <c r="B38" s="6">
        <v>5</v>
      </c>
      <c r="C38" s="6">
        <v>2018</v>
      </c>
      <c r="D38" s="6" t="s">
        <v>46</v>
      </c>
      <c r="E38" s="48">
        <f t="shared" si="1"/>
        <v>2.0519869328899999E-4</v>
      </c>
      <c r="F38" s="48">
        <v>2.31715992859E-4</v>
      </c>
      <c r="G38" s="48">
        <f t="shared" si="0"/>
        <v>2.6517299570000009E-5</v>
      </c>
      <c r="H38" s="4">
        <f>VLOOKUP(Tabela2[[Data ]],Tabela25[],2)*Tabela2[Posterior]</f>
        <v>2.3113206855699531</v>
      </c>
      <c r="I38" s="5">
        <f>VLOOKUP(Tabela2[[Data ]],Tabela25[],4)*Tabela2[Posterior]</f>
        <v>8.1332313493509005</v>
      </c>
      <c r="J38" s="5">
        <f>IF(Tabela2[[#This Row],[Tipo]]="mining",IFERROR(VLOOKUP(Tabela2[[Data ]],Tabela25[],4)*Tabela2[Variação],"-"),0)</f>
        <v>0.93075721490700025</v>
      </c>
      <c r="K38" s="4">
        <f>IF(Tabela2[[#This Row],[Tipo]]="Mining",IFERROR(VLOOKUP(Tabela2[[Data ]],Tabela25[],2)*Tabela2[Variação],"-"),0)</f>
        <v>0.26450475975083609</v>
      </c>
      <c r="L38" s="3">
        <f>IF(Tabela2[[#This Row],[Tipo]]="Mining",IFERROR(Tabela2[Variação]/Tabela2[Anterior],"-"),0)</f>
        <v>0.12922742901024853</v>
      </c>
      <c r="M38" s="5">
        <f>IFERROR(Tabela2[[#This Row],[Bruto BRL]]*30,"-")</f>
        <v>27.922716447210007</v>
      </c>
      <c r="N38" s="5">
        <f>IFERROR(Tabela2[Mensal]*12,"-")</f>
        <v>335.07259736652009</v>
      </c>
      <c r="S38" s="6"/>
    </row>
    <row r="39" spans="1:19" x14ac:dyDescent="0.25">
      <c r="A39" s="8">
        <v>43226</v>
      </c>
      <c r="B39" s="6">
        <v>5</v>
      </c>
      <c r="C39" s="6">
        <v>2018</v>
      </c>
      <c r="D39" s="6" t="s">
        <v>46</v>
      </c>
      <c r="E39" s="48">
        <f t="shared" si="1"/>
        <v>2.31715992859E-4</v>
      </c>
      <c r="F39" s="118">
        <v>2.51578774362E-4</v>
      </c>
      <c r="G39" s="48">
        <f t="shared" si="0"/>
        <v>1.9862781503000003E-5</v>
      </c>
      <c r="H39" s="4">
        <f>VLOOKUP(Tabela2[[Data ]],Tabela25[],2)*Tabela2[Posterior]</f>
        <v>2.4140241293905711</v>
      </c>
      <c r="I39" s="5">
        <f>VLOOKUP(Tabela2[[Data ]],Tabela25[],4)*Tabela2[Posterior]</f>
        <v>8.5285204508718007</v>
      </c>
      <c r="J39" s="5">
        <f>IF(Tabela2[[#This Row],[Tipo]]="mining",IFERROR(VLOOKUP(Tabela2[[Data ]],Tabela25[],4)*Tabela2[Variação],"-"),0)</f>
        <v>0.67334829295170007</v>
      </c>
      <c r="K39" s="4">
        <f>IF(Tabela2[[#This Row],[Tipo]]="Mining",IFERROR(VLOOKUP(Tabela2[[Data ]],Tabela25[],2)*Tabela2[Variação],"-"),0)</f>
        <v>0.19059331991203651</v>
      </c>
      <c r="L39" s="3">
        <f>IF(Tabela2[[#This Row],[Tipo]]="Mining",IFERROR(Tabela2[Variação]/Tabela2[Anterior],"-"),0)</f>
        <v>8.572037371234266E-2</v>
      </c>
      <c r="M39" s="5">
        <f>IFERROR(Tabela2[[#This Row],[Bruto BRL]]*30,"-")</f>
        <v>20.200448788551</v>
      </c>
      <c r="N39" s="5">
        <f>IFERROR(Tabela2[Mensal]*12,"-")</f>
        <v>242.405385462612</v>
      </c>
      <c r="S39" s="6"/>
    </row>
    <row r="40" spans="1:19" x14ac:dyDescent="0.25">
      <c r="A40" s="8">
        <v>43227</v>
      </c>
      <c r="B40" s="6">
        <v>5</v>
      </c>
      <c r="C40" s="6">
        <v>2018</v>
      </c>
      <c r="D40" s="6" t="s">
        <v>46</v>
      </c>
      <c r="E40" s="48">
        <f t="shared" si="1"/>
        <v>2.51578774362E-4</v>
      </c>
      <c r="F40" s="48">
        <v>3.09788237813E-4</v>
      </c>
      <c r="G40" s="48">
        <f t="shared" ref="G40:G45" si="2">IFERROR(F40-E40,"-")</f>
        <v>5.8209463451E-5</v>
      </c>
      <c r="H40" s="4">
        <f>VLOOKUP(Tabela2[[Data ]],Tabela25[],2)*Tabela2[Posterior]</f>
        <v>2.8813713787224944</v>
      </c>
      <c r="I40" s="5">
        <f>VLOOKUP(Tabela2[[Data ]],Tabela25[],4)*Tabela2[Posterior]</f>
        <v>10.353122907710461</v>
      </c>
      <c r="J40" s="5">
        <f>IF(Tabela2[[#This Row],[Tipo]]="mining",IFERROR(VLOOKUP(Tabela2[[Data ]],Tabela25[],4)*Tabela2[Variação],"-"),0)</f>
        <v>1.9453602685324201</v>
      </c>
      <c r="K40" s="4">
        <f>IF(Tabela2[[#This Row],[Tipo]]="Mining",IFERROR(VLOOKUP(Tabela2[[Data ]],Tabela25[],2)*Tabela2[Variação],"-"),0)</f>
        <v>0.54141204050409608</v>
      </c>
      <c r="L40" s="3">
        <f>IF(Tabela2[[#This Row],[Tipo]]="Mining",IFERROR(Tabela2[Variação]/Tabela2[Anterior],"-"),0)</f>
        <v>0.23137668747539741</v>
      </c>
      <c r="M40" s="5">
        <f>IFERROR(Tabela2[[#This Row],[Bruto BRL]]*30,"-")</f>
        <v>58.360808055972605</v>
      </c>
      <c r="N40" s="5">
        <f>IFERROR(Tabela2[Mensal]*12,"-")</f>
        <v>700.32969667167129</v>
      </c>
      <c r="S40" s="6"/>
    </row>
    <row r="41" spans="1:19" x14ac:dyDescent="0.25">
      <c r="A41" s="8">
        <v>43228</v>
      </c>
      <c r="B41" s="6">
        <v>5</v>
      </c>
      <c r="C41" s="6">
        <v>2018</v>
      </c>
      <c r="D41" s="6" t="s">
        <v>46</v>
      </c>
      <c r="E41" s="48">
        <f t="shared" si="1"/>
        <v>3.09788237813E-4</v>
      </c>
      <c r="F41" s="48">
        <v>3.6019482209500003E-4</v>
      </c>
      <c r="G41" s="48">
        <f t="shared" si="2"/>
        <v>5.0406584282000025E-5</v>
      </c>
      <c r="H41" s="4">
        <f>VLOOKUP(Tabela2[[Data ]],Tabela25[],2)*Tabela2[Posterior]</f>
        <v>3.2876422191899031</v>
      </c>
      <c r="I41" s="5">
        <f>VLOOKUP(Tabela2[[Data ]],Tabela25[],4)*Tabela2[Posterior]</f>
        <v>12.065445955716216</v>
      </c>
      <c r="J41" s="5">
        <f>IF(Tabela2[[#This Row],[Tipo]]="mining",IFERROR(VLOOKUP(Tabela2[[Data ]],Tabela25[],4)*Tabela2[Variação],"-"),0)</f>
        <v>1.6884693536941549</v>
      </c>
      <c r="K41" s="4">
        <f>IF(Tabela2[[#This Row],[Tipo]]="Mining",IFERROR(VLOOKUP(Tabela2[[Data ]],Tabela25[],2)*Tabela2[Variação],"-"),0)</f>
        <v>0.46008105737552701</v>
      </c>
      <c r="L41" s="3">
        <f>IF(Tabela2[[#This Row],[Tipo]]="Mining",IFERROR(Tabela2[Variação]/Tabela2[Anterior],"-"),0)</f>
        <v>0.16271303467766701</v>
      </c>
      <c r="M41" s="5">
        <f>IFERROR(Tabela2[[#This Row],[Bruto BRL]]*30,"-")</f>
        <v>50.654080610824643</v>
      </c>
      <c r="N41" s="5">
        <f>IFERROR(Tabela2[Mensal]*12,"-")</f>
        <v>607.84896732989569</v>
      </c>
    </row>
    <row r="42" spans="1:19" x14ac:dyDescent="0.25">
      <c r="A42" s="8">
        <v>43229</v>
      </c>
      <c r="B42" s="6">
        <v>5</v>
      </c>
      <c r="C42" s="6">
        <v>2018</v>
      </c>
      <c r="D42" s="6" t="s">
        <v>46</v>
      </c>
      <c r="E42" s="48">
        <f t="shared" si="1"/>
        <v>3.6019482209500003E-4</v>
      </c>
      <c r="F42" s="48">
        <v>4.23337286342E-4</v>
      </c>
      <c r="G42" s="48">
        <f t="shared" si="2"/>
        <v>6.3142464246999973E-5</v>
      </c>
      <c r="H42" s="4">
        <f>VLOOKUP(Tabela2[[Data ]],Tabela25[],2)*Tabela2[Posterior]</f>
        <v>3.9264109970934156</v>
      </c>
      <c r="I42" s="5">
        <f>VLOOKUP(Tabela2[[Data ]],Tabela25[],4)*Tabela2[Posterior]</f>
        <v>14.2452996854083</v>
      </c>
      <c r="J42" s="5">
        <f>IF(Tabela2[[#This Row],[Tipo]]="mining",IFERROR(VLOOKUP(Tabela2[[Data ]],Tabela25[],4)*Tabela2[Variação],"-"),0)</f>
        <v>2.1247439219115489</v>
      </c>
      <c r="K42" s="4">
        <f>IF(Tabela2[[#This Row],[Tipo]]="Mining",IFERROR(VLOOKUP(Tabela2[[Data ]],Tabela25[],2)*Tabela2[Variação],"-"),0)</f>
        <v>0.58564004164450001</v>
      </c>
      <c r="L42" s="3">
        <f>IF(Tabela2[[#This Row],[Tipo]]="Mining",IFERROR(Tabela2[Variação]/Tabela2[Anterior],"-"),0)</f>
        <v>0.17530086601396616</v>
      </c>
      <c r="M42" s="5">
        <f>IFERROR(Tabela2[[#This Row],[Bruto BRL]]*30,"-")</f>
        <v>63.742317657346469</v>
      </c>
      <c r="N42" s="5">
        <f>IFERROR(Tabela2[Mensal]*12,"-")</f>
        <v>764.90781188815765</v>
      </c>
    </row>
    <row r="43" spans="1:19" x14ac:dyDescent="0.25">
      <c r="A43" s="8">
        <v>43230</v>
      </c>
      <c r="B43" s="6">
        <v>5</v>
      </c>
      <c r="C43" s="6">
        <v>2018</v>
      </c>
      <c r="D43" s="6" t="s">
        <v>46</v>
      </c>
      <c r="E43" s="48">
        <f t="shared" si="1"/>
        <v>4.23337286342E-4</v>
      </c>
      <c r="F43" s="48">
        <v>4.84013439315E-4</v>
      </c>
      <c r="G43" s="48">
        <f t="shared" si="2"/>
        <v>6.0676152973000003E-5</v>
      </c>
      <c r="H43" s="4">
        <f>VLOOKUP(Tabela2[[Data ]],Tabela25[],2)*Tabela2[Posterior]</f>
        <v>4.5400460607747002</v>
      </c>
      <c r="I43" s="5">
        <f>VLOOKUP(Tabela2[[Data ]],Tabela25[],4)*Tabela2[Posterior]</f>
        <v>16.455972923270686</v>
      </c>
      <c r="J43" s="5">
        <f>IF(Tabela2[[#This Row],[Tipo]]="mining",IFERROR(VLOOKUP(Tabela2[[Data ]],Tabela25[],4)*Tabela2[Variação],"-"),0)</f>
        <v>2.0629285249290272</v>
      </c>
      <c r="K43" s="4">
        <f>IF(Tabela2[[#This Row],[Tipo]]="Mining",IFERROR(VLOOKUP(Tabela2[[Data ]],Tabela25[],2)*Tabela2[Variação],"-"),0)</f>
        <v>0.56914231488674005</v>
      </c>
      <c r="L43" s="3">
        <f>IF(Tabela2[[#This Row],[Tipo]]="Mining",IFERROR(Tabela2[Variação]/Tabela2[Anterior],"-"),0)</f>
        <v>0.14332815683989095</v>
      </c>
      <c r="M43" s="5">
        <f>IFERROR(Tabela2[[#This Row],[Bruto BRL]]*30,"-")</f>
        <v>61.887855747870816</v>
      </c>
      <c r="N43" s="5">
        <f>IFERROR(Tabela2[Mensal]*12,"-")</f>
        <v>742.65426897444979</v>
      </c>
    </row>
    <row r="44" spans="1:19" x14ac:dyDescent="0.25">
      <c r="A44" s="8">
        <v>43231</v>
      </c>
      <c r="B44" s="6">
        <v>5</v>
      </c>
      <c r="C44" s="6">
        <v>2018</v>
      </c>
      <c r="D44" s="6" t="s">
        <v>46</v>
      </c>
      <c r="E44" s="48">
        <f t="shared" si="1"/>
        <v>4.84013439315E-4</v>
      </c>
      <c r="F44" s="48">
        <v>5.5315942333499998E-4</v>
      </c>
      <c r="G44" s="48">
        <f t="shared" si="2"/>
        <v>6.9145984019999981E-5</v>
      </c>
      <c r="H44" s="4">
        <f>VLOOKUP(Tabela2[[Data ]],Tabela25[],2)*Tabela2[Posterior]</f>
        <v>4.6519048024203498</v>
      </c>
      <c r="I44" s="5">
        <f>VLOOKUP(Tabela2[[Data ]],Tabela25[],4)*Tabela2[Posterior]</f>
        <v>17.208236500528514</v>
      </c>
      <c r="J44" s="5">
        <f>IF(Tabela2[[#This Row],[Tipo]]="mining",IFERROR(VLOOKUP(Tabela2[[Data ]],Tabela25[],4)*Tabela2[Variação],"-"),0)</f>
        <v>2.1510624168781796</v>
      </c>
      <c r="K44" s="4">
        <f>IF(Tabela2[[#This Row],[Tipo]]="Mining",IFERROR(VLOOKUP(Tabela2[[Data ]],Tabela25[],2)*Tabela2[Variação],"-"),0)</f>
        <v>0.58149698181299392</v>
      </c>
      <c r="L44" s="3">
        <f>IF(Tabela2[[#This Row],[Tipo]]="Mining",IFERROR(Tabela2[Variação]/Tabela2[Anterior],"-"),0)</f>
        <v>0.14285963653790035</v>
      </c>
      <c r="M44" s="5">
        <f>IFERROR(Tabela2[[#This Row],[Bruto BRL]]*30,"-")</f>
        <v>64.531872506345394</v>
      </c>
      <c r="N44" s="5">
        <f>IFERROR(Tabela2[Mensal]*12,"-")</f>
        <v>774.38247007614473</v>
      </c>
    </row>
    <row r="45" spans="1:19" x14ac:dyDescent="0.25">
      <c r="A45" s="8">
        <v>43232</v>
      </c>
      <c r="B45" s="6">
        <v>5</v>
      </c>
      <c r="C45" s="6">
        <v>2018</v>
      </c>
      <c r="D45" s="6" t="s">
        <v>46</v>
      </c>
      <c r="E45" s="48">
        <f t="shared" ref="E45:E52" si="3">F44</f>
        <v>5.5315942333499998E-4</v>
      </c>
      <c r="F45" s="48">
        <v>6.0992827265800005E-4</v>
      </c>
      <c r="G45" s="48">
        <f t="shared" si="2"/>
        <v>5.6768849323000068E-5</v>
      </c>
      <c r="H45" s="4">
        <f>VLOOKUP(Tabela2[[Data ]],Tabela25[],2)*Tabela2[Posterior]</f>
        <v>5.1086372261288764</v>
      </c>
      <c r="I45" s="5">
        <f>VLOOKUP(Tabela2[[Data ]],Tabela25[],4)*Tabela2[Posterior]</f>
        <v>19.364612728618845</v>
      </c>
      <c r="J45" s="5">
        <f>IF(Tabela2[[#This Row],[Tipo]]="mining",IFERROR(VLOOKUP(Tabela2[[Data ]],Tabela25[],4)*Tabela2[Variação],"-"),0)</f>
        <v>1.8023541971559291</v>
      </c>
      <c r="K45" s="4">
        <f>IF(Tabela2[[#This Row],[Tipo]]="Mining",IFERROR(VLOOKUP(Tabela2[[Data ]],Tabela25[],2)*Tabela2[Variação],"-"),0)</f>
        <v>0.47548452815958392</v>
      </c>
      <c r="L45" s="3">
        <f>IF(Tabela2[[#This Row],[Tipo]]="Mining",IFERROR(Tabela2[Variação]/Tabela2[Anterior],"-"),0)</f>
        <v>0.10262656103866132</v>
      </c>
      <c r="M45" s="5">
        <f>IFERROR(Tabela2[[#This Row],[Bruto BRL]]*30,"-")</f>
        <v>54.070625914677876</v>
      </c>
      <c r="N45" s="5">
        <f>IFERROR(Tabela2[Mensal]*12,"-")</f>
        <v>648.84751097613457</v>
      </c>
    </row>
    <row r="46" spans="1:19" ht="15.75" customHeight="1" x14ac:dyDescent="0.25">
      <c r="A46" s="8">
        <v>43233</v>
      </c>
      <c r="B46" s="6">
        <v>5</v>
      </c>
      <c r="C46" s="6">
        <v>2018</v>
      </c>
      <c r="D46" s="6" t="s">
        <v>46</v>
      </c>
      <c r="E46" s="48">
        <f t="shared" si="3"/>
        <v>6.0992827265800005E-4</v>
      </c>
      <c r="F46" s="48">
        <v>6.3533190968700004E-4</v>
      </c>
      <c r="G46" s="48">
        <f t="shared" ref="G46:G51" si="4">IFERROR(F46-E46,"-")</f>
        <v>2.5403637028999985E-5</v>
      </c>
      <c r="H46" s="4">
        <f>VLOOKUP(Tabela2[[Data ]],Tabela25[],2)*Tabela2[Posterior]</f>
        <v>5.4677299479572916</v>
      </c>
      <c r="I46" s="99">
        <f>VLOOKUP(Tabela2[[Data ]],Tabela25[],4)*Tabela2[Posterior]</f>
        <v>20.584118541949113</v>
      </c>
      <c r="J46" s="5">
        <f>IF(Tabela2[[#This Row],[Tipo]]="mining",IFERROR(VLOOKUP(Tabela2[[Data ]],Tabela25[],4)*Tabela2[Variação],"-"),0)</f>
        <v>0.82305243610257051</v>
      </c>
      <c r="K46" s="4">
        <f>IF(Tabela2[[#This Row],[Tipo]]="Mining",IFERROR(VLOOKUP(Tabela2[[Data ]],Tabela25[],2)*Tabela2[Variação],"-"),0)</f>
        <v>0.21862624063527678</v>
      </c>
      <c r="L46" s="3">
        <f>IF(Tabela2[[#This Row],[Tipo]]="Mining",IFERROR(Tabela2[Variação]/Tabela2[Anterior],"-"),0)</f>
        <v>4.1650204077757769E-2</v>
      </c>
      <c r="M46" s="5">
        <f>IFERROR(Tabela2[[#This Row],[Bruto BRL]]*30,"-")</f>
        <v>24.691573083077117</v>
      </c>
      <c r="N46" s="5">
        <f>IFERROR(Tabela2[Mensal]*12,"-")</f>
        <v>296.2988769969254</v>
      </c>
    </row>
    <row r="47" spans="1:19" ht="16.5" customHeight="1" x14ac:dyDescent="0.25">
      <c r="A47" s="8">
        <v>43234</v>
      </c>
      <c r="B47" s="6">
        <v>5</v>
      </c>
      <c r="C47" s="6">
        <v>2018</v>
      </c>
      <c r="D47" s="6" t="s">
        <v>46</v>
      </c>
      <c r="E47" s="48">
        <f t="shared" si="3"/>
        <v>6.3533190968700004E-4</v>
      </c>
      <c r="F47" s="48">
        <v>6.9062010187999996E-4</v>
      </c>
      <c r="G47" s="48">
        <f t="shared" si="4"/>
        <v>5.5288192192999921E-5</v>
      </c>
      <c r="H47" s="4">
        <f>VLOOKUP(Tabela2[[Data ]],Tabela25[],2)*Tabela2[Posterior]</f>
        <v>6.0414755892360512</v>
      </c>
      <c r="I47" s="5">
        <f>VLOOKUP(Tabela2[[Data ]],Tabela25[],4)*Tabela2[Posterior]</f>
        <v>22.341560295817999</v>
      </c>
      <c r="J47" s="5">
        <f>IF(Tabela2[[#This Row],[Tipo]]="mining",IFERROR(VLOOKUP(Tabela2[[Data ]],Tabela25[],4)*Tabela2[Variação],"-"),0)</f>
        <v>1.7885730174435475</v>
      </c>
      <c r="K47" s="4">
        <f>IF(Tabela2[[#This Row],[Tipo]]="Mining",IFERROR(VLOOKUP(Tabela2[[Data ]],Tabela25[],2)*Tabela2[Variação],"-"),0)</f>
        <v>0.48365557648514401</v>
      </c>
      <c r="L47" s="3">
        <f>IF(Tabela2[[#This Row],[Tipo]]="Mining",IFERROR(Tabela2[Variação]/Tabela2[Anterior],"-"),0)</f>
        <v>8.7022533183069573E-2</v>
      </c>
      <c r="M47" s="5">
        <f>IFERROR(Tabela2[[#This Row],[Bruto BRL]]*30,"-")</f>
        <v>53.657190523306426</v>
      </c>
      <c r="N47" s="5">
        <f>IFERROR(Tabela2[Mensal]*12,"-")</f>
        <v>643.88628627967705</v>
      </c>
    </row>
    <row r="48" spans="1:19" x14ac:dyDescent="0.25">
      <c r="A48" s="8">
        <v>43235</v>
      </c>
      <c r="B48" s="6">
        <v>5</v>
      </c>
      <c r="C48" s="6">
        <v>2018</v>
      </c>
      <c r="D48" s="6" t="s">
        <v>46</v>
      </c>
      <c r="E48" s="48">
        <f t="shared" si="3"/>
        <v>6.9062010187999996E-4</v>
      </c>
      <c r="F48" s="48">
        <v>7.2882664498100005E-4</v>
      </c>
      <c r="G48" s="48">
        <f t="shared" si="4"/>
        <v>3.8206543101000092E-5</v>
      </c>
      <c r="H48" s="4">
        <f>VLOOKUP(Tabela2[[Data ]],Tabela25[],2)*Tabela2[Posterior]</f>
        <v>6.1770244642074692</v>
      </c>
      <c r="I48" s="5">
        <f>VLOOKUP(Tabela2[[Data ]],Tabela25[],4)*Tabela2[Posterior]</f>
        <v>23.358893971641052</v>
      </c>
      <c r="J48" s="5">
        <f>IF(Tabela2[[#This Row],[Tipo]]="mining",IFERROR(VLOOKUP(Tabela2[[Data ]],Tabela25[],4)*Tabela2[Variação],"-"),0)</f>
        <v>1.224519706387053</v>
      </c>
      <c r="K48" s="4">
        <f>IF(Tabela2[[#This Row],[Tipo]]="Mining",IFERROR(VLOOKUP(Tabela2[[Data ]],Tabela25[],2)*Tabela2[Variação],"-"),0)</f>
        <v>0.32381191474390603</v>
      </c>
      <c r="L48" s="3">
        <f>IF(Tabela2[[#This Row],[Tipo]]="Mining",IFERROR(Tabela2[Variação]/Tabela2[Anterior],"-"),0)</f>
        <v>5.5322083728803401E-2</v>
      </c>
      <c r="M48" s="5">
        <f>IFERROR(Tabela2[[#This Row],[Bruto BRL]]*30,"-")</f>
        <v>36.73559119161159</v>
      </c>
      <c r="N48" s="5">
        <f>IFERROR(Tabela2[Mensal]*12,"-")</f>
        <v>440.82709429933908</v>
      </c>
      <c r="P48" s="157">
        <f>Q48+R48</f>
        <v>2.9396748012899999E-4</v>
      </c>
      <c r="Q48" s="157">
        <v>1.16717E-4</v>
      </c>
      <c r="R48">
        <v>1.7725048012900001E-4</v>
      </c>
    </row>
    <row r="49" spans="1:16" x14ac:dyDescent="0.25">
      <c r="A49" s="8">
        <v>43236</v>
      </c>
      <c r="B49" s="6">
        <v>5</v>
      </c>
      <c r="C49" s="6">
        <v>2018</v>
      </c>
      <c r="D49" s="6" t="s">
        <v>46</v>
      </c>
      <c r="E49" s="48">
        <f t="shared" si="3"/>
        <v>7.2882664498100005E-4</v>
      </c>
      <c r="F49" s="48">
        <v>7.63345383E-4</v>
      </c>
      <c r="G49" s="48">
        <f t="shared" si="4"/>
        <v>3.4518738018999955E-5</v>
      </c>
      <c r="H49" s="4">
        <f>VLOOKUP(Tabela2[[Data ]],Tabela25[],2)*Tabela2[Posterior]</f>
        <v>6.3174463897080004</v>
      </c>
      <c r="I49" s="5">
        <f>VLOOKUP(Tabela2[[Data ]],Tabela25[],4)*Tabela2[Posterior]</f>
        <v>23.801109041939998</v>
      </c>
      <c r="J49" s="5">
        <f>IF(Tabela2[[#This Row],[Tipo]]="mining",IFERROR(VLOOKUP(Tabela2[[Data ]],Tabela25[],4)*Tabela2[Variação],"-"),0)</f>
        <v>1.0762942514324185</v>
      </c>
      <c r="K49" s="4">
        <f>IF(Tabela2[[#This Row],[Tipo]]="Mining",IFERROR(VLOOKUP(Tabela2[[Data ]],Tabela25[],2)*Tabela2[Variação],"-"),0)</f>
        <v>0.2856770758452436</v>
      </c>
      <c r="L49" s="3">
        <f>IF(Tabela2[[#This Row],[Tipo]]="Mining",IFERROR(Tabela2[Variação]/Tabela2[Anterior],"-"),0)</f>
        <v>4.7362069233761114E-2</v>
      </c>
      <c r="M49" s="5">
        <f>IFERROR(Tabela2[[#This Row],[Bruto BRL]]*30,"-")</f>
        <v>32.288827542972555</v>
      </c>
      <c r="N49" s="5">
        <f>IFERROR(Tabela2[Mensal]*12,"-")</f>
        <v>387.46593051567066</v>
      </c>
    </row>
    <row r="50" spans="1:16" x14ac:dyDescent="0.25">
      <c r="A50" s="8">
        <v>43236</v>
      </c>
      <c r="B50" s="6">
        <v>5</v>
      </c>
      <c r="C50" s="6">
        <v>2018</v>
      </c>
      <c r="D50" s="6" t="s">
        <v>107</v>
      </c>
      <c r="E50" s="48">
        <f t="shared" si="3"/>
        <v>7.63345383E-4</v>
      </c>
      <c r="F50" s="48">
        <v>1.16717E-4</v>
      </c>
      <c r="G50" s="48">
        <f t="shared" si="4"/>
        <v>-6.4662838299999999E-4</v>
      </c>
      <c r="H50" s="4">
        <f>VLOOKUP(Tabela2[[Data ]],Tabela25[],2)*Tabela2[Posterior]</f>
        <v>0.96594989200000003</v>
      </c>
      <c r="I50" s="5">
        <f>VLOOKUP(Tabela2[[Data ]],Tabela25[],4)*Tabela2[Posterior]</f>
        <v>3.63923606</v>
      </c>
      <c r="J50" s="5">
        <f>IF(Tabela2[[#This Row],[Tipo]]="mining",IFERROR(VLOOKUP(Tabela2[[Data ]],Tabela25[],4)*Tabela2[Variação],"-"),0)</f>
        <v>0</v>
      </c>
      <c r="K50" s="4">
        <f>IF(Tabela2[[#This Row],[Tipo]]="Mining",IFERROR(VLOOKUP(Tabela2[[Data ]],Tabela25[],2)*Tabela2[Variação],"-"),0)</f>
        <v>0</v>
      </c>
      <c r="L50" s="3">
        <f>IF(Tabela2[[#This Row],[Tipo]]="Mining",IFERROR(Tabela2[Variação]/Tabela2[Anterior],"-"),0)</f>
        <v>0</v>
      </c>
      <c r="M50" s="5">
        <f>IFERROR(Tabela2[[#This Row],[Bruto BRL]]*30,"-")</f>
        <v>0</v>
      </c>
      <c r="N50" s="5">
        <f>IFERROR(Tabela2[Mensal]*12,"-")</f>
        <v>0</v>
      </c>
      <c r="P50" s="157">
        <v>2.9396748012899999E-4</v>
      </c>
    </row>
    <row r="51" spans="1:16" x14ac:dyDescent="0.25">
      <c r="A51" s="8">
        <v>43236</v>
      </c>
      <c r="B51" s="6">
        <v>5</v>
      </c>
      <c r="C51" s="6">
        <v>2018</v>
      </c>
      <c r="D51" s="6" t="s">
        <v>46</v>
      </c>
      <c r="E51" s="48">
        <f t="shared" si="3"/>
        <v>1.16717E-4</v>
      </c>
      <c r="F51" s="157">
        <v>1.3173973298999999E-4</v>
      </c>
      <c r="G51" s="48">
        <f t="shared" si="4"/>
        <v>1.5022732989999988E-5</v>
      </c>
      <c r="H51" s="4">
        <f>VLOOKUP(Tabela2[[Data ]],Tabela25[],2)*Tabela2[Posterior]</f>
        <v>1.0902780302252399</v>
      </c>
      <c r="I51" s="5">
        <f>VLOOKUP(Tabela2[[Data ]],Tabela25[],4)*Tabela2[Posterior]</f>
        <v>4.1076448746281997</v>
      </c>
      <c r="J51" s="5">
        <f>IF(Tabela2[[#This Row],[Tipo]]="mining",IFERROR(VLOOKUP(Tabela2[[Data ]],Tabela25[],4)*Tabela2[Variação],"-"),0)</f>
        <v>0.46840881462819961</v>
      </c>
      <c r="K51" s="4">
        <f>IF(Tabela2[[#This Row],[Tipo]]="Mining",IFERROR(VLOOKUP(Tabela2[[Data ]],Tabela25[],2)*Tabela2[Variação],"-"),0)</f>
        <v>0.1243281382252399</v>
      </c>
      <c r="L51" s="3">
        <f>IF(Tabela2[[#This Row],[Tipo]]="Mining",IFERROR(Tabela2[Variação]/Tabela2[Anterior],"-"),0)</f>
        <v>0.12871075327501552</v>
      </c>
      <c r="M51" s="5">
        <f>IFERROR(Tabela2[[#This Row],[Bruto BRL]]*30,"-")</f>
        <v>14.052264438845988</v>
      </c>
      <c r="N51" s="5">
        <f>IFERROR(Tabela2[Mensal]*12,"-")</f>
        <v>168.62717326615186</v>
      </c>
    </row>
    <row r="52" spans="1:16" x14ac:dyDescent="0.25">
      <c r="A52" s="8">
        <v>43237</v>
      </c>
      <c r="B52" s="6">
        <v>5</v>
      </c>
      <c r="C52" s="6">
        <v>2018</v>
      </c>
      <c r="D52" s="6" t="s">
        <v>46</v>
      </c>
      <c r="E52" s="48">
        <f t="shared" si="3"/>
        <v>1.3173973298999999E-4</v>
      </c>
      <c r="F52" s="157">
        <v>2.3736696916200001E-4</v>
      </c>
      <c r="G52" s="48">
        <f>IFERROR(F52-E52,"-")</f>
        <v>1.0562723617200002E-4</v>
      </c>
      <c r="H52" s="4">
        <f>VLOOKUP(Tabela2[[Data ]],Tabela25[],2)*Tabela2[Posterior]</f>
        <v>1.8992680670528268</v>
      </c>
      <c r="I52" s="5">
        <f>VLOOKUP(Tabela2[[Data ]],Tabela25[],4)*Tabela2[Posterior]</f>
        <v>7.2119206240490463</v>
      </c>
      <c r="J52" s="5">
        <f>IF(Tabela2[[#This Row],[Tipo]]="mining",IFERROR(VLOOKUP(Tabela2[[Data ]],Tabela25[],4)*Tabela2[Variação],"-"),0)</f>
        <v>3.2092723166138764</v>
      </c>
      <c r="K52" s="4">
        <f>IF(Tabela2[[#This Row],[Tipo]]="Mining",IFERROR(VLOOKUP(Tabela2[[Data ]],Tabela25[],2)*Tabela2[Variação],"-"),0)</f>
        <v>0.84516576750664085</v>
      </c>
      <c r="L52" s="3">
        <f>IF(Tabela2[[#This Row],[Tipo]]="Mining",IFERROR(Tabela2[Variação]/Tabela2[Anterior],"-"),0)</f>
        <v>0.80178723437991106</v>
      </c>
      <c r="M52" s="5">
        <f>IFERROR(Tabela2[[#This Row],[Bruto BRL]]*30,"-")</f>
        <v>96.27816949841629</v>
      </c>
      <c r="N52" s="5">
        <f>IFERROR(Tabela2[Mensal]*12,"-")</f>
        <v>1155.3380339809955</v>
      </c>
    </row>
    <row r="53" spans="1:16" x14ac:dyDescent="0.25">
      <c r="A53" s="8">
        <v>43238</v>
      </c>
      <c r="B53" s="6">
        <v>5</v>
      </c>
      <c r="C53" s="6">
        <v>2018</v>
      </c>
      <c r="D53" s="6" t="s">
        <v>46</v>
      </c>
      <c r="E53" s="48">
        <f t="shared" ref="E53" si="5">F52</f>
        <v>2.3736696916200001E-4</v>
      </c>
      <c r="F53" s="48">
        <v>2.9396748012899999E-4</v>
      </c>
      <c r="G53" s="48">
        <f>IFERROR(F53-E53,"-")</f>
        <v>5.6600510966999987E-5</v>
      </c>
      <c r="H53" s="4">
        <f>VLOOKUP(Tabela2[[Data ]],Tabela25[],2)*Tabela2[Posterior]</f>
        <v>2.3721705809009657</v>
      </c>
      <c r="I53" s="5">
        <f>VLOOKUP(Tabela2[[Data ]],Tabela25[],4)*Tabela2[Posterior]</f>
        <v>8.9807065179409502</v>
      </c>
      <c r="J53" s="5">
        <f>IF(Tabela2[[#This Row],[Tipo]]="mining",IFERROR(VLOOKUP(Tabela2[[Data ]],Tabela25[],4)*Tabela2[Variação],"-"),0)</f>
        <v>1.7291456100418496</v>
      </c>
      <c r="K53" s="4">
        <f>IF(Tabela2[[#This Row],[Tipo]]="Mining",IFERROR(VLOOKUP(Tabela2[[Data ]],Tabela25[],2)*Tabela2[Variação],"-"),0)</f>
        <v>0.45673782324820639</v>
      </c>
      <c r="L53" s="3">
        <f>IF(Tabela2[[#This Row],[Tipo]]="Mining",IFERROR(Tabela2[Variação]/Tabela2[Anterior],"-"),0)</f>
        <v>0.23845150471787355</v>
      </c>
      <c r="M53" s="5">
        <f>IFERROR(Tabela2[[#This Row],[Bruto BRL]]*30,"-")</f>
        <v>51.874368301255487</v>
      </c>
      <c r="N53" s="5">
        <f>IFERROR(Tabela2[Mensal]*12,"-")</f>
        <v>622.49241961506584</v>
      </c>
    </row>
  </sheetData>
  <mergeCells count="17">
    <mergeCell ref="P34:R34"/>
    <mergeCell ref="P36:R36"/>
    <mergeCell ref="P6:R6"/>
    <mergeCell ref="B8:E9"/>
    <mergeCell ref="F8:H9"/>
    <mergeCell ref="P9:Q9"/>
    <mergeCell ref="E32:F32"/>
    <mergeCell ref="H32:I32"/>
    <mergeCell ref="J32:L32"/>
    <mergeCell ref="M32:N32"/>
    <mergeCell ref="P32:R32"/>
    <mergeCell ref="F4:H5"/>
    <mergeCell ref="B6:E7"/>
    <mergeCell ref="F6:H7"/>
    <mergeCell ref="J1:K1"/>
    <mergeCell ref="D4:E5"/>
    <mergeCell ref="B4:C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Plan4!$B:$B</xm:f>
          </x14:formula1>
          <xm:sqref>L1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activeCell="Q33" sqref="Q33"/>
    </sheetView>
  </sheetViews>
  <sheetFormatPr defaultRowHeight="15" x14ac:dyDescent="0.25"/>
  <cols>
    <col min="1" max="1" width="13" style="6" customWidth="1"/>
    <col min="2" max="2" width="9.42578125" style="6" bestFit="1" customWidth="1"/>
    <col min="3" max="3" width="9.42578125" style="6" customWidth="1"/>
    <col min="4" max="4" width="9.42578125" style="6" bestFit="1" customWidth="1"/>
    <col min="5" max="6" width="18" style="48" bestFit="1" customWidth="1"/>
    <col min="7" max="7" width="18.5703125" style="48" bestFit="1" customWidth="1"/>
    <col min="8" max="8" width="9.28515625" style="4" bestFit="1" customWidth="1"/>
    <col min="9" max="9" width="11.28515625" style="5" bestFit="1" customWidth="1"/>
    <col min="10" max="10" width="14" style="5" bestFit="1" customWidth="1"/>
    <col min="11" max="11" width="14.5703125" style="4" bestFit="1" customWidth="1"/>
    <col min="12" max="12" width="17.28515625" style="3" bestFit="1" customWidth="1"/>
    <col min="13" max="13" width="12.140625" style="5" bestFit="1" customWidth="1"/>
    <col min="14" max="14" width="10.7109375" style="5" bestFit="1" customWidth="1"/>
    <col min="16" max="18" width="17.85546875" bestFit="1" customWidth="1"/>
    <col min="20" max="21" width="17.85546875" bestFit="1" customWidth="1"/>
    <col min="22" max="22" width="17.85546875" style="48" bestFit="1" customWidth="1"/>
    <col min="23" max="23" width="17.85546875" bestFit="1" customWidth="1"/>
  </cols>
  <sheetData>
    <row r="1" spans="2:18" ht="20.25" thickBot="1" x14ac:dyDescent="0.35">
      <c r="J1" s="187" t="s">
        <v>57</v>
      </c>
      <c r="K1" s="188"/>
      <c r="L1" s="126">
        <v>2018</v>
      </c>
    </row>
    <row r="2" spans="2:18" x14ac:dyDescent="0.25">
      <c r="J2" s="93" t="s">
        <v>79</v>
      </c>
      <c r="K2" s="94" t="str">
        <f>IF((SUMIFS(Tabela29[Bruto USD],Tabela29[Mês],Plan4!A1,Tabela29[Ano],L$1))=0,"SR",SUMIFS(Tabela29[Bruto USD],Tabela29[Mês],Plan4!A1,Tabela29[Ano],L$1))</f>
        <v>SR</v>
      </c>
      <c r="L2" s="95" t="str">
        <f>IF((SUMIFS(Tabela29[Bruto BRL],Tabela29[Mês],Plan4!A1,Tabela29[Ano],L$1))=0,"SR",SUMIFS(Tabela29[Bruto BRL],Tabela29[Mês],Plan4!A1,Tabela29[Ano],L$1))</f>
        <v>SR</v>
      </c>
    </row>
    <row r="3" spans="2:18" x14ac:dyDescent="0.25">
      <c r="J3" s="127" t="s">
        <v>80</v>
      </c>
      <c r="K3" s="128" t="str">
        <f>IF((SUMIFS(Tabela29[Bruto USD],Tabela29[Mês],Plan4!A2,Tabela29[Ano],L$1))=0,"SR",SUMIFS(Tabela29[Bruto USD],Tabela29[Mês],Plan4!A2,Tabela29[Ano],L$1))</f>
        <v>SR</v>
      </c>
      <c r="L3" s="129" t="str">
        <f>IF((SUMIFS(Tabela29[Bruto BRL],Tabela29[Mês],Plan4!A2,Tabela29[Ano],L$1))=0,"SR",SUMIFS(Tabela29[Bruto BRL],Tabela29[Mês],Plan4!A2,Tabela29[Ano],L$1))</f>
        <v>SR</v>
      </c>
    </row>
    <row r="4" spans="2:18" ht="15.75" customHeight="1" thickBot="1" x14ac:dyDescent="0.3">
      <c r="B4" s="211">
        <v>1.5E-3</v>
      </c>
      <c r="C4" s="211"/>
      <c r="D4" s="209" t="s">
        <v>90</v>
      </c>
      <c r="E4" s="209"/>
      <c r="F4" s="189">
        <f ca="1">TODAY()+(B4-INDEX(Tabela29[Posterior],MATCH(9.99999999999999+307,Tabela29[Posterior])))/R7</f>
        <v>43259.65175687227</v>
      </c>
      <c r="G4" s="189"/>
      <c r="H4" s="189"/>
      <c r="J4" s="21" t="s">
        <v>81</v>
      </c>
      <c r="K4" s="47" t="str">
        <f>IF((SUMIFS(Tabela29[Bruto USD],Tabela29[Mês],Plan4!A3,Tabela29[Ano],L$1))=0,"SR",SUMIFS(Tabela29[Bruto USD],Tabela29[Mês],Plan4!A3,Tabela29[Ano],L$1))</f>
        <v>SR</v>
      </c>
      <c r="L4" s="92" t="str">
        <f>IF((SUMIFS(Tabela29[Bruto BRL],Tabela29[Mês],Plan4!A3,Tabela29[Ano],L$1))=0,"SR",SUMIFS(Tabela29[Bruto BRL],Tabela29[Mês],Plan4!A3,Tabela29[Ano],L$1))</f>
        <v>SR</v>
      </c>
    </row>
    <row r="5" spans="2:18" ht="16.5" customHeight="1" thickTop="1" thickBot="1" x14ac:dyDescent="0.3">
      <c r="B5" s="212"/>
      <c r="C5" s="212"/>
      <c r="D5" s="210"/>
      <c r="E5" s="210"/>
      <c r="F5" s="189"/>
      <c r="G5" s="189"/>
      <c r="H5" s="189"/>
      <c r="J5" s="127" t="s">
        <v>28</v>
      </c>
      <c r="K5" s="128" t="str">
        <f>IF((SUMIFS(Tabela29[Bruto USD],Tabela29[Mês],Plan4!A4,Tabela29[Ano],L$1))=0,"SR",SUMIFS(Tabela29[Bruto USD],Tabela29[Mês],Plan4!A4,Tabela29[Ano],L$1))</f>
        <v>SR</v>
      </c>
      <c r="L5" s="129" t="str">
        <f>IF((SUMIFS(Tabela29[Bruto BRL],Tabela29[Mês],Plan4!A4,Tabela29[Ano],L$1))=0,"SR",SUMIFS(Tabela29[Bruto BRL],Tabela29[Mês],Plan4!A4,Tabela29[Ano],L$1))</f>
        <v>SR</v>
      </c>
      <c r="P5" s="175" t="s">
        <v>47</v>
      </c>
      <c r="Q5" s="214"/>
      <c r="R5" s="176"/>
    </row>
    <row r="6" spans="2:18" ht="16.5" thickTop="1" thickBot="1" x14ac:dyDescent="0.3">
      <c r="B6" s="207" t="s">
        <v>76</v>
      </c>
      <c r="C6" s="207"/>
      <c r="D6" s="207"/>
      <c r="E6" s="207"/>
      <c r="F6" s="208">
        <f>B4-INDEX(Tabela29[Posterior],MATCH(9.99999999999999+307,Tabela29[Posterior]))</f>
        <v>9.3937339300000002E-4</v>
      </c>
      <c r="G6" s="208"/>
      <c r="H6" s="208"/>
      <c r="J6" s="21" t="s">
        <v>29</v>
      </c>
      <c r="K6" s="47">
        <f>IF((SUMIFS(Tabela29[Bruto USD],Tabela29[Mês],Plan4!A5,Tabela29[Ano],L$1))=0,"SR",SUMIFS(Tabela29[Bruto USD],Tabela29[Mês],Plan4!A5,Tabela29[Ano],L$1))</f>
        <v>4.6294296666582788</v>
      </c>
      <c r="L6" s="92">
        <f>IF((SUMIFS(Tabela29[Bruto BRL],Tabela29[Mês],Plan4!A5,Tabela29[Ano],L$1))=0,"SR",SUMIFS(Tabela29[Bruto BRL],Tabela29[Mês],Plan4!A5,Tabela29[Ano],L$1))</f>
        <v>17.036059799979174</v>
      </c>
      <c r="P6" s="85" t="s">
        <v>26</v>
      </c>
      <c r="Q6" s="119" t="s">
        <v>27</v>
      </c>
      <c r="R6" s="120" t="s">
        <v>75</v>
      </c>
    </row>
    <row r="7" spans="2:18" ht="16.5" thickTop="1" thickBot="1" x14ac:dyDescent="0.3">
      <c r="B7" s="207"/>
      <c r="C7" s="207"/>
      <c r="D7" s="207"/>
      <c r="E7" s="207"/>
      <c r="F7" s="208"/>
      <c r="G7" s="208"/>
      <c r="H7" s="208"/>
      <c r="J7" s="127" t="s">
        <v>30</v>
      </c>
      <c r="K7" s="128" t="str">
        <f>IF((SUMIFS(Tabela29[Bruto USD],Tabela29[Mês],Plan4!A6,Tabela29[Ano],L$1))=0,"SR",SUMIFS(Tabela29[Bruto USD],Tabela29[Mês],Plan4!A6,Tabela29[Ano],L$1))</f>
        <v>SR</v>
      </c>
      <c r="L7" s="129" t="str">
        <f>IF((SUMIFS(Tabela29[Bruto BRL],Tabela29[Mês],Plan4!A6,Tabela29[Ano],L$1))=0,"SR",SUMIFS(Tabela29[Bruto BRL],Tabela29[Mês],Plan4!A6,Tabela29[Ano],L$1))</f>
        <v>SR</v>
      </c>
      <c r="P7" s="122">
        <f>SUM(Tabela29[porcentagem])/COUNT(Tabela29[porcentagem])</f>
        <v>0.30882041517059178</v>
      </c>
      <c r="Q7" s="123">
        <f>SUM(Tabela29[Bruto BRL])/COUNT(Tabela29[Bruto BRL])</f>
        <v>1.4196716499982645</v>
      </c>
      <c r="R7" s="121">
        <f>SUM(Tabela29[Variação])/COUNT(Tabela29[Variação])</f>
        <v>4.3385550583333332E-5</v>
      </c>
    </row>
    <row r="8" spans="2:18" ht="16.5" thickTop="1" thickBot="1" x14ac:dyDescent="0.3">
      <c r="B8" s="189" t="s">
        <v>62</v>
      </c>
      <c r="C8" s="189"/>
      <c r="D8" s="189"/>
      <c r="E8" s="189"/>
      <c r="F8" s="191">
        <f>INDEX(Tabela29[BRL],MATCH(9.99999999999999+307,Tabela29[BRL]))</f>
        <v>17.127142843849999</v>
      </c>
      <c r="G8" s="191"/>
      <c r="H8" s="191"/>
      <c r="J8" s="21" t="s">
        <v>31</v>
      </c>
      <c r="K8" s="47" t="str">
        <f>IF((SUMIFS(Tabela29[Bruto USD],Tabela29[Mês],Plan4!A7,Tabela29[Ano],L$1))=0,"SR",SUMIFS(Tabela29[Bruto USD],Tabela29[Mês],Plan4!A7,Tabela29[Ano],L$1))</f>
        <v>SR</v>
      </c>
      <c r="L8" s="92" t="str">
        <f>IF((SUMIFS(Tabela29[Bruto BRL],Tabela29[Mês],Plan4!A7,Tabela29[Ano],L$1))=0,"SR",SUMIFS(Tabela29[Bruto BRL],Tabela29[Mês],Plan4!A7,Tabela29[Ano],L$1))</f>
        <v>SR</v>
      </c>
      <c r="P8" s="220" t="s">
        <v>1</v>
      </c>
      <c r="Q8" s="221"/>
      <c r="R8" s="48"/>
    </row>
    <row r="9" spans="2:18" ht="16.5" thickTop="1" thickBot="1" x14ac:dyDescent="0.3">
      <c r="B9" s="189"/>
      <c r="C9" s="189"/>
      <c r="D9" s="189"/>
      <c r="E9" s="189"/>
      <c r="F9" s="191"/>
      <c r="G9" s="191"/>
      <c r="H9" s="191"/>
      <c r="J9" s="127" t="s">
        <v>32</v>
      </c>
      <c r="K9" s="128" t="str">
        <f>IF((SUMIFS(Tabela29[Bruto USD],Tabela29[Mês],Plan4!A8,Tabela29[Ano],L$1))=0,"SR",SUMIFS(Tabela29[Bruto USD],Tabela29[Mês],Plan4!A8,Tabela29[Ano],L$1))</f>
        <v>SR</v>
      </c>
      <c r="L9" s="129" t="str">
        <f>IF((SUMIFS(Tabela29[Bruto BRL],Tabela29[Mês],Plan4!A8,Tabela29[Ano],L$1))=0,"SR",SUMIFS(Tabela29[Bruto BRL],Tabela29[Mês],Plan4!A8,Tabela29[Ano],L$1))</f>
        <v>SR</v>
      </c>
      <c r="P9" s="124" t="s">
        <v>54</v>
      </c>
      <c r="Q9" s="125" t="s">
        <v>55</v>
      </c>
      <c r="R9" s="48"/>
    </row>
    <row r="10" spans="2:18" ht="15.75" thickTop="1" x14ac:dyDescent="0.25">
      <c r="J10" s="21" t="s">
        <v>33</v>
      </c>
      <c r="K10" s="47" t="str">
        <f>IF((SUMIFS(Tabela29[Bruto USD],Tabela29[Mês],Plan4!A9,Tabela29[Ano],L$1))=0,"SR",SUMIFS(Tabela29[Bruto USD],Tabela29[Mês],Plan4!A9,Tabela29[Ano],L$1))</f>
        <v>SR</v>
      </c>
      <c r="L10" s="92" t="str">
        <f>IF((SUMIFS(Tabela29[Bruto BRL],Tabela29[Mês],Plan4!A9,Tabela29[Ano],L$1))=0,"SR",SUMIFS(Tabela29[Bruto BRL],Tabela29[Mês],Plan4!A9,Tabela29[Ano],L$1))</f>
        <v>SR</v>
      </c>
      <c r="P10" s="81">
        <f>LARGE(Tabela29[Variação],1)</f>
        <v>7.5572029510000008E-5</v>
      </c>
      <c r="Q10" s="82">
        <f>SMALL(Tabela29[Variação],1)</f>
        <v>0</v>
      </c>
      <c r="R10" s="48"/>
    </row>
    <row r="11" spans="2:18" x14ac:dyDescent="0.25">
      <c r="J11" s="127" t="s">
        <v>34</v>
      </c>
      <c r="K11" s="128" t="str">
        <f>IF((SUMIFS(Tabela29[Bruto USD],Tabela29[Mês],Plan4!A10,Tabela29[Ano],L$1))=0,"SR",SUMIFS(Tabela29[Bruto USD],Tabela29[Mês],Plan4!A10,Tabela29[Ano],L$1))</f>
        <v>SR</v>
      </c>
      <c r="L11" s="129" t="str">
        <f>IF((SUMIFS(Tabela29[Bruto BRL],Tabela29[Mês],Plan4!A10,Tabela29[Ano],L$1))=0,"SR",SUMIFS(Tabela29[Bruto BRL],Tabela29[Mês],Plan4!A10,Tabela29[Ano],L$1))</f>
        <v>SR</v>
      </c>
      <c r="P11" s="83">
        <f>LARGE(Tabela29[Bruto USD],1)</f>
        <v>0.7029030036754611</v>
      </c>
      <c r="Q11" s="87">
        <f>SMALL(Tabela29[Bruto USD],1)</f>
        <v>0</v>
      </c>
      <c r="R11" s="48"/>
    </row>
    <row r="12" spans="2:18" ht="15.75" thickBot="1" x14ac:dyDescent="0.3">
      <c r="J12" s="21" t="s">
        <v>35</v>
      </c>
      <c r="K12" s="47" t="str">
        <f>IF((SUMIFS(Tabela29[Bruto USD],Tabela29[Mês],Plan4!A11,Tabela29[Ano],L$1))=0,"SR",SUMIFS(Tabela29[Bruto USD],Tabela29[Mês],Plan4!A11,Tabela29[Ano],L$1))</f>
        <v>SR</v>
      </c>
      <c r="L12" s="92" t="str">
        <f>IF((SUMIFS(Tabela29[Bruto BRL],Tabela29[Mês],Plan4!A11,Tabela29[Ano],L$1))=0,"SR",SUMIFS(Tabela29[Bruto BRL],Tabela29[Mês],Plan4!A11,Tabela29[Ano],L$1))</f>
        <v>SR</v>
      </c>
      <c r="P12" s="84">
        <f>LARGE(Tabela29[Bruto BRL],1)</f>
        <v>2.5256172262242003</v>
      </c>
      <c r="Q12" s="86">
        <f>SMALL(Tabela29[Bruto BRL],1)</f>
        <v>0</v>
      </c>
      <c r="R12" s="48"/>
    </row>
    <row r="13" spans="2:18" x14ac:dyDescent="0.25">
      <c r="J13" s="127" t="s">
        <v>36</v>
      </c>
      <c r="K13" s="128" t="str">
        <f>IF((SUMIFS(Tabela29[Bruto USD],Tabela29[Mês],Plan4!A12,Tabela29[Ano],L$1))=0,"SR",SUMIFS(Tabela29[Bruto USD],Tabela29[Mês],Plan4!A12,Tabela29[Ano],L$1))</f>
        <v>SR</v>
      </c>
      <c r="L13" s="129" t="str">
        <f>IF((SUMIFS(Tabela29[Bruto BRL],Tabela29[Mês],Plan4!A12,Tabela29[Ano],L$1))=0,"SR",SUMIFS(Tabela29[Bruto BRL],Tabela29[Mês],Plan4!A12,Tabela29[Ano],L$1))</f>
        <v>SR</v>
      </c>
    </row>
    <row r="14" spans="2:18" ht="15.75" thickBot="1" x14ac:dyDescent="0.3">
      <c r="J14" s="96" t="s">
        <v>59</v>
      </c>
      <c r="K14" s="97">
        <f>SUM(K6:K13)</f>
        <v>4.6294296666582788</v>
      </c>
      <c r="L14" s="98">
        <f>SUM(L6:L13)</f>
        <v>17.036059799979174</v>
      </c>
    </row>
    <row r="32" spans="1:14" ht="20.25" thickBot="1" x14ac:dyDescent="0.35">
      <c r="A32" s="8"/>
      <c r="B32" s="12"/>
      <c r="C32" s="12"/>
      <c r="E32" s="217" t="s">
        <v>8</v>
      </c>
      <c r="F32" s="218"/>
      <c r="H32" s="193" t="s">
        <v>9</v>
      </c>
      <c r="I32" s="194"/>
      <c r="J32" s="179" t="s">
        <v>58</v>
      </c>
      <c r="K32" s="180"/>
      <c r="L32" s="180"/>
      <c r="M32" s="177" t="s">
        <v>11</v>
      </c>
      <c r="N32" s="178"/>
    </row>
    <row r="33" spans="1:14" ht="15.75" thickTop="1" x14ac:dyDescent="0.25">
      <c r="A33" s="24" t="s">
        <v>45</v>
      </c>
      <c r="B33" s="17" t="s">
        <v>37</v>
      </c>
      <c r="C33" s="17" t="s">
        <v>77</v>
      </c>
      <c r="D33" s="2" t="s">
        <v>0</v>
      </c>
      <c r="E33" s="54" t="s">
        <v>12</v>
      </c>
      <c r="F33" s="49" t="s">
        <v>13</v>
      </c>
      <c r="G33" s="55" t="s">
        <v>1</v>
      </c>
      <c r="H33" s="50" t="s">
        <v>14</v>
      </c>
      <c r="I33" s="51" t="s">
        <v>15</v>
      </c>
      <c r="J33" s="52" t="s">
        <v>16</v>
      </c>
      <c r="K33" s="53" t="s">
        <v>17</v>
      </c>
      <c r="L33" s="31" t="s">
        <v>39</v>
      </c>
      <c r="M33" s="52" t="s">
        <v>18</v>
      </c>
      <c r="N33" s="51" t="s">
        <v>19</v>
      </c>
    </row>
    <row r="34" spans="1:14" x14ac:dyDescent="0.25">
      <c r="A34" s="8">
        <v>43226</v>
      </c>
      <c r="B34" s="6">
        <v>5</v>
      </c>
      <c r="C34" s="6">
        <v>2018</v>
      </c>
      <c r="D34" s="6" t="s">
        <v>46</v>
      </c>
      <c r="E34" s="48" t="s">
        <v>6</v>
      </c>
      <c r="F34" s="118">
        <v>4.0000000000000003E-5</v>
      </c>
      <c r="G34" s="48" t="str">
        <f t="shared" ref="G34:G39" si="0">IFERROR(F34-E34,"-")</f>
        <v>-</v>
      </c>
      <c r="H34" s="4">
        <f>VLOOKUP(Tabela29[[Data ]],Tabela25[],2)*Tabela29[Posterior]</f>
        <v>0.38382000000000005</v>
      </c>
      <c r="I34" s="5">
        <f>VLOOKUP(Tabela29[[Data ]],Tabela25[],4)*Tabela29[Posterior]</f>
        <v>1.3560000000000001</v>
      </c>
      <c r="J34" s="5" t="str">
        <f>IFERROR(VLOOKUP(Tabela29[[Data ]],Tabela25[],4)*Tabela29[Variação],"-")</f>
        <v>-</v>
      </c>
      <c r="K34" s="4" t="str">
        <f>IFERROR(VLOOKUP(Tabela29[[Data ]],Tabela25[],2)*Tabela29[Variação],"-")</f>
        <v>-</v>
      </c>
      <c r="L34" s="3" t="str">
        <f>IFERROR(Tabela29[Variação]/Tabela29[Anterior],"-")</f>
        <v>-</v>
      </c>
      <c r="M34" s="5" t="str">
        <f>IFERROR(Tabela29[[#This Row],[Bruto BRL]]*30,"-")</f>
        <v>-</v>
      </c>
      <c r="N34" s="5" t="str">
        <f>IFERROR(Tabela29[Mensal]*12,"-")</f>
        <v>-</v>
      </c>
    </row>
    <row r="35" spans="1:14" x14ac:dyDescent="0.25">
      <c r="A35" s="8">
        <v>43227</v>
      </c>
      <c r="B35" s="6">
        <v>5</v>
      </c>
      <c r="C35" s="6">
        <v>2018</v>
      </c>
      <c r="D35" s="6" t="s">
        <v>46</v>
      </c>
      <c r="E35" s="48">
        <f t="shared" ref="E35:E40" si="1">F34</f>
        <v>4.0000000000000003E-5</v>
      </c>
      <c r="F35" s="48">
        <v>1.1557202951E-4</v>
      </c>
      <c r="G35" s="48">
        <f t="shared" si="0"/>
        <v>7.5572029510000008E-5</v>
      </c>
      <c r="H35" s="4">
        <f>VLOOKUP(Tabela29[[Data ]],Tabela25[],2)*Tabela29[Posterior]</f>
        <v>1.0749470036754611</v>
      </c>
      <c r="I35" s="5">
        <f>VLOOKUP(Tabela29[[Data ]],Tabela25[],4)*Tabela29[Posterior]</f>
        <v>3.8624172262242</v>
      </c>
      <c r="J35" s="5">
        <f>IFERROR(VLOOKUP(Tabela29[[Data ]],Tabela25[],4)*Tabela29[Variação],"-")</f>
        <v>2.5256172262242003</v>
      </c>
      <c r="K35" s="4">
        <f>IFERROR(VLOOKUP(Tabela29[[Data ]],Tabela25[],2)*Tabela29[Variação],"-")</f>
        <v>0.7029030036754611</v>
      </c>
      <c r="L35" s="3">
        <f>IFERROR(Tabela29[Variação]/Tabela29[Anterior],"-")</f>
        <v>1.88930073775</v>
      </c>
      <c r="M35" s="5">
        <f>IFERROR(Tabela29[[#This Row],[Bruto BRL]]*30,"-")</f>
        <v>75.768516786726011</v>
      </c>
      <c r="N35" s="5">
        <f>IFERROR(Tabela29[Mensal]*12,"-")</f>
        <v>909.22220144071207</v>
      </c>
    </row>
    <row r="36" spans="1:14" x14ac:dyDescent="0.25">
      <c r="A36" s="8">
        <v>43228</v>
      </c>
      <c r="B36" s="6">
        <v>5</v>
      </c>
      <c r="C36" s="6">
        <v>2018</v>
      </c>
      <c r="D36" s="6" t="s">
        <v>46</v>
      </c>
      <c r="E36" s="48">
        <f t="shared" si="1"/>
        <v>1.1557202951E-4</v>
      </c>
      <c r="F36" s="48">
        <v>1.79233975463E-4</v>
      </c>
      <c r="G36" s="48">
        <f t="shared" si="0"/>
        <v>6.3661945952999999E-5</v>
      </c>
      <c r="H36" s="4">
        <f>VLOOKUP(Tabela29[[Data ]],Tabela25[],2)*Tabela29[Posterior]</f>
        <v>1.6359401876409863</v>
      </c>
      <c r="I36" s="5">
        <f>VLOOKUP(Tabela29[[Data ]],Tabela25[],4)*Tabela29[Posterior]</f>
        <v>6.0038004760841108</v>
      </c>
      <c r="J36" s="5">
        <f>IFERROR(VLOOKUP(Tabela29[[Data ]],Tabela25[],4)*Tabela29[Variação],"-")</f>
        <v>2.1324842035876408</v>
      </c>
      <c r="K36" s="4">
        <f>IFERROR(VLOOKUP(Tabela29[[Data ]],Tabela25[],2)*Tabela29[Variação],"-")</f>
        <v>0.58106804549141211</v>
      </c>
      <c r="L36" s="3">
        <f>IFERROR(Tabela29[Variação]/Tabela29[Anterior],"-")</f>
        <v>0.55084215638431422</v>
      </c>
      <c r="M36" s="5">
        <f>IFERROR(Tabela29[[#This Row],[Bruto BRL]]*30,"-")</f>
        <v>63.974526107629224</v>
      </c>
      <c r="N36" s="5">
        <f>IFERROR(Tabela29[Mensal]*12,"-")</f>
        <v>767.69431329155066</v>
      </c>
    </row>
    <row r="37" spans="1:14" x14ac:dyDescent="0.25">
      <c r="A37" s="8">
        <v>43229</v>
      </c>
      <c r="B37" s="6">
        <v>5</v>
      </c>
      <c r="C37" s="6">
        <v>2018</v>
      </c>
      <c r="D37" s="6" t="s">
        <v>46</v>
      </c>
      <c r="E37" s="48">
        <f t="shared" si="1"/>
        <v>1.79233975463E-4</v>
      </c>
      <c r="F37" s="48">
        <v>2.51175045375E-4</v>
      </c>
      <c r="G37" s="48">
        <f t="shared" si="0"/>
        <v>7.1941069911999998E-5</v>
      </c>
      <c r="H37" s="4">
        <f>VLOOKUP(Tabela29[[Data ]],Tabela25[],2)*Tabela29[Posterior]</f>
        <v>2.3296234283485875</v>
      </c>
      <c r="I37" s="5">
        <f>VLOOKUP(Tabela29[[Data ]],Tabela25[],4)*Tabela29[Posterior]</f>
        <v>8.4520402768687504</v>
      </c>
      <c r="J37" s="5">
        <f>IFERROR(VLOOKUP(Tabela29[[Data ]],Tabela25[],4)*Tabela29[Variação],"-")</f>
        <v>2.4208170025387998</v>
      </c>
      <c r="K37" s="4">
        <f>IFERROR(VLOOKUP(Tabela29[[Data ]],Tabela25[],2)*Tabela29[Variação],"-")</f>
        <v>0.66724622932680877</v>
      </c>
      <c r="L37" s="3">
        <f>IFERROR(Tabela29[Variação]/Tabela29[Anterior],"-")</f>
        <v>0.40138076347500917</v>
      </c>
      <c r="M37" s="5">
        <f>IFERROR(Tabela29[[#This Row],[Bruto BRL]]*30,"-")</f>
        <v>72.624510076164</v>
      </c>
      <c r="N37" s="5">
        <f>IFERROR(Tabela29[Mensal]*12,"-")</f>
        <v>871.494120913968</v>
      </c>
    </row>
    <row r="38" spans="1:14" x14ac:dyDescent="0.25">
      <c r="A38" s="8">
        <v>43230</v>
      </c>
      <c r="B38" s="6">
        <v>5</v>
      </c>
      <c r="C38" s="6">
        <v>2018</v>
      </c>
      <c r="D38" s="6" t="s">
        <v>46</v>
      </c>
      <c r="E38" s="48">
        <f t="shared" si="1"/>
        <v>2.51175045375E-4</v>
      </c>
      <c r="F38" s="48">
        <v>3.1085115265899998E-4</v>
      </c>
      <c r="G38" s="48">
        <f t="shared" si="0"/>
        <v>5.9676107283999978E-5</v>
      </c>
      <c r="H38" s="4">
        <f>VLOOKUP(Tabela29[[Data ]],Tabela25[],2)*Tabela29[Posterior]</f>
        <v>2.9157838119414197</v>
      </c>
      <c r="I38" s="5">
        <f>VLOOKUP(Tabela29[[Data ]],Tabela25[],4)*Tabela29[Posterior]</f>
        <v>10.56862833925334</v>
      </c>
      <c r="J38" s="5">
        <f>IFERROR(VLOOKUP(Tabela29[[Data ]],Tabela25[],4)*Tabela29[Variação],"-")</f>
        <v>2.0289279715487152</v>
      </c>
      <c r="K38" s="4">
        <f>IFERROR(VLOOKUP(Tabela29[[Data ]],Tabela25[],2)*Tabela29[Variação],"-")</f>
        <v>0.55976188632391977</v>
      </c>
      <c r="L38" s="3">
        <f>IFERROR(Tabela29[Variação]/Tabela29[Anterior],"-")</f>
        <v>0.23758772371237988</v>
      </c>
      <c r="M38" s="5">
        <f>IFERROR(Tabela29[[#This Row],[Bruto BRL]]*30,"-")</f>
        <v>60.867839146461456</v>
      </c>
      <c r="N38" s="5">
        <f>IFERROR(Tabela29[Mensal]*12,"-")</f>
        <v>730.4140697575375</v>
      </c>
    </row>
    <row r="39" spans="1:14" x14ac:dyDescent="0.25">
      <c r="A39" s="8">
        <v>43231</v>
      </c>
      <c r="B39" s="6">
        <v>5</v>
      </c>
      <c r="C39" s="6">
        <v>2018</v>
      </c>
      <c r="D39" s="6" t="s">
        <v>46</v>
      </c>
      <c r="E39" s="48">
        <f t="shared" si="1"/>
        <v>3.1085115265899998E-4</v>
      </c>
      <c r="F39" s="48">
        <v>3.7197080139100001E-4</v>
      </c>
      <c r="G39" s="48">
        <f t="shared" si="0"/>
        <v>6.1119648732000027E-5</v>
      </c>
      <c r="H39" s="4">
        <f>VLOOKUP(Tabela29[[Data ]],Tabela25[],2)*Tabela29[Posterior]</f>
        <v>3.1281628484578929</v>
      </c>
      <c r="I39" s="5">
        <f>VLOOKUP(Tabela29[[Data ]],Tabela25[],4)*Tabela29[Posterior]</f>
        <v>11.57163966047262</v>
      </c>
      <c r="J39" s="5">
        <f>IFERROR(VLOOKUP(Tabela29[[Data ]],Tabela25[],4)*Tabela29[Variação],"-")</f>
        <v>1.9013711524037888</v>
      </c>
      <c r="K39" s="4">
        <f>IFERROR(VLOOKUP(Tabela29[[Data ]],Tabela25[],2)*Tabela29[Variação],"-")</f>
        <v>0.51399790994150063</v>
      </c>
      <c r="L39" s="3">
        <f>IFERROR(Tabela29[Variação]/Tabela29[Anterior],"-")</f>
        <v>0.1966203059219393</v>
      </c>
      <c r="M39" s="5">
        <f>IFERROR(Tabela29[[#This Row],[Bruto BRL]]*30,"-")</f>
        <v>57.041134572113663</v>
      </c>
      <c r="N39" s="5">
        <f>IFERROR(Tabela29[Mensal]*12,"-")</f>
        <v>684.49361486536395</v>
      </c>
    </row>
    <row r="40" spans="1:14" x14ac:dyDescent="0.25">
      <c r="A40" s="8">
        <v>43232</v>
      </c>
      <c r="B40" s="6">
        <v>5</v>
      </c>
      <c r="C40" s="6">
        <v>2018</v>
      </c>
      <c r="D40" s="6" t="s">
        <v>46</v>
      </c>
      <c r="E40" s="48">
        <f t="shared" si="1"/>
        <v>3.7197080139100001E-4</v>
      </c>
      <c r="F40" s="48">
        <v>4.22087029276E-4</v>
      </c>
      <c r="G40" s="48">
        <f>IFERROR(F40-E40,"-")</f>
        <v>5.0116227884999993E-5</v>
      </c>
      <c r="H40" s="4">
        <f>VLOOKUP(Tabela29[[Data ]],Tabela25[],2)*Tabela29[Posterior]</f>
        <v>3.5353165398099207</v>
      </c>
      <c r="I40" s="5">
        <f>VLOOKUP(Tabela29[[Data ]],Tabela25[],4)*Tabela29[Posterior]</f>
        <v>13.400841092483724</v>
      </c>
      <c r="J40" s="5">
        <f>IFERROR(VLOOKUP(Tabela29[[Data ]],Tabela25[],4)*Tabela29[Variação],"-")</f>
        <v>1.5911401191208647</v>
      </c>
      <c r="K40" s="4">
        <f>IFERROR(VLOOKUP(Tabela29[[Data ]],Tabela25[],2)*Tabela29[Variação],"-")</f>
        <v>0.4197635015191829</v>
      </c>
      <c r="L40" s="3">
        <f>IFERROR(Tabela29[Variação]/Tabela29[Anterior],"-")</f>
        <v>0.13473161790546009</v>
      </c>
      <c r="M40" s="5">
        <f>IFERROR(Tabela29[[#This Row],[Bruto BRL]]*30,"-")</f>
        <v>47.73420357362594</v>
      </c>
      <c r="N40" s="5">
        <f>IFERROR(Tabela29[Mensal]*12,"-")</f>
        <v>572.81044288351131</v>
      </c>
    </row>
    <row r="41" spans="1:14" ht="15.75" customHeight="1" x14ac:dyDescent="0.25">
      <c r="A41" s="8">
        <v>43233</v>
      </c>
      <c r="B41" s="6">
        <v>5</v>
      </c>
      <c r="C41" s="6">
        <v>2018</v>
      </c>
      <c r="D41" s="6" t="s">
        <v>46</v>
      </c>
      <c r="E41" s="48">
        <f t="shared" ref="E41" si="2">F40</f>
        <v>4.22087029276E-4</v>
      </c>
      <c r="F41" s="48">
        <v>4.4270062059600002E-4</v>
      </c>
      <c r="G41" s="48">
        <f>IFERROR(F41-E41,"-")</f>
        <v>2.0613591320000019E-5</v>
      </c>
      <c r="H41" s="4">
        <f>VLOOKUP(Tabela29[[Data ]],Tabela25[],2)*Tabela29[Posterior]</f>
        <v>3.8099258109112357</v>
      </c>
      <c r="I41" s="99">
        <f>VLOOKUP(Tabela29[[Data ]],Tabela25[],4)*Tabela29[Posterior]</f>
        <v>14.343057406689805</v>
      </c>
      <c r="J41" s="5">
        <f>IFERROR(VLOOKUP(Tabela29[[Data ]],Tabela25[],4)*Tabela29[Variação],"-")</f>
        <v>0.66785974517668056</v>
      </c>
      <c r="K41" s="4">
        <f>IFERROR(VLOOKUP(Tabela29[[Data ]],Tabela25[],2)*Tabela29[Variação],"-")</f>
        <v>0.17740262825905218</v>
      </c>
      <c r="L41" s="3">
        <f>IFERROR(Tabela29[Variação]/Tabela29[Anterior],"-")</f>
        <v>4.8837301054614791E-2</v>
      </c>
      <c r="M41" s="5">
        <f>IFERROR(Tabela29[[#This Row],[Bruto BRL]]*30,"-")</f>
        <v>20.035792355300416</v>
      </c>
      <c r="N41" s="5">
        <f>IFERROR(Tabela29[Mensal]*12,"-")</f>
        <v>240.42950826360499</v>
      </c>
    </row>
    <row r="42" spans="1:14" ht="16.5" customHeight="1" x14ac:dyDescent="0.25">
      <c r="A42" s="8">
        <v>43234</v>
      </c>
      <c r="B42" s="6">
        <v>5</v>
      </c>
      <c r="C42" s="6">
        <v>2018</v>
      </c>
      <c r="D42" s="6" t="s">
        <v>46</v>
      </c>
      <c r="E42" s="48">
        <f t="shared" ref="E42" si="3">F41</f>
        <v>4.4270062059600002E-4</v>
      </c>
      <c r="F42" s="48">
        <v>4.9422837719800003E-4</v>
      </c>
      <c r="G42" s="48">
        <f>IFERROR(F42-E42,"-")</f>
        <v>5.1527756602000015E-5</v>
      </c>
      <c r="H42" s="4">
        <f>VLOOKUP(Tabela29[[Data ]],Tabela25[],2)*Tabela29[Posterior]</f>
        <v>4.3234604208903846</v>
      </c>
      <c r="I42" s="5">
        <f>VLOOKUP(Tabela29[[Data ]],Tabela25[],4)*Tabela29[Posterior]</f>
        <v>15.988288002355301</v>
      </c>
      <c r="J42" s="5">
        <f>IFERROR(VLOOKUP(Tabela29[[Data ]],Tabela25[],4)*Tabela29[Variação],"-")</f>
        <v>1.6669229260747005</v>
      </c>
      <c r="K42" s="4">
        <f>IFERROR(VLOOKUP(Tabela29[[Data ]],Tabela25[],2)*Tabela29[Variação],"-")</f>
        <v>0.45075966197863593</v>
      </c>
      <c r="L42" s="3">
        <f>IFERROR(Tabela29[Variação]/Tabela29[Anterior],"-")</f>
        <v>0.11639413681559585</v>
      </c>
      <c r="M42" s="5">
        <f>IFERROR(Tabela29[[#This Row],[Bruto BRL]]*30,"-")</f>
        <v>50.007687782241014</v>
      </c>
      <c r="N42" s="5">
        <f>IFERROR(Tabela29[Mensal]*12,"-")</f>
        <v>600.09225338689214</v>
      </c>
    </row>
    <row r="43" spans="1:14" x14ac:dyDescent="0.25">
      <c r="A43" s="8">
        <v>43235</v>
      </c>
      <c r="B43" s="6">
        <v>5</v>
      </c>
      <c r="C43" s="6">
        <v>2018</v>
      </c>
      <c r="D43" s="6" t="s">
        <v>46</v>
      </c>
      <c r="E43" s="48">
        <f t="shared" ref="E43" si="4">F42</f>
        <v>4.9422837719800003E-4</v>
      </c>
      <c r="F43" s="48">
        <v>5.2942682326399999E-4</v>
      </c>
      <c r="G43" s="48">
        <f>IFERROR(F43-E43,"-")</f>
        <v>3.5198446065999958E-5</v>
      </c>
      <c r="H43" s="4">
        <f>VLOOKUP(Tabela29[[Data ]],Tabela25[],2)*Tabela29[Posterior]</f>
        <v>4.4870511552093788</v>
      </c>
      <c r="I43" s="5">
        <f>VLOOKUP(Tabela29[[Data ]],Tabela25[],4)*Tabela29[Posterior]</f>
        <v>16.968129685611199</v>
      </c>
      <c r="J43" s="5">
        <f>IFERROR(VLOOKUP(Tabela29[[Data ]],Tabela25[],4)*Tabela29[Variação],"-")</f>
        <v>1.1281101964152986</v>
      </c>
      <c r="K43" s="4">
        <f>IFERROR(VLOOKUP(Tabela29[[Data ]],Tabela25[],2)*Tabela29[Variação],"-")</f>
        <v>0.29831738994316942</v>
      </c>
      <c r="L43" s="3">
        <f>IFERROR(Tabela29[Variação]/Tabela29[Anterior],"-")</f>
        <v>7.1218990430204687E-2</v>
      </c>
      <c r="M43" s="5">
        <f>IFERROR(Tabela29[[#This Row],[Bruto BRL]]*30,"-")</f>
        <v>33.843305892458957</v>
      </c>
      <c r="N43" s="5">
        <f>IFERROR(Tabela29[Mensal]*12,"-")</f>
        <v>406.11967070950749</v>
      </c>
    </row>
    <row r="44" spans="1:14" x14ac:dyDescent="0.25">
      <c r="A44" s="8">
        <v>43236</v>
      </c>
      <c r="B44" s="6">
        <v>5</v>
      </c>
      <c r="C44" s="6">
        <v>2018</v>
      </c>
      <c r="D44" s="6" t="s">
        <v>46</v>
      </c>
      <c r="E44" s="48">
        <f t="shared" ref="E44" si="5">F43</f>
        <v>5.2942682326399999E-4</v>
      </c>
      <c r="F44" s="48">
        <v>5.6062660700000001E-4</v>
      </c>
      <c r="G44" s="48">
        <f>IFERROR(F44-E44,"-")</f>
        <v>3.1199783736000019E-5</v>
      </c>
      <c r="H44" s="4">
        <f>VLOOKUP(Tabela29[[Data ]],Tabela25[],2)*Tabela29[Posterior]</f>
        <v>4.6397457995320002</v>
      </c>
      <c r="I44" s="5">
        <f>VLOOKUP(Tabela29[[Data ]],Tabela25[],4)*Tabela29[Posterior]</f>
        <v>17.480337606260001</v>
      </c>
      <c r="J44" s="5">
        <f>IFERROR(VLOOKUP(Tabela29[[Data ]],Tabela25[],4)*Tabela29[Variação],"-")</f>
        <v>0.97280925688848063</v>
      </c>
      <c r="K44" s="4">
        <f>IFERROR(VLOOKUP(Tabela29[[Data ]],Tabela25[],2)*Tabela29[Variação],"-")</f>
        <v>0.25820941019913618</v>
      </c>
      <c r="L44" s="3">
        <f>IFERROR(Tabela29[Variação]/Tabela29[Anterior],"-")</f>
        <v>5.8931248597584127E-2</v>
      </c>
      <c r="M44" s="5">
        <f>IFERROR(Tabela29[[#This Row],[Bruto BRL]]*30,"-")</f>
        <v>29.18427770665442</v>
      </c>
      <c r="N44" s="5">
        <f>IFERROR(Tabela29[Mensal]*12,"-")</f>
        <v>350.21133247985301</v>
      </c>
    </row>
    <row r="45" spans="1:14" x14ac:dyDescent="0.25">
      <c r="A45" s="8">
        <v>43237</v>
      </c>
      <c r="B45" s="6">
        <v>5</v>
      </c>
      <c r="C45" s="6">
        <v>2018</v>
      </c>
      <c r="D45" s="6" t="s">
        <v>46</v>
      </c>
      <c r="E45" s="48">
        <f t="shared" ref="E45:E46" si="6">F44</f>
        <v>5.6062660700000001E-4</v>
      </c>
      <c r="F45" s="48">
        <v>5.6062660700000001E-4</v>
      </c>
      <c r="G45" s="48">
        <f t="shared" ref="G45:G46" si="7">IFERROR(F45-E45,"-")</f>
        <v>0</v>
      </c>
      <c r="H45" s="4">
        <f>VLOOKUP(Tabela29[[Data ]],Tabela25[],2)*Tabela29[Posterior]</f>
        <v>4.4857977332498002</v>
      </c>
      <c r="I45" s="5">
        <f>VLOOKUP(Tabela29[[Data ]],Tabela25[],4)*Tabela29[Posterior]</f>
        <v>17.033518200481002</v>
      </c>
      <c r="J45" s="5">
        <f>IFERROR(VLOOKUP(Tabela29[[Data ]],Tabela25[],4)*Tabela29[Variação],"-")</f>
        <v>0</v>
      </c>
      <c r="K45" s="4">
        <f>IFERROR(VLOOKUP(Tabela29[[Data ]],Tabela25[],2)*Tabela29[Variação],"-")</f>
        <v>0</v>
      </c>
      <c r="L45" s="3">
        <f>IFERROR(Tabela29[Variação]/Tabela29[Anterior],"-")</f>
        <v>0</v>
      </c>
      <c r="M45" s="5">
        <f>IFERROR(Tabela29[[#This Row],[Bruto BRL]]*30,"-")</f>
        <v>0</v>
      </c>
      <c r="N45" s="5">
        <f>IFERROR(Tabela29[Mensal]*12,"-")</f>
        <v>0</v>
      </c>
    </row>
    <row r="46" spans="1:14" x14ac:dyDescent="0.25">
      <c r="A46" s="8">
        <v>43238</v>
      </c>
      <c r="B46" s="6">
        <v>5</v>
      </c>
      <c r="C46" s="6">
        <v>2018</v>
      </c>
      <c r="D46" s="6" t="s">
        <v>46</v>
      </c>
      <c r="E46" s="48">
        <f t="shared" si="6"/>
        <v>5.6062660700000001E-4</v>
      </c>
      <c r="F46" s="48">
        <v>5.6062660700000001E-4</v>
      </c>
      <c r="G46" s="48">
        <f t="shared" si="7"/>
        <v>0</v>
      </c>
      <c r="H46" s="4">
        <f>VLOOKUP(Tabela29[[Data ]],Tabela25[],2)*Tabela29[Posterior]</f>
        <v>4.5239764051864997</v>
      </c>
      <c r="I46" s="5">
        <f>VLOOKUP(Tabela29[[Data ]],Tabela25[],4)*Tabela29[Posterior]</f>
        <v>17.127142843849999</v>
      </c>
      <c r="J46" s="5">
        <f>IFERROR(VLOOKUP(Tabela29[[Data ]],Tabela25[],4)*Tabela29[Variação],"-")</f>
        <v>0</v>
      </c>
      <c r="K46" s="4">
        <f>IFERROR(VLOOKUP(Tabela29[[Data ]],Tabela25[],2)*Tabela29[Variação],"-")</f>
        <v>0</v>
      </c>
      <c r="L46" s="3">
        <f>IFERROR(Tabela29[Variação]/Tabela29[Anterior],"-")</f>
        <v>0</v>
      </c>
      <c r="M46" s="5">
        <f>IFERROR(Tabela29[[#This Row],[Bruto BRL]]*30,"-")</f>
        <v>0</v>
      </c>
      <c r="N46" s="5">
        <f>IFERROR(Tabela29[Mensal]*12,"-")</f>
        <v>0</v>
      </c>
    </row>
  </sheetData>
  <mergeCells count="14">
    <mergeCell ref="J1:K1"/>
    <mergeCell ref="F4:H5"/>
    <mergeCell ref="B6:E7"/>
    <mergeCell ref="F6:H7"/>
    <mergeCell ref="E32:F32"/>
    <mergeCell ref="H32:I32"/>
    <mergeCell ref="J32:L32"/>
    <mergeCell ref="M32:N32"/>
    <mergeCell ref="P5:R5"/>
    <mergeCell ref="P8:Q8"/>
    <mergeCell ref="B8:E9"/>
    <mergeCell ref="F8:H9"/>
    <mergeCell ref="D4:E5"/>
    <mergeCell ref="B4:C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Plan4!$B:$B</xm:f>
          </x14:formula1>
          <xm:sqref>L1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Plan4</vt:lpstr>
      <vt:lpstr>Resumo</vt:lpstr>
      <vt:lpstr>Cotação</vt:lpstr>
      <vt:lpstr>Total</vt:lpstr>
      <vt:lpstr>Easy</vt:lpstr>
      <vt:lpstr>Atlas</vt:lpstr>
      <vt:lpstr>AWS</vt:lpstr>
      <vt:lpstr>Type 1</vt:lpstr>
      <vt:lpstr>Type 2</vt:lpstr>
      <vt:lpstr>Mine 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T-800</cp:lastModifiedBy>
  <dcterms:created xsi:type="dcterms:W3CDTF">2018-04-27T13:19:50Z</dcterms:created>
  <dcterms:modified xsi:type="dcterms:W3CDTF">2018-05-18T15:11:37Z</dcterms:modified>
</cp:coreProperties>
</file>