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800\Desktop\inestBTC\"/>
    </mc:Choice>
  </mc:AlternateContent>
  <bookViews>
    <workbookView xWindow="0" yWindow="0" windowWidth="23040" windowHeight="9195" tabRatio="601" firstSheet="1" activeTab="5"/>
  </bookViews>
  <sheets>
    <sheet name="Plan4" sheetId="11" state="hidden" r:id="rId1"/>
    <sheet name="Resumo" sheetId="5" r:id="rId2"/>
    <sheet name="Cotação" sheetId="3" r:id="rId3"/>
    <sheet name="Total" sheetId="7" r:id="rId4"/>
    <sheet name="Easy" sheetId="6" r:id="rId5"/>
    <sheet name="Atlas" sheetId="1" r:id="rId6"/>
    <sheet name="AWS" sheetId="2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1" l="1"/>
  <c r="I58" i="1"/>
  <c r="J58" i="1"/>
  <c r="K58" i="1"/>
  <c r="L58" i="1"/>
  <c r="M58" i="1" s="1"/>
  <c r="N58" i="1" s="1"/>
  <c r="C28" i="3"/>
  <c r="E28" i="3"/>
  <c r="G28" i="3"/>
  <c r="K46" i="7"/>
  <c r="D48" i="2" l="1"/>
  <c r="E48" i="2"/>
  <c r="J46" i="7" s="1"/>
  <c r="H57" i="1"/>
  <c r="I57" i="1"/>
  <c r="I46" i="7" s="1"/>
  <c r="J57" i="1"/>
  <c r="K57" i="1"/>
  <c r="L57" i="1"/>
  <c r="M57" i="1" s="1"/>
  <c r="N57" i="1" s="1"/>
  <c r="A11" i="1"/>
  <c r="L2" i="1"/>
  <c r="L3" i="1"/>
  <c r="L4" i="1"/>
  <c r="K2" i="1"/>
  <c r="K3" i="1"/>
  <c r="K4" i="1"/>
  <c r="J2" i="1"/>
  <c r="J3" i="1"/>
  <c r="J4" i="1"/>
  <c r="K43" i="7"/>
  <c r="K44" i="7"/>
  <c r="K45" i="7"/>
  <c r="C27" i="3"/>
  <c r="E27" i="3"/>
  <c r="G27" i="3"/>
  <c r="L46" i="7" l="1"/>
  <c r="D45" i="2"/>
  <c r="D46" i="2" s="1"/>
  <c r="E45" i="2"/>
  <c r="J43" i="7" s="1"/>
  <c r="E46" i="2" l="1"/>
  <c r="D47" i="2"/>
  <c r="E47" i="2" s="1"/>
  <c r="H56" i="1"/>
  <c r="I56" i="1"/>
  <c r="J56" i="1"/>
  <c r="K56" i="1"/>
  <c r="L56" i="1"/>
  <c r="M56" i="1" s="1"/>
  <c r="N56" i="1" s="1"/>
  <c r="C26" i="3"/>
  <c r="E26" i="3"/>
  <c r="G26" i="3"/>
  <c r="J44" i="7" l="1"/>
  <c r="I44" i="7"/>
  <c r="I45" i="7"/>
  <c r="H55" i="1"/>
  <c r="I55" i="1"/>
  <c r="I43" i="7" s="1"/>
  <c r="L43" i="7" s="1"/>
  <c r="J55" i="1"/>
  <c r="K55" i="1"/>
  <c r="L55" i="1"/>
  <c r="M55" i="1" s="1"/>
  <c r="N55" i="1" s="1"/>
  <c r="C25" i="3"/>
  <c r="E25" i="3"/>
  <c r="G25" i="3"/>
  <c r="L44" i="7" l="1"/>
  <c r="M44" i="7" s="1"/>
  <c r="N44" i="7" s="1"/>
  <c r="K42" i="7"/>
  <c r="H54" i="1" l="1"/>
  <c r="I54" i="1"/>
  <c r="I42" i="7" s="1"/>
  <c r="J54" i="1"/>
  <c r="K54" i="1"/>
  <c r="L54" i="1"/>
  <c r="M54" i="1" s="1"/>
  <c r="N54" i="1" s="1"/>
  <c r="C24" i="3" l="1"/>
  <c r="E24" i="3"/>
  <c r="G24" i="3"/>
  <c r="J14" i="3"/>
  <c r="J13" i="3"/>
  <c r="J12" i="3"/>
  <c r="J9" i="3"/>
  <c r="J8" i="3"/>
  <c r="J7" i="3"/>
  <c r="J2" i="3"/>
  <c r="J4" i="3"/>
  <c r="J3" i="3"/>
  <c r="K40" i="7" l="1"/>
  <c r="K41" i="7"/>
  <c r="E3" i="2"/>
  <c r="E1" i="2"/>
  <c r="J6" i="2"/>
  <c r="H53" i="1" l="1"/>
  <c r="I53" i="1"/>
  <c r="I41" i="7" s="1"/>
  <c r="J53" i="1"/>
  <c r="K53" i="1"/>
  <c r="L53" i="1"/>
  <c r="M53" i="1" s="1"/>
  <c r="N53" i="1" s="1"/>
  <c r="C23" i="3"/>
  <c r="E23" i="3"/>
  <c r="G23" i="3"/>
  <c r="J15" i="2" l="1"/>
  <c r="K15" i="2" s="1"/>
  <c r="K13" i="2"/>
  <c r="H52" i="1"/>
  <c r="I52" i="1"/>
  <c r="I40" i="7" s="1"/>
  <c r="J52" i="1"/>
  <c r="K52" i="1"/>
  <c r="L52" i="1"/>
  <c r="M52" i="1"/>
  <c r="N52" i="1" s="1"/>
  <c r="C22" i="3"/>
  <c r="E22" i="3"/>
  <c r="G22" i="3"/>
  <c r="K39" i="7" l="1"/>
  <c r="H51" i="1"/>
  <c r="I51" i="1"/>
  <c r="I39" i="7" s="1"/>
  <c r="J51" i="1"/>
  <c r="K51" i="1"/>
  <c r="L51" i="1"/>
  <c r="M51" i="1" s="1"/>
  <c r="N51" i="1" s="1"/>
  <c r="C21" i="3"/>
  <c r="E21" i="3"/>
  <c r="G21" i="3"/>
  <c r="K38" i="7" l="1"/>
  <c r="H50" i="1"/>
  <c r="I50" i="1"/>
  <c r="I38" i="7" s="1"/>
  <c r="J50" i="1"/>
  <c r="K50" i="1"/>
  <c r="L50" i="1"/>
  <c r="M50" i="1" s="1"/>
  <c r="N50" i="1" s="1"/>
  <c r="C20" i="3"/>
  <c r="E20" i="3"/>
  <c r="G20" i="3"/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11" i="1" l="1"/>
  <c r="H49" i="1" l="1"/>
  <c r="K49" i="1"/>
  <c r="L49" i="1"/>
  <c r="M49" i="1" s="1"/>
  <c r="N49" i="1" s="1"/>
  <c r="K37" i="7" l="1"/>
  <c r="H48" i="1" l="1"/>
  <c r="I37" i="7"/>
  <c r="K48" i="1"/>
  <c r="L48" i="1"/>
  <c r="M48" i="1" s="1"/>
  <c r="N48" i="1" s="1"/>
  <c r="K36" i="7" l="1"/>
  <c r="H47" i="1" l="1"/>
  <c r="I36" i="7"/>
  <c r="K47" i="1"/>
  <c r="L47" i="1"/>
  <c r="M47" i="1" s="1"/>
  <c r="N47" i="1" s="1"/>
  <c r="K35" i="7" l="1"/>
  <c r="H46" i="1" l="1"/>
  <c r="I35" i="7"/>
  <c r="K46" i="1"/>
  <c r="L46" i="1"/>
  <c r="M46" i="1" s="1"/>
  <c r="N46" i="1" s="1"/>
  <c r="K34" i="7" l="1"/>
  <c r="H45" i="1" l="1"/>
  <c r="I34" i="7"/>
  <c r="K45" i="1"/>
  <c r="L45" i="1"/>
  <c r="M45" i="1" s="1"/>
  <c r="N45" i="1" s="1"/>
  <c r="K33" i="7" l="1"/>
  <c r="H44" i="1" l="1"/>
  <c r="I33" i="7"/>
  <c r="K44" i="1"/>
  <c r="L44" i="1"/>
  <c r="M44" i="1" s="1"/>
  <c r="N44" i="1" s="1"/>
  <c r="K32" i="7" l="1"/>
  <c r="I20" i="7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H43" i="1" l="1"/>
  <c r="K43" i="1"/>
  <c r="L43" i="1"/>
  <c r="M43" i="1" s="1"/>
  <c r="N43" i="1" s="1"/>
  <c r="K31" i="7"/>
  <c r="I32" i="7" l="1"/>
  <c r="I31" i="7"/>
  <c r="H42" i="1" l="1"/>
  <c r="I30" i="7"/>
  <c r="K42" i="1"/>
  <c r="L42" i="1"/>
  <c r="M42" i="1" s="1"/>
  <c r="N42" i="1" s="1"/>
  <c r="K30" i="7" l="1"/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K6" i="2"/>
  <c r="B36" i="6"/>
  <c r="K20" i="7"/>
  <c r="K21" i="7"/>
  <c r="K22" i="7"/>
  <c r="K23" i="7"/>
  <c r="K24" i="7"/>
  <c r="K25" i="7"/>
  <c r="K26" i="7"/>
  <c r="K27" i="7"/>
  <c r="K28" i="7"/>
  <c r="K29" i="7"/>
  <c r="L22" i="6"/>
  <c r="F36" i="6" l="1"/>
  <c r="E36" i="6"/>
  <c r="F17" i="6"/>
  <c r="B18" i="6"/>
  <c r="F18" i="6" s="1"/>
  <c r="B19" i="6"/>
  <c r="E19" i="6" s="1"/>
  <c r="B20" i="6"/>
  <c r="E17" i="6"/>
  <c r="B22" i="6"/>
  <c r="F22" i="6" s="1"/>
  <c r="B23" i="6"/>
  <c r="B24" i="6"/>
  <c r="B25" i="6"/>
  <c r="F25" i="6" s="1"/>
  <c r="B26" i="6"/>
  <c r="B27" i="6"/>
  <c r="B28" i="6"/>
  <c r="B29" i="6"/>
  <c r="B30" i="6"/>
  <c r="B31" i="6"/>
  <c r="B32" i="6"/>
  <c r="B33" i="6"/>
  <c r="F33" i="6" s="1"/>
  <c r="B34" i="6"/>
  <c r="F34" i="6" s="1"/>
  <c r="B35" i="6"/>
  <c r="F35" i="6" s="1"/>
  <c r="B21" i="6"/>
  <c r="F21" i="6" s="1"/>
  <c r="H41" i="1"/>
  <c r="I29" i="7"/>
  <c r="K41" i="1"/>
  <c r="L41" i="1"/>
  <c r="M41" i="1" s="1"/>
  <c r="N41" i="1" s="1"/>
  <c r="E26" i="6" l="1"/>
  <c r="F26" i="6"/>
  <c r="E28" i="6"/>
  <c r="F24" i="6"/>
  <c r="E27" i="6"/>
  <c r="F23" i="6"/>
  <c r="E35" i="6"/>
  <c r="F32" i="6"/>
  <c r="E32" i="6"/>
  <c r="F30" i="6"/>
  <c r="F31" i="6"/>
  <c r="E20" i="6"/>
  <c r="F20" i="6"/>
  <c r="F19" i="6"/>
  <c r="E30" i="6"/>
  <c r="E18" i="6"/>
  <c r="E34" i="6"/>
  <c r="E22" i="6"/>
  <c r="E33" i="6"/>
  <c r="E29" i="6"/>
  <c r="E25" i="6"/>
  <c r="E21" i="6"/>
  <c r="F28" i="6" l="1"/>
  <c r="M16" i="6"/>
  <c r="F27" i="6"/>
  <c r="J17" i="6"/>
  <c r="L16" i="6"/>
  <c r="F29" i="6"/>
  <c r="E23" i="6"/>
  <c r="E24" i="6"/>
  <c r="E31" i="6"/>
  <c r="K34" i="1"/>
  <c r="K35" i="1"/>
  <c r="K36" i="1"/>
  <c r="K37" i="1"/>
  <c r="K38" i="1"/>
  <c r="K39" i="1"/>
  <c r="K40" i="1"/>
  <c r="K33" i="1"/>
  <c r="G11" i="1"/>
  <c r="F11" i="1"/>
  <c r="J11" i="2"/>
  <c r="K11" i="2" s="1"/>
  <c r="J10" i="2"/>
  <c r="K10" i="2" s="1"/>
  <c r="J5" i="1" l="1"/>
  <c r="K6" i="1"/>
  <c r="K5" i="1"/>
  <c r="J6" i="1"/>
  <c r="G7" i="1"/>
  <c r="I17" i="6"/>
  <c r="G9" i="1"/>
  <c r="F9" i="1"/>
  <c r="H40" i="1"/>
  <c r="I28" i="7"/>
  <c r="L40" i="1"/>
  <c r="M40" i="1"/>
  <c r="N40" i="1" s="1"/>
  <c r="J7" i="2" l="1"/>
  <c r="K7" i="2" s="1"/>
  <c r="J8" i="2" l="1"/>
  <c r="K8" i="2" s="1"/>
  <c r="H39" i="1"/>
  <c r="I27" i="7"/>
  <c r="L39" i="1"/>
  <c r="M39" i="1" s="1"/>
  <c r="N39" i="1" s="1"/>
  <c r="J9" i="2" l="1"/>
  <c r="K9" i="2" s="1"/>
  <c r="L35" i="1"/>
  <c r="M35" i="1" s="1"/>
  <c r="N35" i="1" s="1"/>
  <c r="L36" i="1"/>
  <c r="M36" i="1" s="1"/>
  <c r="N36" i="1" s="1"/>
  <c r="L37" i="1"/>
  <c r="M37" i="1" s="1"/>
  <c r="N37" i="1" s="1"/>
  <c r="L38" i="1"/>
  <c r="L6" i="1" s="1"/>
  <c r="L34" i="1"/>
  <c r="I21" i="7"/>
  <c r="I22" i="7"/>
  <c r="I23" i="7"/>
  <c r="I24" i="7"/>
  <c r="I25" i="7"/>
  <c r="I26" i="7"/>
  <c r="H33" i="1"/>
  <c r="H34" i="1"/>
  <c r="H35" i="1"/>
  <c r="H36" i="1"/>
  <c r="H37" i="1"/>
  <c r="H38" i="1"/>
  <c r="D22" i="2"/>
  <c r="E22" i="2" l="1"/>
  <c r="J21" i="7" s="1"/>
  <c r="L21" i="7" s="1"/>
  <c r="D23" i="2"/>
  <c r="E21" i="2"/>
  <c r="J20" i="7" s="1"/>
  <c r="L20" i="7" s="1"/>
  <c r="M20" i="7" s="1"/>
  <c r="N20" i="7" s="1"/>
  <c r="L5" i="1"/>
  <c r="F7" i="1"/>
  <c r="A7" i="1"/>
  <c r="G10" i="1"/>
  <c r="F10" i="1"/>
  <c r="M34" i="1"/>
  <c r="N34" i="1" s="1"/>
  <c r="M38" i="1"/>
  <c r="N38" i="1" s="1"/>
  <c r="E23" i="2" l="1"/>
  <c r="J22" i="7" s="1"/>
  <c r="L22" i="7" s="1"/>
  <c r="M22" i="7" s="1"/>
  <c r="N22" i="7" s="1"/>
  <c r="D24" i="2"/>
  <c r="M21" i="7"/>
  <c r="N21" i="7" s="1"/>
  <c r="D25" i="2" l="1"/>
  <c r="E24" i="2"/>
  <c r="J23" i="7" s="1"/>
  <c r="L23" i="7" s="1"/>
  <c r="M23" i="7" s="1"/>
  <c r="N23" i="7" s="1"/>
  <c r="G25" i="2"/>
  <c r="G24" i="2"/>
  <c r="G23" i="2"/>
  <c r="G22" i="2"/>
  <c r="G21" i="2"/>
  <c r="E25" i="2" l="1"/>
  <c r="J24" i="7" s="1"/>
  <c r="L24" i="7" s="1"/>
  <c r="M24" i="7" s="1"/>
  <c r="N24" i="7" s="1"/>
  <c r="D26" i="2"/>
  <c r="G26" i="2" s="1"/>
  <c r="E26" i="2" l="1"/>
  <c r="J25" i="7" s="1"/>
  <c r="L25" i="7" s="1"/>
  <c r="M25" i="7" s="1"/>
  <c r="N25" i="7" s="1"/>
  <c r="D27" i="2"/>
  <c r="G27" i="2"/>
  <c r="E27" i="2" l="1"/>
  <c r="J26" i="7" s="1"/>
  <c r="L26" i="7" s="1"/>
  <c r="M26" i="7" s="1"/>
  <c r="N26" i="7" s="1"/>
  <c r="D28" i="2"/>
  <c r="E28" i="2" l="1"/>
  <c r="J27" i="7" s="1"/>
  <c r="L27" i="7" s="1"/>
  <c r="M27" i="7" s="1"/>
  <c r="N27" i="7" s="1"/>
  <c r="D29" i="2"/>
  <c r="G28" i="2"/>
  <c r="G29" i="2"/>
  <c r="D30" i="2" l="1"/>
  <c r="E29" i="2"/>
  <c r="J28" i="7" s="1"/>
  <c r="L28" i="7" s="1"/>
  <c r="M28" i="7" s="1"/>
  <c r="N28" i="7" s="1"/>
  <c r="G30" i="2"/>
  <c r="E30" i="2" l="1"/>
  <c r="J29" i="7" s="1"/>
  <c r="L29" i="7" s="1"/>
  <c r="M29" i="7" s="1"/>
  <c r="N29" i="7" s="1"/>
  <c r="D31" i="2"/>
  <c r="G31" i="2"/>
  <c r="E31" i="2" l="1"/>
  <c r="J30" i="7" s="1"/>
  <c r="L30" i="7" s="1"/>
  <c r="M30" i="7" s="1"/>
  <c r="N30" i="7" s="1"/>
  <c r="D32" i="2"/>
  <c r="G32" i="2"/>
  <c r="E32" i="2" l="1"/>
  <c r="J31" i="7" s="1"/>
  <c r="L31" i="7" s="1"/>
  <c r="D33" i="2"/>
  <c r="E33" i="2" l="1"/>
  <c r="J32" i="7" s="1"/>
  <c r="L32" i="7" s="1"/>
  <c r="D34" i="2"/>
  <c r="M31" i="7"/>
  <c r="N31" i="7" s="1"/>
  <c r="G33" i="2"/>
  <c r="E34" i="2" l="1"/>
  <c r="J33" i="7" s="1"/>
  <c r="L33" i="7" s="1"/>
  <c r="D35" i="2"/>
  <c r="M32" i="7"/>
  <c r="N32" i="7" s="1"/>
  <c r="G34" i="2"/>
  <c r="D36" i="2" l="1"/>
  <c r="E35" i="2"/>
  <c r="J34" i="7" s="1"/>
  <c r="L34" i="7" s="1"/>
  <c r="M33" i="7"/>
  <c r="N33" i="7" s="1"/>
  <c r="G35" i="2"/>
  <c r="E36" i="2" l="1"/>
  <c r="J35" i="7" s="1"/>
  <c r="L35" i="7" s="1"/>
  <c r="D37" i="2"/>
  <c r="M34" i="7"/>
  <c r="N34" i="7" s="1"/>
  <c r="G36" i="2"/>
  <c r="D38" i="2" l="1"/>
  <c r="E37" i="2"/>
  <c r="J36" i="7" s="1"/>
  <c r="L36" i="7" s="1"/>
  <c r="M35" i="7"/>
  <c r="N35" i="7" s="1"/>
  <c r="G37" i="2"/>
  <c r="D39" i="2" l="1"/>
  <c r="E38" i="2"/>
  <c r="J37" i="7" s="1"/>
  <c r="L37" i="7" s="1"/>
  <c r="M36" i="7"/>
  <c r="N36" i="7" s="1"/>
  <c r="G38" i="2"/>
  <c r="E39" i="2" l="1"/>
  <c r="D40" i="2"/>
  <c r="D41" i="2" s="1"/>
  <c r="D42" i="2" s="1"/>
  <c r="D43" i="2" s="1"/>
  <c r="M37" i="7"/>
  <c r="E43" i="2" l="1"/>
  <c r="D44" i="2"/>
  <c r="E40" i="2"/>
  <c r="N37" i="7"/>
  <c r="G39" i="2"/>
  <c r="J38" i="7"/>
  <c r="L38" i="7" s="1"/>
  <c r="G44" i="2" l="1"/>
  <c r="E44" i="2"/>
  <c r="M38" i="7"/>
  <c r="N38" i="7" s="1"/>
  <c r="G40" i="2"/>
  <c r="G42" i="2"/>
  <c r="E42" i="2"/>
  <c r="E41" i="2"/>
  <c r="G41" i="2"/>
  <c r="J39" i="7" l="1"/>
  <c r="L39" i="7" s="1"/>
  <c r="M39" i="7" s="1"/>
  <c r="N39" i="7" s="1"/>
  <c r="J40" i="7"/>
  <c r="L40" i="7" s="1"/>
  <c r="J41" i="7"/>
  <c r="L41" i="7" s="1"/>
  <c r="G43" i="2"/>
  <c r="M40" i="7" l="1"/>
  <c r="N40" i="7" s="1"/>
  <c r="M41" i="7"/>
  <c r="N41" i="7" s="1"/>
  <c r="G46" i="2" l="1"/>
  <c r="G45" i="2"/>
  <c r="J42" i="7"/>
  <c r="L42" i="7" s="1"/>
  <c r="M42" i="7" l="1"/>
  <c r="N42" i="7" s="1"/>
  <c r="M43" i="7"/>
  <c r="N43" i="7" s="1"/>
  <c r="G47" i="2"/>
  <c r="K1" i="2"/>
  <c r="R1" i="5" s="1"/>
  <c r="D1" i="2"/>
  <c r="D3" i="2"/>
  <c r="K3" i="2"/>
  <c r="J45" i="7"/>
  <c r="L45" i="7" s="1"/>
  <c r="K14" i="2"/>
  <c r="G48" i="2"/>
  <c r="J12" i="2"/>
  <c r="J14" i="2"/>
  <c r="J16" i="2"/>
  <c r="K16" i="2" s="1"/>
  <c r="M45" i="7" l="1"/>
  <c r="N45" i="7" s="1"/>
  <c r="M46" i="7"/>
  <c r="N46" i="7" s="1"/>
  <c r="Q21" i="7" l="1"/>
  <c r="R21" i="7"/>
</calcChain>
</file>

<file path=xl/sharedStrings.xml><?xml version="1.0" encoding="utf-8"?>
<sst xmlns="http://schemas.openxmlformats.org/spreadsheetml/2006/main" count="162" uniqueCount="100">
  <si>
    <t>Tipo</t>
  </si>
  <si>
    <t>Variação</t>
  </si>
  <si>
    <t>Distribuição de Lucro (BTC)</t>
  </si>
  <si>
    <t>Depósito (BTC)</t>
  </si>
  <si>
    <t>N/A</t>
  </si>
  <si>
    <t>Data</t>
  </si>
  <si>
    <t>-</t>
  </si>
  <si>
    <t>Cotação</t>
  </si>
  <si>
    <t>Saldo</t>
  </si>
  <si>
    <t>Valor</t>
  </si>
  <si>
    <t>Lucro</t>
  </si>
  <si>
    <t>Projeção</t>
  </si>
  <si>
    <t>Anterior</t>
  </si>
  <si>
    <t>Posterior</t>
  </si>
  <si>
    <t>USD</t>
  </si>
  <si>
    <t>BRL</t>
  </si>
  <si>
    <t>Bruto BRL</t>
  </si>
  <si>
    <t>Bruto USD</t>
  </si>
  <si>
    <t>Mensal</t>
  </si>
  <si>
    <t>Anual</t>
  </si>
  <si>
    <t>BTC/USD</t>
  </si>
  <si>
    <t>BTC/BRL</t>
  </si>
  <si>
    <t>USD/BRL</t>
  </si>
  <si>
    <t>Descrição</t>
  </si>
  <si>
    <t>Saldo disponível para saque</t>
  </si>
  <si>
    <t>Saldo BRL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</si>
  <si>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</si>
  <si>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</si>
  <si>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</si>
  <si>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</si>
  <si>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</si>
  <si>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</si>
  <si>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</si>
  <si>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</si>
  <si>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</si>
  <si>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</si>
  <si>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</si>
  <si>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</si>
  <si>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Mining Bonus - Mining contract #27569 - 0.400 CMP - 2018-04-28</t>
  </si>
  <si>
    <t>porcentagem</t>
  </si>
  <si>
    <t>Mining Bonus - Mining contract #27569 - 0.400 CMP - 2018-04-29</t>
  </si>
  <si>
    <t>Mining Bonus - Mining contract #27569 - 0.400 CMP - 2018-04-30</t>
  </si>
  <si>
    <t>Mining Bonus - Mining contract #27569 - 0.400 CMP - 2018-05-01</t>
  </si>
  <si>
    <t>Ação</t>
  </si>
  <si>
    <t>Média</t>
  </si>
  <si>
    <t xml:space="preserve">Data </t>
  </si>
  <si>
    <t>Média Diária</t>
  </si>
  <si>
    <t>Mining Bonus - Mining contract #27569 - 0.400 CMP - 2018-05-02</t>
  </si>
  <si>
    <t>Média diária:</t>
  </si>
  <si>
    <t>Projeção mensal:</t>
  </si>
  <si>
    <t>Projeção anual:</t>
  </si>
  <si>
    <t>Maior valor:</t>
  </si>
  <si>
    <t>Menor Valor</t>
  </si>
  <si>
    <t>Maior</t>
  </si>
  <si>
    <t>Menor</t>
  </si>
  <si>
    <t>Mining Bonus - Mining contract #27569 - 0.400 CMP - 2018-05-03</t>
  </si>
  <si>
    <t>Total</t>
  </si>
  <si>
    <t xml:space="preserve">Bruto </t>
  </si>
  <si>
    <t xml:space="preserve">Média </t>
  </si>
  <si>
    <t>Saldo disponível:</t>
  </si>
  <si>
    <t>Total:</t>
  </si>
  <si>
    <t>Variação %</t>
  </si>
  <si>
    <t>Data aproximada para prox contrato:</t>
  </si>
  <si>
    <t>CMP</t>
  </si>
  <si>
    <t>Mining Bonus - Mining contract #27569 - 0.400 CMP - 2018-05-04</t>
  </si>
  <si>
    <t>Valor diario esperado:</t>
  </si>
  <si>
    <t>Atlas</t>
  </si>
  <si>
    <t>AWS</t>
  </si>
  <si>
    <t>Easy</t>
  </si>
  <si>
    <t>Mining Bonus - Mining contract #27569 - 0.400 CMP - 2018-05-05</t>
  </si>
  <si>
    <t>Mining Bonus - Mining contract #27569 - 0.400 CMP - 2018-05-06</t>
  </si>
  <si>
    <t>Ano</t>
  </si>
  <si>
    <t xml:space="preserve">Rendimento Mensal </t>
  </si>
  <si>
    <t>Mining Bonus - Mining contract #27569 - 0.400 CMP - 2018-05-07</t>
  </si>
  <si>
    <t>Mining Bonus - Mining contract #27569 - 0.400 CMP - 2018-04-26</t>
  </si>
  <si>
    <t>Mining Bonus - Mining contract #27569 - 0.400 CMP - 2018-04-27</t>
  </si>
  <si>
    <t>Mining Bonus - Mining contract #27569 - 0.400 CMP - 2018-04-25</t>
  </si>
  <si>
    <t>Mining Bonus - Mining contract #27569 - 0.400 CMP - 2018-05-08</t>
  </si>
  <si>
    <t>Mining Bonus - Mining contract #27569 - 0.400 CMP - 2018-05-09</t>
  </si>
  <si>
    <t>Mining Bonus - Mining contract #27569 - 0.400 CMP - 2018-05-10</t>
  </si>
  <si>
    <t>Mining Bonus - Mining contract #27569 - 0.400 CMP - 2018-05-11</t>
  </si>
  <si>
    <t>Mining Bonus - Mining contract #27569 - 0.400 CMP - 2018-05-12</t>
  </si>
  <si>
    <t>.</t>
  </si>
  <si>
    <t>,</t>
  </si>
  <si>
    <t>/</t>
  </si>
  <si>
    <t>Mining Bonus - Mining contract #27569 - 0.400 CMP - 2018-05-13</t>
  </si>
  <si>
    <t>Lucro Total:</t>
  </si>
  <si>
    <t>Mining Bonus - Mining contract #27569 - 0.400 CMP - 2018-05-14</t>
  </si>
  <si>
    <t>total de contratos já efetuados:</t>
  </si>
  <si>
    <t>Preço por contrato</t>
  </si>
  <si>
    <t>Total de dinheiro recebido:</t>
  </si>
  <si>
    <t>Lucro:</t>
  </si>
  <si>
    <t>Dinheiro Gasto:</t>
  </si>
  <si>
    <t>Mining Bonus - Mining contract #27569 - 0.400 CMP - 2018-05-16</t>
  </si>
  <si>
    <t>Mining Bonus - Mining contract #27569 - 0.400 CMP - 2018-05-17</t>
  </si>
  <si>
    <t>Mining Bonus - Mining contract #27569 - 0.400 CMP - 2018-05-19</t>
  </si>
  <si>
    <t>Janeiro</t>
  </si>
  <si>
    <t>Fevereiro</t>
  </si>
  <si>
    <t>Março</t>
  </si>
  <si>
    <t>Mining Bonus - Mining contract #27569 - 0.400 CMP - 2018-05-20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</si>
</sst>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#,##0.00;[Red]\-&quot;R$&quot;#,##0.00"/>
    <numFmt numFmtId="164" formatCode="[$$-409]#,##0.00"/>
    <numFmt numFmtId="165" formatCode="&quot;R$&quot;#,##0.00"/>
    <numFmt numFmtId="166" formatCode="[$$-540A]#,##0.00"/>
    <numFmt numFmtId="167" formatCode="0.00000000"/>
    <numFmt numFmtId="168" formatCode="mm/yyyy"/>
    <numFmt numFmtId="169" formatCode="#,##0.0"/>
    <numFmt numFmtId="170" formatCode="[$$-409]#,##0.00_ ;[Red]\-[$$-409]#,##0.00\ "/>
    <numFmt numFmtId="171" formatCode="&quot;R$&quot;#,##0.000000000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9"/>
      </top>
      <bottom/>
      <diagonal/>
    </border>
    <border>
      <left/>
      <right style="medium">
        <color indexed="64"/>
      </right>
      <top style="thick">
        <color theme="4"/>
      </top>
      <bottom/>
      <diagonal/>
    </border>
    <border>
      <left/>
      <right style="medium">
        <color indexed="64"/>
      </right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6" fillId="2" borderId="0" applyNumberFormat="0" applyBorder="0" applyAlignment="0" applyProtection="0"/>
  </cellStyleXfs>
  <cellXfs count="16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2" fillId="2" borderId="0" xfId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2" borderId="19" xfId="1" applyFill="1" applyBorder="1" applyAlignment="1">
      <alignment horizontal="center"/>
    </xf>
    <xf numFmtId="0" fontId="2" fillId="2" borderId="20" xfId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5" fontId="2" fillId="2" borderId="26" xfId="1" applyNumberForma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4" fontId="0" fillId="0" borderId="27" xfId="0" applyNumberFormat="1" applyFon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" fontId="0" fillId="0" borderId="0" xfId="0" applyNumberFormat="1"/>
    <xf numFmtId="169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65" fontId="1" fillId="0" borderId="30" xfId="0" applyNumberFormat="1" applyFont="1" applyBorder="1"/>
    <xf numFmtId="165" fontId="1" fillId="0" borderId="31" xfId="0" applyNumberFormat="1" applyFont="1" applyBorder="1"/>
    <xf numFmtId="165" fontId="1" fillId="0" borderId="32" xfId="0" applyNumberFormat="1" applyFont="1" applyBorder="1"/>
    <xf numFmtId="0" fontId="0" fillId="0" borderId="22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11" fillId="0" borderId="0" xfId="0" applyFont="1"/>
    <xf numFmtId="164" fontId="0" fillId="0" borderId="0" xfId="0" applyNumberFormat="1" applyFont="1" applyAlignment="1">
      <alignment horizontal="center" vertical="center"/>
    </xf>
    <xf numFmtId="0" fontId="3" fillId="0" borderId="0" xfId="0" applyFont="1"/>
    <xf numFmtId="0" fontId="1" fillId="2" borderId="30" xfId="3" applyFill="1" applyBorder="1"/>
    <xf numFmtId="0" fontId="1" fillId="2" borderId="31" xfId="3" applyFill="1" applyBorder="1"/>
    <xf numFmtId="0" fontId="1" fillId="2" borderId="32" xfId="3" applyFill="1" applyBorder="1"/>
    <xf numFmtId="164" fontId="1" fillId="0" borderId="30" xfId="0" applyNumberFormat="1" applyFont="1" applyBorder="1"/>
    <xf numFmtId="164" fontId="1" fillId="0" borderId="32" xfId="0" applyNumberFormat="1" applyFont="1" applyBorder="1"/>
    <xf numFmtId="164" fontId="1" fillId="0" borderId="31" xfId="3" applyNumberFormat="1" applyFont="1" applyBorder="1"/>
    <xf numFmtId="164" fontId="1" fillId="0" borderId="32" xfId="3" applyNumberFormat="1" applyFont="1" applyBorder="1"/>
    <xf numFmtId="164" fontId="1" fillId="0" borderId="31" xfId="0" applyNumberFormat="1" applyFont="1" applyBorder="1"/>
    <xf numFmtId="0" fontId="13" fillId="2" borderId="9" xfId="3" applyFont="1" applyFill="1" applyBorder="1" applyAlignment="1">
      <alignment horizontal="center" vertical="center"/>
    </xf>
    <xf numFmtId="170" fontId="12" fillId="0" borderId="9" xfId="3" applyNumberFormat="1" applyFont="1" applyBorder="1" applyAlignment="1">
      <alignment horizontal="center" vertical="center"/>
    </xf>
    <xf numFmtId="8" fontId="12" fillId="0" borderId="8" xfId="3" applyNumberFormat="1" applyFont="1" applyBorder="1" applyAlignment="1">
      <alignment horizontal="center" vertical="center"/>
    </xf>
    <xf numFmtId="171" fontId="0" fillId="0" borderId="0" xfId="0" applyNumberFormat="1"/>
    <xf numFmtId="164" fontId="16" fillId="6" borderId="35" xfId="0" applyNumberFormat="1" applyFont="1" applyFill="1" applyBorder="1" applyAlignment="1">
      <alignment horizontal="center"/>
    </xf>
    <xf numFmtId="165" fontId="16" fillId="6" borderId="35" xfId="0" applyNumberFormat="1" applyFont="1" applyFill="1" applyBorder="1" applyAlignment="1">
      <alignment horizontal="center"/>
    </xf>
    <xf numFmtId="165" fontId="0" fillId="3" borderId="0" xfId="0" applyNumberFormat="1" applyFill="1"/>
    <xf numFmtId="164" fontId="0" fillId="3" borderId="0" xfId="0" applyNumberFormat="1" applyFill="1"/>
    <xf numFmtId="0" fontId="2" fillId="2" borderId="18" xfId="1" applyFill="1" applyBorder="1" applyAlignment="1">
      <alignment horizontal="left"/>
    </xf>
    <xf numFmtId="165" fontId="9" fillId="2" borderId="1" xfId="1" applyNumberFormat="1" applyFont="1" applyFill="1" applyAlignment="1">
      <alignment horizontal="center" vertical="center"/>
    </xf>
    <xf numFmtId="0" fontId="9" fillId="2" borderId="1" xfId="1" applyFont="1" applyFill="1" applyAlignment="1">
      <alignment horizontal="center" vertical="center"/>
    </xf>
    <xf numFmtId="164" fontId="2" fillId="2" borderId="1" xfId="1" applyNumberFormat="1" applyFill="1" applyAlignment="1">
      <alignment horizontal="center"/>
    </xf>
    <xf numFmtId="0" fontId="4" fillId="2" borderId="28" xfId="2" applyFill="1" applyBorder="1" applyAlignment="1">
      <alignment horizontal="center"/>
    </xf>
    <xf numFmtId="0" fontId="4" fillId="2" borderId="29" xfId="2" applyFill="1" applyBorder="1" applyAlignment="1">
      <alignment horizontal="center"/>
    </xf>
    <xf numFmtId="165" fontId="2" fillId="2" borderId="10" xfId="1" applyNumberFormat="1" applyFill="1" applyBorder="1" applyAlignment="1">
      <alignment horizontal="center"/>
    </xf>
    <xf numFmtId="165" fontId="2" fillId="2" borderId="11" xfId="1" applyNumberFormat="1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4" fillId="2" borderId="19" xfId="2" applyFill="1" applyBorder="1" applyAlignment="1">
      <alignment horizontal="center"/>
    </xf>
    <xf numFmtId="0" fontId="4" fillId="2" borderId="20" xfId="2" applyFill="1" applyBorder="1" applyAlignment="1">
      <alignment horizontal="center"/>
    </xf>
    <xf numFmtId="14" fontId="7" fillId="2" borderId="1" xfId="1" applyNumberFormat="1" applyFont="1" applyFill="1" applyAlignment="1">
      <alignment horizontal="center" vertical="center"/>
    </xf>
    <xf numFmtId="165" fontId="7" fillId="2" borderId="1" xfId="1" applyNumberFormat="1" applyFont="1" applyFill="1" applyAlignment="1">
      <alignment horizontal="center" vertical="center"/>
    </xf>
    <xf numFmtId="10" fontId="2" fillId="2" borderId="10" xfId="1" applyNumberFormat="1" applyFill="1" applyBorder="1" applyAlignment="1">
      <alignment horizontal="center"/>
    </xf>
    <xf numFmtId="10" fontId="2" fillId="2" borderId="11" xfId="1" applyNumberFormat="1" applyFill="1" applyBorder="1" applyAlignment="1">
      <alignment horizontal="center"/>
    </xf>
    <xf numFmtId="0" fontId="2" fillId="2" borderId="16" xfId="1" applyFill="1" applyBorder="1" applyAlignment="1">
      <alignment horizontal="right"/>
    </xf>
    <xf numFmtId="0" fontId="2" fillId="2" borderId="17" xfId="1" applyFill="1" applyBorder="1" applyAlignment="1">
      <alignment horizontal="right"/>
    </xf>
    <xf numFmtId="14" fontId="8" fillId="2" borderId="0" xfId="1" applyNumberFormat="1" applyFont="1" applyFill="1" applyBorder="1" applyAlignment="1">
      <alignment horizontal="center" vertical="center"/>
    </xf>
    <xf numFmtId="14" fontId="8" fillId="2" borderId="3" xfId="1" applyNumberFormat="1" applyFont="1" applyFill="1" applyBorder="1" applyAlignment="1">
      <alignment horizontal="center" vertical="center"/>
    </xf>
    <xf numFmtId="14" fontId="8" fillId="2" borderId="1" xfId="1" applyNumberFormat="1" applyFont="1" applyFill="1" applyAlignment="1">
      <alignment horizontal="center" vertical="center"/>
    </xf>
    <xf numFmtId="14" fontId="8" fillId="2" borderId="37" xfId="1" applyNumberFormat="1" applyFont="1" applyFill="1" applyBorder="1" applyAlignment="1">
      <alignment horizontal="center" vertical="center"/>
    </xf>
    <xf numFmtId="165" fontId="8" fillId="2" borderId="14" xfId="1" applyNumberFormat="1" applyFont="1" applyFill="1" applyBorder="1" applyAlignment="1">
      <alignment horizontal="center" vertical="center"/>
    </xf>
    <xf numFmtId="165" fontId="8" fillId="2" borderId="36" xfId="1" applyNumberFormat="1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65" fontId="8" fillId="2" borderId="37" xfId="1" applyNumberFormat="1" applyFont="1" applyFill="1" applyBorder="1" applyAlignment="1">
      <alignment horizontal="center" vertical="center"/>
    </xf>
    <xf numFmtId="0" fontId="2" fillId="2" borderId="11" xfId="1" applyFill="1" applyBorder="1" applyAlignment="1">
      <alignment horizontal="center"/>
    </xf>
    <xf numFmtId="166" fontId="2" fillId="2" borderId="10" xfId="1" applyNumberFormat="1" applyFill="1" applyBorder="1" applyAlignment="1">
      <alignment horizontal="center"/>
    </xf>
    <xf numFmtId="166" fontId="2" fillId="2" borderId="11" xfId="1" applyNumberFormat="1" applyFill="1" applyBorder="1" applyAlignment="1">
      <alignment horizontal="center"/>
    </xf>
    <xf numFmtId="165" fontId="8" fillId="2" borderId="1" xfId="1" applyNumberFormat="1" applyFont="1" applyFill="1" applyAlignment="1">
      <alignment horizontal="center" vertical="center"/>
    </xf>
    <xf numFmtId="14" fontId="8" fillId="2" borderId="14" xfId="1" applyNumberFormat="1" applyFont="1" applyFill="1" applyBorder="1" applyAlignment="1">
      <alignment horizontal="center" vertical="center"/>
    </xf>
    <xf numFmtId="0" fontId="15" fillId="2" borderId="1" xfId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4" fontId="8" fillId="2" borderId="1" xfId="1" applyNumberFormat="1" applyFont="1" applyFill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10" fillId="2" borderId="33" xfId="4" applyNumberFormat="1" applyFont="1" applyBorder="1" applyAlignment="1">
      <alignment horizontal="center" vertical="center"/>
    </xf>
    <xf numFmtId="14" fontId="10" fillId="2" borderId="34" xfId="4" applyNumberFormat="1" applyFont="1" applyBorder="1" applyAlignment="1">
      <alignment horizontal="center" vertical="center"/>
    </xf>
    <xf numFmtId="14" fontId="10" fillId="2" borderId="0" xfId="4" applyNumberFormat="1" applyFont="1" applyBorder="1" applyAlignment="1">
      <alignment horizontal="center" vertical="center"/>
    </xf>
    <xf numFmtId="14" fontId="14" fillId="2" borderId="33" xfId="4" applyNumberFormat="1" applyFont="1" applyBorder="1" applyAlignment="1">
      <alignment horizontal="center" vertical="center" wrapText="1"/>
    </xf>
    <xf numFmtId="14" fontId="14" fillId="2" borderId="34" xfId="4" applyNumberFormat="1" applyFont="1" applyBorder="1" applyAlignment="1">
      <alignment horizontal="center" vertical="center" wrapText="1"/>
    </xf>
    <xf numFmtId="14" fontId="14" fillId="2" borderId="0" xfId="4" applyNumberFormat="1" applyFont="1" applyBorder="1" applyAlignment="1">
      <alignment horizontal="center" vertical="center" wrapText="1"/>
    </xf>
  </cellXfs>
  <cellStyles count="5">
    <cellStyle name="Bom" xfId="4" builtinId="26"/>
    <cellStyle name="Normal" xfId="0" builtinId="0"/>
    <cellStyle name="Título 1" xfId="1" builtinId="16"/>
    <cellStyle name="Título 4" xfId="2" builtinId="19"/>
    <cellStyle name="Total" xfId="3" builtinId="25"/>
  </cellStyles>
  <dxfs count="51">
    <dxf>
      <font>
        <color rgb="FFFFFF0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numFmt numFmtId="0" formatCode="General"/>
    </dxf>
    <dxf>
      <numFmt numFmtId="169" formatCode="#,##0.0"/>
      <alignment horizontal="center" vertical="bottom" textRotation="0" wrapText="0" indent="0" justifyLastLine="0" shrinkToFit="0" readingOrder="0"/>
    </dxf>
    <dxf>
      <numFmt numFmtId="165" formatCode="&quot;R$&quot;#,##0.00"/>
    </dxf>
    <dxf>
      <numFmt numFmtId="164" formatCode="[$$-409]#,##0.00"/>
    </dxf>
    <dxf>
      <numFmt numFmtId="164" formatCode="[$$-409]#,##0.0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$-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numFmt numFmtId="166" formatCode="[$$-540A]#,##0.0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8" formatCode="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numFmt numFmtId="164" formatCode="[$$-409]#,##0.00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layout>
        <c:manualLayout>
          <c:xMode val="edge"/>
          <c:yMode val="edge"/>
          <c:x val="0.46946121965660154"/>
          <c:y val="2.657808235996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Atlas!$A$33:$A$58</c:f>
              <c:numCache>
                <c:formatCode>m/d/yyyy</c:formatCode>
                <c:ptCount val="26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</c:numCache>
            </c:numRef>
          </c:cat>
          <c:val>
            <c:numRef>
              <c:f>Atlas!$F$33:$F$58</c:f>
              <c:numCache>
                <c:formatCode>General</c:formatCode>
                <c:ptCount val="26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365840"/>
        <c:axId val="1195370736"/>
      </c:lineChart>
      <c:dateAx>
        <c:axId val="1195365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370736"/>
        <c:crosses val="autoZero"/>
        <c:auto val="1"/>
        <c:lblOffset val="100"/>
        <c:baseTimeUnit val="days"/>
      </c:dateAx>
      <c:valAx>
        <c:axId val="11953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3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77712"/>
        <c:axId val="1365569008"/>
      </c:lineChart>
      <c:dateAx>
        <c:axId val="1365577712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69008"/>
        <c:crosses val="autoZero"/>
        <c:auto val="1"/>
        <c:lblOffset val="100"/>
        <c:baseTimeUnit val="months"/>
      </c:dateAx>
      <c:valAx>
        <c:axId val="13655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Easy!$D$15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Easy!$E$17:$E$36</c:f>
              <c:numCache>
                <c:formatCode>0.00%</c:formatCode>
                <c:ptCount val="20"/>
                <c:pt idx="0">
                  <c:v>0</c:v>
                </c:pt>
                <c:pt idx="1">
                  <c:v>6.3331222292591152E-3</c:v>
                </c:pt>
                <c:pt idx="2">
                  <c:v>1.5313614432557097E-2</c:v>
                </c:pt>
                <c:pt idx="3">
                  <c:v>1.5289256198347149E-2</c:v>
                </c:pt>
                <c:pt idx="4">
                  <c:v>1.3024013024013036E-2</c:v>
                </c:pt>
                <c:pt idx="5">
                  <c:v>1.0245078344716713E-2</c:v>
                </c:pt>
                <c:pt idx="6">
                  <c:v>8.5504076357128603E-3</c:v>
                </c:pt>
                <c:pt idx="7">
                  <c:v>6.9006309148265266E-3</c:v>
                </c:pt>
                <c:pt idx="8">
                  <c:v>1.0182102995888058E-2</c:v>
                </c:pt>
                <c:pt idx="9">
                  <c:v>1.5313045163791415E-2</c:v>
                </c:pt>
                <c:pt idx="10">
                  <c:v>8.9728904161893632E-3</c:v>
                </c:pt>
                <c:pt idx="11">
                  <c:v>8.8930936613055601E-3</c:v>
                </c:pt>
                <c:pt idx="12">
                  <c:v>8.8147036759189581E-3</c:v>
                </c:pt>
                <c:pt idx="13">
                  <c:v>5.9490611637850951E-3</c:v>
                </c:pt>
                <c:pt idx="14">
                  <c:v>6.4683053040103756E-3</c:v>
                </c:pt>
                <c:pt idx="15">
                  <c:v>5.3250091810502966E-3</c:v>
                </c:pt>
                <c:pt idx="16">
                  <c:v>4.9315068493151256E-3</c:v>
                </c:pt>
                <c:pt idx="17">
                  <c:v>6.5430752453653112E-3</c:v>
                </c:pt>
                <c:pt idx="18">
                  <c:v>3.9725532683278957E-3</c:v>
                </c:pt>
                <c:pt idx="19">
                  <c:v>7.194244604316393E-4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78256"/>
        <c:axId val="1365579888"/>
      </c:lineChart>
      <c:dateAx>
        <c:axId val="1365578256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9888"/>
        <c:crosses val="autoZero"/>
        <c:auto val="1"/>
        <c:lblOffset val="100"/>
        <c:baseTimeUnit val="months"/>
      </c:dateAx>
      <c:valAx>
        <c:axId val="13655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Atlas!$A$33:$A$58</c:f>
              <c:numCache>
                <c:formatCode>m/d/yyyy</c:formatCode>
                <c:ptCount val="26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</c:numCache>
            </c:numRef>
          </c:cat>
          <c:val>
            <c:numRef>
              <c:f>Atlas!$F$33:$F$58</c:f>
              <c:numCache>
                <c:formatCode>General</c:formatCode>
                <c:ptCount val="26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80976"/>
        <c:axId val="1195034208"/>
      </c:lineChart>
      <c:dateAx>
        <c:axId val="1365580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034208"/>
        <c:crosses val="autoZero"/>
        <c:auto val="1"/>
        <c:lblOffset val="100"/>
        <c:baseTimeUnit val="days"/>
      </c:dateAx>
      <c:valAx>
        <c:axId val="11950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Atlas!$J$2:$J$13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0.24225165700000001</c:v>
                </c:pt>
                <c:pt idx="4">
                  <c:v>0.34085438500000004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Atlas!$K$2:$K$13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0.859536144</c:v>
                </c:pt>
                <c:pt idx="4">
                  <c:v>1.2645187099999999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32576"/>
        <c:axId val="1433877104"/>
      </c:lineChart>
      <c:catAx>
        <c:axId val="1195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877104"/>
        <c:crosses val="autoZero"/>
        <c:auto val="1"/>
        <c:lblAlgn val="ctr"/>
        <c:lblOffset val="100"/>
        <c:noMultiLvlLbl val="1"/>
      </c:catAx>
      <c:valAx>
        <c:axId val="14338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0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Atlas!$J$31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Atlas!$A$33:$A$58</c:f>
              <c:numCache>
                <c:formatCode>m/d/yyyy</c:formatCode>
                <c:ptCount val="26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</c:numCache>
            </c:numRef>
          </c:cat>
          <c:val>
            <c:numRef>
              <c:f>Atlas!$L$33:$L$58</c:f>
              <c:numCache>
                <c:formatCode>0.00%</c:formatCode>
                <c:ptCount val="26"/>
                <c:pt idx="0">
                  <c:v>0</c:v>
                </c:pt>
                <c:pt idx="1">
                  <c:v>7.1999999999999994E-4</c:v>
                </c:pt>
                <c:pt idx="2">
                  <c:v>1.1251898632984252E-2</c:v>
                </c:pt>
                <c:pt idx="3">
                  <c:v>8.5475997549358681E-4</c:v>
                </c:pt>
                <c:pt idx="4">
                  <c:v>1.7771722227981576E-4</c:v>
                </c:pt>
                <c:pt idx="5">
                  <c:v>4.9357123466844347E-4</c:v>
                </c:pt>
                <c:pt idx="6">
                  <c:v>6.3145951012555195E-4</c:v>
                </c:pt>
                <c:pt idx="7">
                  <c:v>2.7115903230736618E-4</c:v>
                </c:pt>
                <c:pt idx="8">
                  <c:v>6.7524939868301732E-4</c:v>
                </c:pt>
                <c:pt idx="9">
                  <c:v>6.747937446127324E-4</c:v>
                </c:pt>
                <c:pt idx="10">
                  <c:v>6.7433870507279899E-4</c:v>
                </c:pt>
                <c:pt idx="11">
                  <c:v>3.1480725433966718E-4</c:v>
                </c:pt>
                <c:pt idx="12">
                  <c:v>3.1470818192099847E-4</c:v>
                </c:pt>
                <c:pt idx="13">
                  <c:v>3.5885108663058496E-4</c:v>
                </c:pt>
                <c:pt idx="14">
                  <c:v>2.7027027027027027E-4</c:v>
                </c:pt>
                <c:pt idx="15">
                  <c:v>2.1517525975780502E-3</c:v>
                </c:pt>
                <c:pt idx="16">
                  <c:v>4.6325118999181337E-3</c:v>
                </c:pt>
                <c:pt idx="17">
                  <c:v>7.6120582810410963E-4</c:v>
                </c:pt>
                <c:pt idx="18">
                  <c:v>9.1665285186304821E-4</c:v>
                </c:pt>
                <c:pt idx="19">
                  <c:v>6.7711733128087218E-4</c:v>
                </c:pt>
                <c:pt idx="20">
                  <c:v>1.0807074252388996E-3</c:v>
                </c:pt>
                <c:pt idx="21">
                  <c:v>7.9263578142703612E-4</c:v>
                </c:pt>
                <c:pt idx="22">
                  <c:v>7.9200800754108242E-4</c:v>
                </c:pt>
                <c:pt idx="23">
                  <c:v>9.6616481120945393E-4</c:v>
                </c:pt>
                <c:pt idx="24">
                  <c:v>9.9918513057312489E-4</c:v>
                </c:pt>
                <c:pt idx="25">
                  <c:v>8.5282060724703695E-4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83088"/>
        <c:axId val="1433873296"/>
      </c:lineChart>
      <c:dateAx>
        <c:axId val="1433883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873296"/>
        <c:crosses val="autoZero"/>
        <c:auto val="1"/>
        <c:lblOffset val="100"/>
        <c:baseTimeUnit val="days"/>
      </c:dateAx>
      <c:valAx>
        <c:axId val="14338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88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AWS!$A$21:$A$48</c:f>
              <c:numCache>
                <c:formatCode>m/d/yyyy</c:formatCode>
                <c:ptCount val="28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</c:numCache>
            </c:numRef>
          </c:cat>
          <c:val>
            <c:numRef>
              <c:f>AWS!$D$21:$D$48</c:f>
              <c:numCache>
                <c:formatCode>[$$-409]#,##0.00</c:formatCode>
                <c:ptCount val="28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81456"/>
        <c:axId val="1433877648"/>
      </c:lineChart>
      <c:dateAx>
        <c:axId val="1433881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877648"/>
        <c:crosses val="autoZero"/>
        <c:auto val="1"/>
        <c:lblOffset val="100"/>
        <c:baseTimeUnit val="days"/>
      </c:dateAx>
      <c:valAx>
        <c:axId val="14338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88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AWS!$C$20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AWS!$A$21:$A$48</c:f>
              <c:numCache>
                <c:formatCode>m/d/yyyy</c:formatCode>
                <c:ptCount val="28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</c:numCache>
            </c:numRef>
          </c:cat>
          <c:val>
            <c:numRef>
              <c:f>AWS!$C$21:$C$48</c:f>
              <c:numCache>
                <c:formatCode>[$$-409]#,##0.00</c:formatCode>
                <c:ptCount val="28"/>
                <c:pt idx="0">
                  <c:v>0.84</c:v>
                </c:pt>
                <c:pt idx="1">
                  <c:v>0.85</c:v>
                </c:pt>
                <c:pt idx="2">
                  <c:v>0.83</c:v>
                </c:pt>
                <c:pt idx="3">
                  <c:v>0.84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0.83</c:v>
                </c:pt>
                <c:pt idx="12">
                  <c:v>0.86</c:v>
                </c:pt>
                <c:pt idx="13">
                  <c:v>0.84</c:v>
                </c:pt>
                <c:pt idx="14">
                  <c:v>0.86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</c:v>
                </c:pt>
                <c:pt idx="21">
                  <c:v>0.83</c:v>
                </c:pt>
                <c:pt idx="22">
                  <c:v>0.86</c:v>
                </c:pt>
                <c:pt idx="23">
                  <c:v>0.86</c:v>
                </c:pt>
                <c:pt idx="24">
                  <c:v>0</c:v>
                </c:pt>
                <c:pt idx="25">
                  <c:v>0.84</c:v>
                </c:pt>
                <c:pt idx="26">
                  <c:v>0.85</c:v>
                </c:pt>
                <c:pt idx="27">
                  <c:v>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78736"/>
        <c:axId val="1433882000"/>
      </c:lineChart>
      <c:dateAx>
        <c:axId val="1433878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882000"/>
        <c:crosses val="autoZero"/>
        <c:auto val="1"/>
        <c:lblOffset val="100"/>
        <c:baseTimeUnit val="days"/>
      </c:dateAx>
      <c:valAx>
        <c:axId val="1433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87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AWS!$A$21:$A$48</c:f>
              <c:numCache>
                <c:formatCode>m/d/yyyy</c:formatCode>
                <c:ptCount val="28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</c:numCache>
            </c:numRef>
          </c:cat>
          <c:val>
            <c:numRef>
              <c:f>AWS!$D$21:$D$48</c:f>
              <c:numCache>
                <c:formatCode>[$$-409]#,##0.00</c:formatCode>
                <c:ptCount val="28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358224"/>
        <c:axId val="1195362576"/>
      </c:lineChart>
      <c:dateAx>
        <c:axId val="1195358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362576"/>
        <c:crosses val="autoZero"/>
        <c:auto val="1"/>
        <c:lblOffset val="100"/>
        <c:baseTimeUnit val="days"/>
      </c:dateAx>
      <c:valAx>
        <c:axId val="11953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35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Tesouro Prefixado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363120"/>
        <c:axId val="1365573360"/>
      </c:lineChart>
      <c:dateAx>
        <c:axId val="1195363120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3360"/>
        <c:crosses val="autoZero"/>
        <c:auto val="1"/>
        <c:lblOffset val="100"/>
        <c:baseTimeUnit val="months"/>
      </c:dateAx>
      <c:valAx>
        <c:axId val="13655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3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Total!$H$20:$H$46</c:f>
              <c:numCache>
                <c:formatCode>m/d/yyyy</c:formatCode>
                <c:ptCount val="27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</c:numCache>
            </c:numRef>
          </c:cat>
          <c:val>
            <c:numRef>
              <c:f>Total!$L$20:$L$46</c:f>
              <c:numCache>
                <c:formatCode>"R$"#,##0.00</c:formatCode>
                <c:ptCount val="27"/>
                <c:pt idx="0">
                  <c:v>58.610631076923077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83696"/>
        <c:axId val="1365570640"/>
      </c:lineChart>
      <c:dateAx>
        <c:axId val="1365583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0640"/>
        <c:crosses val="autoZero"/>
        <c:auto val="1"/>
        <c:lblOffset val="100"/>
        <c:baseTimeUnit val="days"/>
      </c:dateAx>
      <c:valAx>
        <c:axId val="13655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Cotação!$D$2</c:f>
              <c:strCache>
                <c:ptCount val="1"/>
                <c:pt idx="0">
                  <c:v>BTC/BRL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Cotação!$A$3:$A$28</c:f>
              <c:numCache>
                <c:formatCode>m/d/yyyy</c:formatCode>
                <c:ptCount val="26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</c:numCache>
            </c:numRef>
          </c:cat>
          <c:val>
            <c:numRef>
              <c:f>Cotação!$D$3:$D$28</c:f>
              <c:numCache>
                <c:formatCode>"R$"#,##0.00</c:formatCode>
                <c:ptCount val="26"/>
                <c:pt idx="0">
                  <c:v>32640</c:v>
                </c:pt>
                <c:pt idx="1">
                  <c:v>32786.9</c:v>
                </c:pt>
                <c:pt idx="2">
                  <c:v>33072.400000000001</c:v>
                </c:pt>
                <c:pt idx="3">
                  <c:v>32300</c:v>
                </c:pt>
                <c:pt idx="4">
                  <c:v>32371</c:v>
                </c:pt>
                <c:pt idx="5">
                  <c:v>32150</c:v>
                </c:pt>
                <c:pt idx="6">
                  <c:v>32300</c:v>
                </c:pt>
                <c:pt idx="7">
                  <c:v>33270</c:v>
                </c:pt>
                <c:pt idx="8">
                  <c:v>34156</c:v>
                </c:pt>
                <c:pt idx="9">
                  <c:v>35100</c:v>
                </c:pt>
                <c:pt idx="10">
                  <c:v>33900</c:v>
                </c:pt>
                <c:pt idx="11">
                  <c:v>33420</c:v>
                </c:pt>
                <c:pt idx="12">
                  <c:v>33497</c:v>
                </c:pt>
                <c:pt idx="13">
                  <c:v>33650</c:v>
                </c:pt>
                <c:pt idx="14">
                  <c:v>33999</c:v>
                </c:pt>
                <c:pt idx="15">
                  <c:v>31109</c:v>
                </c:pt>
                <c:pt idx="16">
                  <c:v>31749</c:v>
                </c:pt>
                <c:pt idx="17">
                  <c:v>32399</c:v>
                </c:pt>
                <c:pt idx="18">
                  <c:v>32350</c:v>
                </c:pt>
                <c:pt idx="19">
                  <c:v>32050</c:v>
                </c:pt>
                <c:pt idx="20">
                  <c:v>31180</c:v>
                </c:pt>
                <c:pt idx="21">
                  <c:v>30383</c:v>
                </c:pt>
                <c:pt idx="22">
                  <c:v>30550</c:v>
                </c:pt>
                <c:pt idx="23">
                  <c:v>31750</c:v>
                </c:pt>
                <c:pt idx="24">
                  <c:v>31900</c:v>
                </c:pt>
                <c:pt idx="25">
                  <c:v>31636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83152"/>
        <c:axId val="1365576080"/>
      </c:lineChart>
      <c:dateAx>
        <c:axId val="1365583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6080"/>
        <c:crosses val="autoZero"/>
        <c:auto val="1"/>
        <c:lblOffset val="100"/>
        <c:baseTimeUnit val="days"/>
      </c:dateAx>
      <c:valAx>
        <c:axId val="13655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8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Cotação!$F$2</c:f>
              <c:strCache>
                <c:ptCount val="1"/>
                <c:pt idx="0">
                  <c:v>USD/BRL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Cotação!$A$3:$A$28</c:f>
              <c:numCache>
                <c:formatCode>m/d/yyyy</c:formatCode>
                <c:ptCount val="26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</c:numCache>
            </c:numRef>
          </c:cat>
          <c:val>
            <c:numRef>
              <c:f>Cotação!$F$3:$F$28</c:f>
              <c:numCache>
                <c:formatCode>"R$"#,##0.00</c:formatCode>
                <c:ptCount val="26"/>
                <c:pt idx="0">
                  <c:v>3.4754999999999998</c:v>
                </c:pt>
                <c:pt idx="1">
                  <c:v>3.46</c:v>
                </c:pt>
                <c:pt idx="2">
                  <c:v>3.4573999999999998</c:v>
                </c:pt>
                <c:pt idx="3">
                  <c:v>3.4573999999999998</c:v>
                </c:pt>
                <c:pt idx="4">
                  <c:v>3.4864000000000002</c:v>
                </c:pt>
                <c:pt idx="5">
                  <c:v>3.5076000000000001</c:v>
                </c:pt>
                <c:pt idx="6">
                  <c:v>3.5468000000000002</c:v>
                </c:pt>
                <c:pt idx="7">
                  <c:v>3.5583</c:v>
                </c:pt>
                <c:pt idx="8">
                  <c:v>3.5434000000000001</c:v>
                </c:pt>
                <c:pt idx="9">
                  <c:v>3.5282</c:v>
                </c:pt>
                <c:pt idx="10">
                  <c:v>3.5282</c:v>
                </c:pt>
                <c:pt idx="11">
                  <c:v>3.5470999999999999</c:v>
                </c:pt>
                <c:pt idx="12">
                  <c:v>3.577</c:v>
                </c:pt>
                <c:pt idx="13">
                  <c:v>3.5931999999999999</c:v>
                </c:pt>
                <c:pt idx="14">
                  <c:v>3.5512999999999999</c:v>
                </c:pt>
                <c:pt idx="15">
                  <c:v>3.5992999999999999</c:v>
                </c:pt>
                <c:pt idx="16">
                  <c:v>3.5992999999999999</c:v>
                </c:pt>
                <c:pt idx="17">
                  <c:v>3.5992999999999999</c:v>
                </c:pt>
                <c:pt idx="18">
                  <c:v>3.6261999999999999</c:v>
                </c:pt>
                <c:pt idx="19">
                  <c:v>3.6545999999999998</c:v>
                </c:pt>
                <c:pt idx="20">
                  <c:v>3.677</c:v>
                </c:pt>
                <c:pt idx="21">
                  <c:v>3.6962999999999999</c:v>
                </c:pt>
                <c:pt idx="22">
                  <c:v>3.7494999999999998</c:v>
                </c:pt>
                <c:pt idx="23">
                  <c:v>3.7364000000000002</c:v>
                </c:pt>
                <c:pt idx="24">
                  <c:v>3.7364000000000002</c:v>
                </c:pt>
                <c:pt idx="25">
                  <c:v>3.6941000000000002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74448"/>
        <c:axId val="1365580432"/>
      </c:lineChart>
      <c:dateAx>
        <c:axId val="1365574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80432"/>
        <c:crosses val="autoZero"/>
        <c:auto val="1"/>
        <c:lblOffset val="100"/>
        <c:baseTimeUnit val="days"/>
      </c:dateAx>
      <c:valAx>
        <c:axId val="1365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Cotação!$B$2</c:f>
              <c:strCache>
                <c:ptCount val="1"/>
                <c:pt idx="0">
                  <c:v>BTC/USD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Cotação!$A$3:$A$28</c:f>
              <c:numCache>
                <c:formatCode>m/d/yyyy</c:formatCode>
                <c:ptCount val="26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</c:numCache>
            </c:numRef>
          </c:cat>
          <c:val>
            <c:numRef>
              <c:f>Cotação!$B$3:$B$28</c:f>
              <c:numCache>
                <c:formatCode>[$$-409]#,##0.00</c:formatCode>
                <c:ptCount val="26"/>
                <c:pt idx="0">
                  <c:v>9279.2999999999993</c:v>
                </c:pt>
                <c:pt idx="1">
                  <c:v>9204.2999999999993</c:v>
                </c:pt>
                <c:pt idx="2">
                  <c:v>9308</c:v>
                </c:pt>
                <c:pt idx="3">
                  <c:v>9269.7000000000007</c:v>
                </c:pt>
                <c:pt idx="4">
                  <c:v>9290.9</c:v>
                </c:pt>
                <c:pt idx="5">
                  <c:v>9069.9</c:v>
                </c:pt>
                <c:pt idx="6">
                  <c:v>9147.7000000000007</c:v>
                </c:pt>
                <c:pt idx="7">
                  <c:v>9425</c:v>
                </c:pt>
                <c:pt idx="8">
                  <c:v>9759.4</c:v>
                </c:pt>
                <c:pt idx="9">
                  <c:v>9974.7999999999993</c:v>
                </c:pt>
                <c:pt idx="10">
                  <c:v>9595.5</c:v>
                </c:pt>
                <c:pt idx="11">
                  <c:v>9301.1</c:v>
                </c:pt>
                <c:pt idx="12">
                  <c:v>9127.4</c:v>
                </c:pt>
                <c:pt idx="13">
                  <c:v>9274.9</c:v>
                </c:pt>
                <c:pt idx="14">
                  <c:v>9380</c:v>
                </c:pt>
                <c:pt idx="15">
                  <c:v>8409.7000000000007</c:v>
                </c:pt>
                <c:pt idx="16">
                  <c:v>8375.7999999999993</c:v>
                </c:pt>
                <c:pt idx="17">
                  <c:v>8606.1</c:v>
                </c:pt>
                <c:pt idx="18">
                  <c:v>8747.9</c:v>
                </c:pt>
                <c:pt idx="19">
                  <c:v>8475.2999999999993</c:v>
                </c:pt>
                <c:pt idx="20">
                  <c:v>8276</c:v>
                </c:pt>
                <c:pt idx="21">
                  <c:v>8001.4</c:v>
                </c:pt>
                <c:pt idx="22">
                  <c:v>8069.5</c:v>
                </c:pt>
                <c:pt idx="23">
                  <c:v>8311.2999999999993</c:v>
                </c:pt>
                <c:pt idx="24">
                  <c:v>8492.2000000000007</c:v>
                </c:pt>
                <c:pt idx="25">
                  <c:v>8378.6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68464"/>
        <c:axId val="1365571184"/>
      </c:lineChart>
      <c:dateAx>
        <c:axId val="1365568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1184"/>
        <c:crosses val="autoZero"/>
        <c:auto val="1"/>
        <c:lblOffset val="100"/>
        <c:baseTimeUnit val="days"/>
      </c:dateAx>
      <c:valAx>
        <c:axId val="13655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Total!$H$20:$H$46</c:f>
              <c:numCache>
                <c:formatCode>m/d/yyyy</c:formatCode>
                <c:ptCount val="27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</c:numCache>
            </c:numRef>
          </c:cat>
          <c:val>
            <c:numRef>
              <c:f>Total!$L$20:$L$46</c:f>
              <c:numCache>
                <c:formatCode>"R$"#,##0.00</c:formatCode>
                <c:ptCount val="27"/>
                <c:pt idx="0">
                  <c:v>58.610631076923077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579344"/>
        <c:axId val="1365571728"/>
      </c:lineChart>
      <c:dateAx>
        <c:axId val="1365579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1728"/>
        <c:crosses val="autoZero"/>
        <c:auto val="1"/>
        <c:lblOffset val="100"/>
        <c:baseTimeUnit val="days"/>
      </c:dateAx>
      <c:valAx>
        <c:axId val="13655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Total!$M$19</c:f>
              <c:strCache>
                <c:ptCount val="1"/>
                <c:pt idx="0">
                  <c:v>Variação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Total!$H$20:$H$46</c:f>
              <c:numCache>
                <c:formatCode>m/d/yyyy</c:formatCode>
                <c:ptCount val="27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</c:numCache>
            </c:numRef>
          </c:cat>
          <c:val>
            <c:numRef>
              <c:f>Total!$M$20:$M$46</c:f>
              <c:numCache>
                <c:formatCode>"R$"#,##0.00</c:formatCode>
                <c:ptCount val="27"/>
                <c:pt idx="0">
                  <c:v>0</c:v>
                </c:pt>
                <c:pt idx="1">
                  <c:v>68.142963923076906</c:v>
                </c:pt>
                <c:pt idx="2">
                  <c:v>3.1866181360000212</c:v>
                </c:pt>
                <c:pt idx="3">
                  <c:v>4.2138655679999886</c:v>
                </c:pt>
                <c:pt idx="4">
                  <c:v>1.2584922960000142</c:v>
                </c:pt>
                <c:pt idx="5">
                  <c:v>3.2098295499999949</c:v>
                </c:pt>
                <c:pt idx="6">
                  <c:v>2.7067169499999864</c:v>
                </c:pt>
                <c:pt idx="7">
                  <c:v>3.5540335000000027</c:v>
                </c:pt>
                <c:pt idx="8">
                  <c:v>5.0872686000000158</c:v>
                </c:pt>
                <c:pt idx="9">
                  <c:v>4.7439253999999949</c:v>
                </c:pt>
                <c:pt idx="10">
                  <c:v>4.8360849999999971</c:v>
                </c:pt>
                <c:pt idx="11">
                  <c:v>0.5369049999999902</c:v>
                </c:pt>
                <c:pt idx="12">
                  <c:v>2.286382599999996</c:v>
                </c:pt>
                <c:pt idx="13">
                  <c:v>3.5095145900000091</c:v>
                </c:pt>
                <c:pt idx="14">
                  <c:v>3.6166338099999962</c:v>
                </c:pt>
                <c:pt idx="15">
                  <c:v>3.1117834500000185</c:v>
                </c:pt>
                <c:pt idx="16">
                  <c:v>-2.1494560799999931</c:v>
                </c:pt>
                <c:pt idx="17">
                  <c:v>4.5930022499999836</c:v>
                </c:pt>
                <c:pt idx="18">
                  <c:v>4.3700584399999798</c:v>
                </c:pt>
                <c:pt idx="19">
                  <c:v>3.9111149400000045</c:v>
                </c:pt>
                <c:pt idx="20">
                  <c:v>-0.57129650000001675</c:v>
                </c:pt>
                <c:pt idx="21">
                  <c:v>4.8718349000000103</c:v>
                </c:pt>
                <c:pt idx="22">
                  <c:v>2.9734695799999713</c:v>
                </c:pt>
                <c:pt idx="23">
                  <c:v>0.39349251999999524</c:v>
                </c:pt>
                <c:pt idx="24">
                  <c:v>8.5962345000000369</c:v>
                </c:pt>
                <c:pt idx="25">
                  <c:v>3.4761780000000044</c:v>
                </c:pt>
                <c:pt idx="26">
                  <c:v>-0.48914800000000014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574992"/>
        <c:axId val="1365573904"/>
      </c:lineChart>
      <c:dateAx>
        <c:axId val="1365574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3904"/>
        <c:crosses val="autoZero"/>
        <c:auto val="1"/>
        <c:lblOffset val="100"/>
        <c:baseTimeUnit val="days"/>
      </c:dateAx>
      <c:valAx>
        <c:axId val="13655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5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17</xdr:col>
      <xdr:colOff>361950</xdr:colOff>
      <xdr:row>18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15688</xdr:rowOff>
    </xdr:from>
    <xdr:to>
      <xdr:col>17</xdr:col>
      <xdr:colOff>361950</xdr:colOff>
      <xdr:row>32</xdr:row>
      <xdr:rowOff>91888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336177</xdr:colOff>
      <xdr:row>3</xdr:row>
      <xdr:rowOff>0</xdr:rowOff>
    </xdr:from>
    <xdr:to>
      <xdr:col>35</xdr:col>
      <xdr:colOff>89647</xdr:colOff>
      <xdr:row>18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17</xdr:row>
      <xdr:rowOff>179294</xdr:rowOff>
    </xdr:from>
    <xdr:to>
      <xdr:col>35</xdr:col>
      <xdr:colOff>89647</xdr:colOff>
      <xdr:row>46</xdr:row>
      <xdr:rowOff>168088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252412</xdr:rowOff>
    </xdr:from>
    <xdr:to>
      <xdr:col>27</xdr:col>
      <xdr:colOff>9526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161925</xdr:rowOff>
    </xdr:from>
    <xdr:to>
      <xdr:col>27</xdr:col>
      <xdr:colOff>19050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15</xdr:row>
      <xdr:rowOff>119063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0</xdr:rowOff>
    </xdr:from>
    <xdr:to>
      <xdr:col>24</xdr:col>
      <xdr:colOff>495300</xdr:colOff>
      <xdr:row>15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790574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800099</xdr:colOff>
      <xdr:row>0</xdr:row>
      <xdr:rowOff>0</xdr:rowOff>
    </xdr:from>
    <xdr:to>
      <xdr:col>14</xdr:col>
      <xdr:colOff>600074</xdr:colOff>
      <xdr:row>13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52387</xdr:rowOff>
    </xdr:from>
    <xdr:to>
      <xdr:col>5</xdr:col>
      <xdr:colOff>885826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14</xdr:row>
      <xdr:rowOff>47625</xdr:rowOff>
    </xdr:from>
    <xdr:to>
      <xdr:col>21</xdr:col>
      <xdr:colOff>419100</xdr:colOff>
      <xdr:row>28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14</xdr:row>
      <xdr:rowOff>47625</xdr:rowOff>
    </xdr:from>
    <xdr:to>
      <xdr:col>12</xdr:col>
      <xdr:colOff>257175</xdr:colOff>
      <xdr:row>28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14287</xdr:rowOff>
    </xdr:from>
    <xdr:to>
      <xdr:col>1</xdr:col>
      <xdr:colOff>3590925</xdr:colOff>
      <xdr:row>18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3609975</xdr:colOff>
      <xdr:row>4</xdr:row>
      <xdr:rowOff>9525</xdr:rowOff>
    </xdr:from>
    <xdr:to>
      <xdr:col>7</xdr:col>
      <xdr:colOff>0</xdr:colOff>
      <xdr:row>18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25" displayName="Tabela25" ref="A2:G28" totalsRowShown="0" headerRowDxfId="50" dataDxfId="49">
  <autoFilter ref="A2:G28"/>
  <tableColumns count="7">
    <tableColumn id="1" name="Data" dataDxfId="48"/>
    <tableColumn id="2" name="BTC/USD" dataDxfId="47"/>
    <tableColumn id="6" name="/" dataDxfId="46">
      <calculatedColumnFormula>IF(Tabela25[[#This Row],[BTC/USD]]&lt;B2,"▼",IF(Tabela25[[#This Row],[BTC/USD]]&gt;B2,"▲","-"))</calculatedColumnFormula>
    </tableColumn>
    <tableColumn id="3" name="BTC/BRL" dataDxfId="45"/>
    <tableColumn id="7" name="." dataDxfId="44">
      <calculatedColumnFormula>IF(Tabela25[[#This Row],[BTC/BRL]]&lt;D2,"▼",IF(Tabela25[[#This Row],[BTC/BRL]]&gt;D2,"▲","-"))</calculatedColumnFormula>
    </tableColumn>
    <tableColumn id="4" name="USD/BRL" dataDxfId="43"/>
    <tableColumn id="8" name="," dataDxfId="42">
      <calculatedColumnFormula>IF(Tabela25[[#This Row],[USD/BRL]]&lt;F2,"▼",IF(Tabela25[[#This Row],[USD/BRL]]&gt;F2,"▲","-"))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H19:N46" totalsRowShown="0" headerRowDxfId="41" dataDxfId="40">
  <autoFilter ref="H19:N46"/>
  <tableColumns count="7">
    <tableColumn id="1" name="Data" dataDxfId="39"/>
    <tableColumn id="2" name="Atlas" dataDxfId="38">
      <calculatedColumnFormula>IFERROR(VLOOKUP(Tabela6[[#This Row],[Data]]+1,Tabela1[[Data ]:[BRL]],9),0)</calculatedColumnFormula>
    </tableColumn>
    <tableColumn id="3" name="AWS" dataDxfId="37">
      <calculatedColumnFormula>IFERROR(VLOOKUP(Tabela6[[#This Row],[Data]]+1,Tabela3[[Data]:[Saldo BRL]],5),0)</calculatedColumnFormula>
    </tableColumn>
    <tableColumn id="5" name="Easy" dataDxfId="36">
      <calculatedColumnFormula>VLOOKUP(Tabela6[[#This Row],[Data]]+1,Tabela16[#All],3)</calculatedColumnFormula>
    </tableColumn>
    <tableColumn id="6" name="Total" dataDxfId="35">
      <calculatedColumnFormula>SUM(Tabela6[[#This Row],[Atlas]:[Easy]])</calculatedColumnFormula>
    </tableColumn>
    <tableColumn id="7" name="Variação" dataDxfId="34">
      <calculatedColumnFormula>IFERROR(Tabela6[[#This Row],[Total]]-L19,0)</calculatedColumnFormula>
    </tableColumn>
    <tableColumn id="8" name="Variação %" dataDxfId="33">
      <calculatedColumnFormula>Tabela6[[#This Row],[Variação]]/Tabela6[[#This Row],[Total]]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A16:F36" totalsRowShown="0" headerRowDxfId="32" dataDxfId="31">
  <autoFilter ref="A16:F36"/>
  <tableColumns count="6">
    <tableColumn id="1" name="Data " dataDxfId="30"/>
    <tableColumn id="3" name="Anterior" dataDxfId="29">
      <calculatedColumnFormula>C16</calculatedColumnFormula>
    </tableColumn>
    <tableColumn id="4" name="Posterior" dataDxfId="28"/>
    <tableColumn id="8" name="Bruto " dataDxfId="27">
      <calculatedColumnFormula>IF(Tabela16[[#This Row],[Anterior]]=0,"-",IFERROR(Tabela16[Posterior]-Tabela16[Anterior],"N/A"))</calculatedColumnFormula>
    </tableColumn>
    <tableColumn id="10" name="porcentagem" dataDxfId="26">
      <calculatedColumnFormula>IFERROR(Tabela16[[Bruto ]]/Tabela16[Anterior],"N/A")</calculatedColumnFormula>
    </tableColumn>
    <tableColumn id="12" name="Anual" dataDxfId="25">
      <calculatedColumnFormula>IFERROR(Tabela16[[#This Row],[Bruto ]]*12,"N/A")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32:N58" totalsRowShown="0" headerRowDxfId="24" dataDxfId="23">
  <autoFilter ref="A32:N58"/>
  <tableColumns count="14">
    <tableColumn id="1" name="Data " dataDxfId="22"/>
    <tableColumn id="13" name="Mês" dataDxfId="21">
      <calculatedColumnFormula>Tabela1[[#This Row],[Data ]]</calculatedColumnFormula>
    </tableColumn>
    <tableColumn id="14" name="Ano" dataDxfId="20"/>
    <tableColumn id="2" name="Tipo" dataDxfId="19"/>
    <tableColumn id="3" name="Anterior" dataDxfId="18"/>
    <tableColumn id="4" name="Posterior" dataDxfId="17"/>
    <tableColumn id="5" name="Variação" dataDxfId="16"/>
    <tableColumn id="6" name="USD" dataDxfId="15">
      <calculatedColumnFormula>Tabela1[[#This Row],[Posterior]]*VLOOKUP(Tabela1[[#This Row],[Data ]],Tabela25[],2)</calculatedColumnFormula>
    </tableColumn>
    <tableColumn id="7" name="BRL" dataDxfId="14">
      <calculatedColumnFormula>Tabela1[[#This Row],[Posterior]]*VLOOKUP(Tabela1[[#This Row],[Data ]],Tabela25[],4)</calculatedColumnFormula>
    </tableColumn>
    <tableColumn id="8" name="Bruto BRL" dataDxfId="13">
      <calculatedColumnFormula>IF(Tabela1[[#This Row],[Tipo]]="Depósito (BTC)","N/A",Tabela1[[#This Row],[Variação]]*VLOOKUP(Tabela1[[#This Row],[Data ]],Tabela25[],4))</calculatedColumnFormula>
    </tableColumn>
    <tableColumn id="9" name="Bruto USD" dataDxfId="12">
      <calculatedColumnFormula>IF(Tabela1[[#This Row],[Tipo]]="Depósito (BTC)","N/A",Tabela1[[#This Row],[Variação]]*VLOOKUP(Tabela1[[#This Row],[Data ]],Tabela25[],2))</calculatedColumnFormula>
    </tableColumn>
    <tableColumn id="10" name="porcentagem" dataDxfId="11">
      <calculatedColumnFormula>G33/E33</calculatedColumnFormula>
    </tableColumn>
    <tableColumn id="11" name="Mensal" dataDxfId="10">
      <calculatedColumnFormula>L33*30</calculatedColumnFormula>
    </tableColumn>
    <tableColumn id="12" name="Anual" dataDxfId="9">
      <calculatedColumnFormula>M33*12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20:G48" totalsRowShown="0">
  <autoFilter ref="A20:G48"/>
  <tableColumns count="7">
    <tableColumn id="1" name="Data" dataDxfId="8"/>
    <tableColumn id="2" name="Descrição"/>
    <tableColumn id="3" name="Valor" dataDxfId="7"/>
    <tableColumn id="4" name="Saldo disponível para saque" dataDxfId="6">
      <calculatedColumnFormula>C22+D21</calculatedColumnFormula>
    </tableColumn>
    <tableColumn id="5" name="Saldo BRL" dataDxfId="5">
      <calculatedColumnFormula>IFERROR(Tabela3[[#This Row],[Saldo disponível para saque]]*VLOOKUP(Tabela3[[#This Row],[Data]],Tabela25[],6),Tabela3[[#This Row],[Saldo disponível para saque]]*Cotação!J2)</calculatedColumnFormula>
    </tableColumn>
    <tableColumn id="7" name="CMP" dataDxfId="4"/>
    <tableColumn id="6" name="Ação" dataDxfId="3">
      <calculatedColumnFormula>IF(Tabela3[[#This Row],[Saldo disponível para saque]]&gt;=40,"Comprar","")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>
        <v>1</v>
      </c>
      <c r="B1">
        <v>2016</v>
      </c>
    </row>
    <row r="2" spans="1:2" x14ac:dyDescent="0.25">
      <c r="A2">
        <v>2</v>
      </c>
      <c r="B2">
        <v>2017</v>
      </c>
    </row>
    <row r="3" spans="1:2" x14ac:dyDescent="0.25">
      <c r="A3">
        <v>3</v>
      </c>
      <c r="B3">
        <v>2018</v>
      </c>
    </row>
    <row r="4" spans="1:2" x14ac:dyDescent="0.25">
      <c r="A4">
        <v>4</v>
      </c>
      <c r="B4">
        <v>2019</v>
      </c>
    </row>
    <row r="5" spans="1:2" x14ac:dyDescent="0.25">
      <c r="A5">
        <v>5</v>
      </c>
      <c r="B5">
        <v>2020</v>
      </c>
    </row>
    <row r="6" spans="1:2" x14ac:dyDescent="0.25">
      <c r="A6">
        <v>6</v>
      </c>
      <c r="B6">
        <v>2021</v>
      </c>
    </row>
    <row r="7" spans="1:2" x14ac:dyDescent="0.25">
      <c r="A7">
        <v>7</v>
      </c>
      <c r="B7">
        <v>2022</v>
      </c>
    </row>
    <row r="8" spans="1:2" x14ac:dyDescent="0.25">
      <c r="A8">
        <v>8</v>
      </c>
      <c r="B8">
        <v>2023</v>
      </c>
    </row>
    <row r="9" spans="1:2" x14ac:dyDescent="0.25">
      <c r="A9">
        <v>9</v>
      </c>
      <c r="B9">
        <v>2024</v>
      </c>
    </row>
    <row r="10" spans="1:2" x14ac:dyDescent="0.25">
      <c r="A10">
        <v>10</v>
      </c>
      <c r="B10">
        <v>2025</v>
      </c>
    </row>
    <row r="11" spans="1:2" x14ac:dyDescent="0.25">
      <c r="A11">
        <v>11</v>
      </c>
      <c r="B11">
        <v>2026</v>
      </c>
    </row>
    <row r="12" spans="1:2" x14ac:dyDescent="0.25">
      <c r="A12">
        <v>12</v>
      </c>
      <c r="B12">
        <v>2027</v>
      </c>
    </row>
    <row r="13" spans="1:2" x14ac:dyDescent="0.25">
      <c r="B13">
        <v>2028</v>
      </c>
    </row>
    <row r="14" spans="1:2" x14ac:dyDescent="0.25">
      <c r="B14">
        <v>2029</v>
      </c>
    </row>
    <row r="15" spans="1:2" x14ac:dyDescent="0.25">
      <c r="B15">
        <v>2030</v>
      </c>
    </row>
    <row r="16" spans="1:2" x14ac:dyDescent="0.25">
      <c r="B16">
        <v>2031</v>
      </c>
    </row>
    <row r="17" spans="2:2" x14ac:dyDescent="0.25">
      <c r="B17">
        <v>2032</v>
      </c>
    </row>
    <row r="18" spans="2:2" x14ac:dyDescent="0.25">
      <c r="B18">
        <v>2033</v>
      </c>
    </row>
    <row r="19" spans="2:2" x14ac:dyDescent="0.25">
      <c r="B19">
        <v>2034</v>
      </c>
    </row>
    <row r="20" spans="2:2" x14ac:dyDescent="0.25">
      <c r="B20">
        <v>2035</v>
      </c>
    </row>
    <row r="21" spans="2:2" x14ac:dyDescent="0.25">
      <c r="B21">
        <v>2036</v>
      </c>
    </row>
    <row r="22" spans="2:2" x14ac:dyDescent="0.25">
      <c r="B22">
        <v>2037</v>
      </c>
    </row>
    <row r="23" spans="2:2" x14ac:dyDescent="0.25">
      <c r="B23">
        <v>2038</v>
      </c>
    </row>
    <row r="24" spans="2:2" x14ac:dyDescent="0.25">
      <c r="B24">
        <v>2039</v>
      </c>
    </row>
    <row r="25" spans="2:2" x14ac:dyDescent="0.25">
      <c r="B25">
        <v>2040</v>
      </c>
    </row>
    <row r="26" spans="2:2" x14ac:dyDescent="0.25">
      <c r="B26">
        <v>2041</v>
      </c>
    </row>
    <row r="27" spans="2:2" x14ac:dyDescent="0.25">
      <c r="B27">
        <v>2042</v>
      </c>
    </row>
    <row r="28" spans="2:2" x14ac:dyDescent="0.25">
      <c r="B28">
        <v>2043</v>
      </c>
    </row>
    <row r="29" spans="2:2" x14ac:dyDescent="0.25">
      <c r="B29">
        <v>2044</v>
      </c>
    </row>
    <row r="30" spans="2:2" x14ac:dyDescent="0.25">
      <c r="B30">
        <v>2045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3"/>
  <sheetViews>
    <sheetView zoomScale="85" zoomScaleNormal="85" workbookViewId="0">
      <selection activeCell="O39" sqref="O39"/>
    </sheetView>
  </sheetViews>
  <sheetFormatPr defaultRowHeight="15" x14ac:dyDescent="0.25"/>
  <cols>
    <col min="1" max="16384" width="9.140625" style="46"/>
  </cols>
  <sheetData>
    <row r="1" spans="14:21" ht="15.75" thickBot="1" x14ac:dyDescent="0.3">
      <c r="N1" s="121" t="s">
        <v>60</v>
      </c>
      <c r="O1" s="121"/>
      <c r="P1" s="121"/>
      <c r="Q1" s="121"/>
      <c r="R1" s="120">
        <f>SUM(Atlas!A7,AWS!K1,Easy!L22)</f>
        <v>202.58713399999999</v>
      </c>
      <c r="S1" s="120"/>
      <c r="T1" s="120"/>
      <c r="U1" s="120"/>
    </row>
    <row r="2" spans="14:21" ht="16.5" thickTop="1" thickBot="1" x14ac:dyDescent="0.3">
      <c r="N2" s="121"/>
      <c r="O2" s="121"/>
      <c r="P2" s="121"/>
      <c r="Q2" s="121"/>
      <c r="R2" s="120"/>
      <c r="S2" s="120"/>
      <c r="T2" s="120"/>
      <c r="U2" s="120"/>
    </row>
    <row r="3" spans="14:21" ht="15.75" thickTop="1" x14ac:dyDescent="0.25"/>
  </sheetData>
  <mergeCells count="2">
    <mergeCell ref="R1:U2"/>
    <mergeCell ref="N1:Q2"/>
  </mergeCells>
  <conditionalFormatting sqref="R1:U2">
    <cfRule type="colorScale" priority="1">
      <colorScale>
        <cfvo type="min"/>
        <cfvo type="num" val="700"/>
        <color theme="5" tint="0.59999389629810485"/>
        <color theme="9" tint="0.59999389629810485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F29" sqref="F29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6.42578125" bestFit="1" customWidth="1"/>
    <col min="4" max="4" width="12.85546875" bestFit="1" customWidth="1"/>
    <col min="5" max="5" width="6.140625" bestFit="1" customWidth="1"/>
    <col min="6" max="6" width="13.28515625" bestFit="1" customWidth="1"/>
    <col min="7" max="7" width="6.140625" bestFit="1" customWidth="1"/>
    <col min="9" max="9" width="8.85546875" bestFit="1" customWidth="1"/>
    <col min="10" max="10" width="11.28515625" bestFit="1" customWidth="1"/>
    <col min="11" max="11" width="5.7109375" customWidth="1"/>
    <col min="27" max="27" width="5.7109375" customWidth="1"/>
  </cols>
  <sheetData>
    <row r="1" spans="1:28" ht="20.25" thickBot="1" x14ac:dyDescent="0.35">
      <c r="A1" s="8"/>
      <c r="B1" s="122" t="s">
        <v>7</v>
      </c>
      <c r="C1" s="122"/>
      <c r="D1" s="122"/>
      <c r="E1" s="122"/>
      <c r="F1" s="122"/>
      <c r="G1" s="122"/>
      <c r="H1" s="6"/>
      <c r="J1" s="23" t="s">
        <v>44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5.75" thickTop="1" x14ac:dyDescent="0.25">
      <c r="A2" s="8" t="s">
        <v>5</v>
      </c>
      <c r="B2" s="4" t="s">
        <v>20</v>
      </c>
      <c r="C2" s="4" t="s">
        <v>84</v>
      </c>
      <c r="D2" s="5" t="s">
        <v>21</v>
      </c>
      <c r="E2" s="5" t="s">
        <v>82</v>
      </c>
      <c r="F2" s="5" t="s">
        <v>22</v>
      </c>
      <c r="G2" s="5" t="s">
        <v>83</v>
      </c>
      <c r="H2" s="6"/>
      <c r="I2" s="116" t="s">
        <v>22</v>
      </c>
      <c r="J2" s="38">
        <f>AVERAGE(Tabela25[USD/BRL])</f>
        <v>3.584084615384616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8">
        <v>43216</v>
      </c>
      <c r="B3" s="4">
        <v>9279.2999999999993</v>
      </c>
      <c r="C3" s="4" t="str">
        <f>IF(Tabela25[[#This Row],[BTC/USD]]&lt;B2,"▼",IF(Tabela25[[#This Row],[BTC/USD]]&gt;B2,"▲","-"))</f>
        <v>▼</v>
      </c>
      <c r="D3" s="5">
        <v>32640</v>
      </c>
      <c r="E3" s="5" t="str">
        <f>IF(Tabela25[[#This Row],[BTC/BRL]]&lt;D2,"▼",IF(Tabela25[[#This Row],[BTC/BRL]]&gt;D2,"▲","-"))</f>
        <v>▼</v>
      </c>
      <c r="F3" s="5">
        <v>3.4754999999999998</v>
      </c>
      <c r="G3" s="5" t="str">
        <f>IF(Tabela25[[#This Row],[USD/BRL]]&lt;F2,"▼",IF(Tabela25[[#This Row],[USD/BRL]]&gt;F2,"▲","-"))</f>
        <v>▼</v>
      </c>
      <c r="H3" s="6"/>
      <c r="I3" s="116" t="s">
        <v>21</v>
      </c>
      <c r="J3" s="117">
        <f>AVERAGE(Tabela25[BTC/BRL])</f>
        <v>32525.703846153847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5">
      <c r="A4" s="8">
        <v>43217</v>
      </c>
      <c r="B4" s="4">
        <v>9204.2999999999993</v>
      </c>
      <c r="C4" s="4" t="str">
        <f>IF(Tabela25[[#This Row],[BTC/USD]]&lt;B3,"▼",IF(Tabela25[[#This Row],[BTC/USD]]&gt;B3,"▲","-"))</f>
        <v>▼</v>
      </c>
      <c r="D4" s="5">
        <v>32786.9</v>
      </c>
      <c r="E4" s="5" t="str">
        <f>IF(Tabela25[[#This Row],[BTC/BRL]]&lt;D3,"▼",IF(Tabela25[[#This Row],[BTC/BRL]]&gt;D3,"▲","-"))</f>
        <v>▲</v>
      </c>
      <c r="F4" s="5">
        <v>3.46</v>
      </c>
      <c r="G4" s="5" t="str">
        <f>IF(Tabela25[[#This Row],[USD/BRL]]&lt;F3,"▼",IF(Tabela25[[#This Row],[USD/BRL]]&gt;F3,"▲","-"))</f>
        <v>▼</v>
      </c>
      <c r="H4" s="6"/>
      <c r="I4" s="115" t="s">
        <v>20</v>
      </c>
      <c r="J4" s="118">
        <f>AVERAGE(Tabela25[BTC/USD])</f>
        <v>8944.2961538461532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5">
      <c r="A5" s="8">
        <v>43218</v>
      </c>
      <c r="B5" s="4">
        <v>9308</v>
      </c>
      <c r="C5" s="4" t="str">
        <f>IF(Tabela25[[#This Row],[BTC/USD]]&lt;B4,"▼",IF(Tabela25[[#This Row],[BTC/USD]]&gt;B4,"▲","-"))</f>
        <v>▲</v>
      </c>
      <c r="D5" s="5">
        <v>33072.400000000001</v>
      </c>
      <c r="E5" s="5" t="str">
        <f>IF(Tabela25[[#This Row],[BTC/BRL]]&lt;D4,"▼",IF(Tabela25[[#This Row],[BTC/BRL]]&gt;D4,"▲","-"))</f>
        <v>▲</v>
      </c>
      <c r="F5" s="5">
        <v>3.4573999999999998</v>
      </c>
      <c r="G5" s="5" t="str">
        <f>IF(Tabela25[[#This Row],[USD/BRL]]&lt;F4,"▼",IF(Tabela25[[#This Row],[USD/BRL]]&gt;F4,"▲","-"))</f>
        <v>▼</v>
      </c>
      <c r="H5" s="6"/>
      <c r="I5" s="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9.5" x14ac:dyDescent="0.3">
      <c r="A6" s="8">
        <v>43219</v>
      </c>
      <c r="B6" s="4">
        <v>9269.7000000000007</v>
      </c>
      <c r="C6" s="4" t="str">
        <f>IF(Tabela25[[#This Row],[BTC/USD]]&lt;B5,"▼",IF(Tabela25[[#This Row],[BTC/USD]]&gt;B5,"▲","-"))</f>
        <v>▼</v>
      </c>
      <c r="D6" s="5">
        <v>32300</v>
      </c>
      <c r="E6" s="5" t="str">
        <f>IF(Tabela25[[#This Row],[BTC/BRL]]&lt;D5,"▼",IF(Tabela25[[#This Row],[BTC/BRL]]&gt;D5,"▲","-"))</f>
        <v>▼</v>
      </c>
      <c r="F6" s="5">
        <v>3.4573999999999998</v>
      </c>
      <c r="G6" s="5" t="str">
        <f>IF(Tabela25[[#This Row],[USD/BRL]]&lt;F5,"▼",IF(Tabela25[[#This Row],[USD/BRL]]&gt;F5,"▲","-"))</f>
        <v>-</v>
      </c>
      <c r="H6" s="6"/>
      <c r="J6" s="23" t="s">
        <v>53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A7" s="8">
        <v>43220</v>
      </c>
      <c r="B7" s="4">
        <v>9290.9</v>
      </c>
      <c r="C7" s="4" t="str">
        <f>IF(Tabela25[[#This Row],[BTC/USD]]&lt;B6,"▼",IF(Tabela25[[#This Row],[BTC/USD]]&gt;B6,"▲","-"))</f>
        <v>▲</v>
      </c>
      <c r="D7" s="5">
        <v>32371</v>
      </c>
      <c r="E7" s="5" t="str">
        <f>IF(Tabela25[[#This Row],[BTC/BRL]]&lt;D6,"▼",IF(Tabela25[[#This Row],[BTC/BRL]]&gt;D6,"▲","-"))</f>
        <v>▲</v>
      </c>
      <c r="F7" s="5">
        <v>3.4864000000000002</v>
      </c>
      <c r="G7" s="5" t="str">
        <f>IF(Tabela25[[#This Row],[USD/BRL]]&lt;F6,"▼",IF(Tabela25[[#This Row],[USD/BRL]]&gt;F6,"▲","-"))</f>
        <v>▲</v>
      </c>
      <c r="H7" s="6"/>
      <c r="I7" s="116" t="s">
        <v>22</v>
      </c>
      <c r="J7" s="38">
        <f>LARGE(Tabela25[USD/BRL],1)</f>
        <v>3.7494999999999998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8">
        <v>43221</v>
      </c>
      <c r="B8" s="4">
        <v>9069.9</v>
      </c>
      <c r="C8" s="4" t="str">
        <f>IF(Tabela25[[#This Row],[BTC/USD]]&lt;B7,"▼",IF(Tabela25[[#This Row],[BTC/USD]]&gt;B7,"▲","-"))</f>
        <v>▼</v>
      </c>
      <c r="D8" s="5">
        <v>32150</v>
      </c>
      <c r="E8" s="5" t="str">
        <f>IF(Tabela25[[#This Row],[BTC/BRL]]&lt;D7,"▼",IF(Tabela25[[#This Row],[BTC/BRL]]&gt;D7,"▲","-"))</f>
        <v>▼</v>
      </c>
      <c r="F8" s="5">
        <v>3.5076000000000001</v>
      </c>
      <c r="G8" s="5" t="str">
        <f>IF(Tabela25[[#This Row],[USD/BRL]]&lt;F7,"▼",IF(Tabela25[[#This Row],[USD/BRL]]&gt;F7,"▲","-"))</f>
        <v>▲</v>
      </c>
      <c r="H8" s="6"/>
      <c r="I8" s="116" t="s">
        <v>21</v>
      </c>
      <c r="J8" s="117">
        <f>LARGE(Tabela25[BTC/BRL],1)</f>
        <v>35100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8">
        <v>43222</v>
      </c>
      <c r="B9" s="4">
        <v>9147.7000000000007</v>
      </c>
      <c r="C9" s="4" t="str">
        <f>IF(Tabela25[[#This Row],[BTC/USD]]&lt;B8,"▼",IF(Tabela25[[#This Row],[BTC/USD]]&gt;B8,"▲","-"))</f>
        <v>▲</v>
      </c>
      <c r="D9" s="5">
        <v>32300</v>
      </c>
      <c r="E9" s="5" t="str">
        <f>IF(Tabela25[[#This Row],[BTC/BRL]]&lt;D8,"▼",IF(Tabela25[[#This Row],[BTC/BRL]]&gt;D8,"▲","-"))</f>
        <v>▲</v>
      </c>
      <c r="F9" s="5">
        <v>3.5468000000000002</v>
      </c>
      <c r="G9" s="5" t="str">
        <f>IF(Tabela25[[#This Row],[USD/BRL]]&lt;F8,"▼",IF(Tabela25[[#This Row],[USD/BRL]]&gt;F8,"▲","-"))</f>
        <v>▲</v>
      </c>
      <c r="I9" s="115" t="s">
        <v>20</v>
      </c>
      <c r="J9" s="118">
        <f>LARGE(Tabela25[BTC/USD],1)</f>
        <v>9974.7999999999993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8">
        <v>43223</v>
      </c>
      <c r="B10" s="4">
        <v>9425</v>
      </c>
      <c r="C10" s="4" t="str">
        <f>IF(Tabela25[[#This Row],[BTC/USD]]&lt;B9,"▼",IF(Tabela25[[#This Row],[BTC/USD]]&gt;B9,"▲","-"))</f>
        <v>▲</v>
      </c>
      <c r="D10" s="5">
        <v>33270</v>
      </c>
      <c r="E10" s="5" t="str">
        <f>IF(Tabela25[[#This Row],[BTC/BRL]]&lt;D9,"▼",IF(Tabela25[[#This Row],[BTC/BRL]]&gt;D9,"▲","-"))</f>
        <v>▲</v>
      </c>
      <c r="F10" s="5">
        <v>3.5583</v>
      </c>
      <c r="G10" s="5" t="str">
        <f>IF(Tabela25[[#This Row],[USD/BRL]]&lt;F9,"▼",IF(Tabela25[[#This Row],[USD/BRL]]&gt;F9,"▲","-"))</f>
        <v>▲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9.5" x14ac:dyDescent="0.3">
      <c r="A11" s="8">
        <v>43224</v>
      </c>
      <c r="B11" s="4">
        <v>9759.4</v>
      </c>
      <c r="C11" s="4" t="str">
        <f>IF(Tabela25[[#This Row],[BTC/USD]]&lt;B10,"▼",IF(Tabela25[[#This Row],[BTC/USD]]&gt;B10,"▲","-"))</f>
        <v>▲</v>
      </c>
      <c r="D11" s="5">
        <v>34156</v>
      </c>
      <c r="E11" s="5" t="str">
        <f>IF(Tabela25[[#This Row],[BTC/BRL]]&lt;D10,"▼",IF(Tabela25[[#This Row],[BTC/BRL]]&gt;D10,"▲","-"))</f>
        <v>▲</v>
      </c>
      <c r="F11" s="5">
        <v>3.5434000000000001</v>
      </c>
      <c r="G11" s="5" t="str">
        <f>IF(Tabela25[[#This Row],[USD/BRL]]&lt;F10,"▼",IF(Tabela25[[#This Row],[USD/BRL]]&gt;F10,"▲","-"))</f>
        <v>▼</v>
      </c>
      <c r="J11" s="23" t="s">
        <v>54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8">
        <v>43225</v>
      </c>
      <c r="B12" s="4">
        <v>9974.7999999999993</v>
      </c>
      <c r="C12" s="4" t="str">
        <f>IF(Tabela25[[#This Row],[BTC/USD]]&lt;B11,"▼",IF(Tabela25[[#This Row],[BTC/USD]]&gt;B11,"▲","-"))</f>
        <v>▲</v>
      </c>
      <c r="D12" s="5">
        <v>35100</v>
      </c>
      <c r="E12" s="5" t="str">
        <f>IF(Tabela25[[#This Row],[BTC/BRL]]&lt;D11,"▼",IF(Tabela25[[#This Row],[BTC/BRL]]&gt;D11,"▲","-"))</f>
        <v>▲</v>
      </c>
      <c r="F12" s="5">
        <v>3.5282</v>
      </c>
      <c r="G12" s="5" t="str">
        <f>IF(Tabela25[[#This Row],[USD/BRL]]&lt;F11,"▼",IF(Tabela25[[#This Row],[USD/BRL]]&gt;F11,"▲","-"))</f>
        <v>▼</v>
      </c>
      <c r="I12" s="116" t="s">
        <v>22</v>
      </c>
      <c r="J12" s="38">
        <f>SMALL(Tabela25[USD/BRL],1)</f>
        <v>3.4573999999999998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8">
        <v>43226</v>
      </c>
      <c r="B13" s="4">
        <v>9595.5</v>
      </c>
      <c r="C13" s="4" t="str">
        <f>IF(Tabela25[[#This Row],[BTC/USD]]&lt;B12,"▼",IF(Tabela25[[#This Row],[BTC/USD]]&gt;B12,"▲","-"))</f>
        <v>▼</v>
      </c>
      <c r="D13" s="5">
        <v>33900</v>
      </c>
      <c r="E13" s="5" t="str">
        <f>IF(Tabela25[[#This Row],[BTC/BRL]]&lt;D12,"▼",IF(Tabela25[[#This Row],[BTC/BRL]]&gt;D12,"▲","-"))</f>
        <v>▼</v>
      </c>
      <c r="F13" s="5">
        <v>3.5282</v>
      </c>
      <c r="G13" s="5" t="str">
        <f>IF(Tabela25[[#This Row],[USD/BRL]]&lt;F12,"▼",IF(Tabela25[[#This Row],[USD/BRL]]&gt;F12,"▲","-"))</f>
        <v>-</v>
      </c>
      <c r="I13" s="116" t="s">
        <v>21</v>
      </c>
      <c r="J13" s="117">
        <f>SMALL(Tabela25[BTC/BRL],1)</f>
        <v>30383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8">
        <v>43227</v>
      </c>
      <c r="B14" s="4">
        <v>9301.1</v>
      </c>
      <c r="C14" s="4" t="str">
        <f>IF(Tabela25[[#This Row],[BTC/USD]]&lt;B13,"▼",IF(Tabela25[[#This Row],[BTC/USD]]&gt;B13,"▲","-"))</f>
        <v>▼</v>
      </c>
      <c r="D14" s="5">
        <v>33420</v>
      </c>
      <c r="E14" s="5" t="str">
        <f>IF(Tabela25[[#This Row],[BTC/BRL]]&lt;D13,"▼",IF(Tabela25[[#This Row],[BTC/BRL]]&gt;D13,"▲","-"))</f>
        <v>▼</v>
      </c>
      <c r="F14" s="5">
        <v>3.5470999999999999</v>
      </c>
      <c r="G14" s="5" t="str">
        <f>IF(Tabela25[[#This Row],[USD/BRL]]&lt;F13,"▼",IF(Tabela25[[#This Row],[USD/BRL]]&gt;F13,"▲","-"))</f>
        <v>▲</v>
      </c>
      <c r="I14" s="115" t="s">
        <v>20</v>
      </c>
      <c r="J14" s="118">
        <f>SMALL(Tabela25[BTC/USD],1)</f>
        <v>8001.4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8">
        <v>43228</v>
      </c>
      <c r="B15" s="4">
        <v>9127.4</v>
      </c>
      <c r="C15" s="4" t="str">
        <f>IF(Tabela25[[#This Row],[BTC/USD]]&lt;B14,"▼",IF(Tabela25[[#This Row],[BTC/USD]]&gt;B14,"▲","-"))</f>
        <v>▼</v>
      </c>
      <c r="D15" s="5">
        <v>33497</v>
      </c>
      <c r="E15" s="5" t="str">
        <f>IF(Tabela25[[#This Row],[BTC/BRL]]&lt;D14,"▼",IF(Tabela25[[#This Row],[BTC/BRL]]&gt;D14,"▲","-"))</f>
        <v>▲</v>
      </c>
      <c r="F15" s="5">
        <v>3.577</v>
      </c>
      <c r="G15" s="5" t="str">
        <f>IF(Tabela25[[#This Row],[USD/BRL]]&lt;F14,"▼",IF(Tabela25[[#This Row],[USD/BRL]]&gt;F14,"▲","-"))</f>
        <v>▲</v>
      </c>
      <c r="I15" s="1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8">
        <v>43229</v>
      </c>
      <c r="B16" s="4">
        <v>9274.9</v>
      </c>
      <c r="C16" s="4" t="str">
        <f>IF(Tabela25[[#This Row],[BTC/USD]]&lt;B15,"▼",IF(Tabela25[[#This Row],[BTC/USD]]&gt;B15,"▲","-"))</f>
        <v>▲</v>
      </c>
      <c r="D16" s="5">
        <v>33650</v>
      </c>
      <c r="E16" s="5" t="str">
        <f>IF(Tabela25[[#This Row],[BTC/BRL]]&lt;D15,"▼",IF(Tabela25[[#This Row],[BTC/BRL]]&gt;D15,"▲","-"))</f>
        <v>▲</v>
      </c>
      <c r="F16" s="5">
        <v>3.5931999999999999</v>
      </c>
      <c r="G16" s="5" t="str">
        <f>IF(Tabela25[[#This Row],[USD/BRL]]&lt;F15,"▼",IF(Tabela25[[#This Row],[USD/BRL]]&gt;F15,"▲","-"))</f>
        <v>▲</v>
      </c>
      <c r="H16" s="13"/>
      <c r="I16" s="13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8">
        <v>43230</v>
      </c>
      <c r="B17" s="4">
        <v>9380</v>
      </c>
      <c r="C17" s="4" t="str">
        <f>IF(Tabela25[[#This Row],[BTC/USD]]&lt;B16,"▼",IF(Tabela25[[#This Row],[BTC/USD]]&gt;B16,"▲","-"))</f>
        <v>▲</v>
      </c>
      <c r="D17" s="5">
        <v>33999</v>
      </c>
      <c r="E17" s="5" t="str">
        <f>IF(Tabela25[[#This Row],[BTC/BRL]]&lt;D16,"▼",IF(Tabela25[[#This Row],[BTC/BRL]]&gt;D16,"▲","-"))</f>
        <v>▲</v>
      </c>
      <c r="F17" s="5">
        <v>3.5512999999999999</v>
      </c>
      <c r="G17" s="5" t="str">
        <f>IF(Tabela25[[#This Row],[USD/BRL]]&lt;F16,"▼",IF(Tabela25[[#This Row],[USD/BRL]]&gt;F16,"▲","-"))</f>
        <v>▼</v>
      </c>
      <c r="I17" s="1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8">
        <v>43231</v>
      </c>
      <c r="B18" s="4">
        <v>8409.7000000000007</v>
      </c>
      <c r="C18" s="4" t="str">
        <f>IF(Tabela25[[#This Row],[BTC/USD]]&lt;B17,"▼",IF(Tabela25[[#This Row],[BTC/USD]]&gt;B17,"▲","-"))</f>
        <v>▼</v>
      </c>
      <c r="D18" s="5">
        <v>31109</v>
      </c>
      <c r="E18" s="5" t="str">
        <f>IF(Tabela25[[#This Row],[BTC/BRL]]&lt;D17,"▼",IF(Tabela25[[#This Row],[BTC/BRL]]&gt;D17,"▲","-"))</f>
        <v>▼</v>
      </c>
      <c r="F18" s="5">
        <v>3.5992999999999999</v>
      </c>
      <c r="G18" s="5" t="str">
        <f>IF(Tabela25[[#This Row],[USD/BRL]]&lt;F17,"▼",IF(Tabela25[[#This Row],[USD/BRL]]&gt;F17,"▲","-"))</f>
        <v>▲</v>
      </c>
      <c r="I18" s="13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8">
        <v>43232</v>
      </c>
      <c r="B19" s="4">
        <v>8375.7999999999993</v>
      </c>
      <c r="C19" s="4" t="str">
        <f>IF(Tabela25[[#This Row],[BTC/USD]]&lt;B18,"▼",IF(Tabela25[[#This Row],[BTC/USD]]&gt;B18,"▲","-"))</f>
        <v>▼</v>
      </c>
      <c r="D19" s="5">
        <v>31749</v>
      </c>
      <c r="E19" s="5" t="str">
        <f>IF(Tabela25[[#This Row],[BTC/BRL]]&lt;D18,"▼",IF(Tabela25[[#This Row],[BTC/BRL]]&gt;D18,"▲","-"))</f>
        <v>▲</v>
      </c>
      <c r="F19" s="5">
        <v>3.5992999999999999</v>
      </c>
      <c r="G19" s="5" t="str">
        <f>IF(Tabela25[[#This Row],[USD/BRL]]&lt;F18,"▼",IF(Tabela25[[#This Row],[USD/BRL]]&gt;F18,"▲","-"))</f>
        <v>-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8">
        <v>43233</v>
      </c>
      <c r="B20" s="4">
        <v>8606.1</v>
      </c>
      <c r="C20" s="4" t="str">
        <f>IF(Tabela25[[#This Row],[BTC/USD]]&lt;B19,"▼",IF(Tabela25[[#This Row],[BTC/USD]]&gt;B19,"▲","-"))</f>
        <v>▲</v>
      </c>
      <c r="D20" s="5">
        <v>32399</v>
      </c>
      <c r="E20" s="5" t="str">
        <f>IF(Tabela25[[#This Row],[BTC/BRL]]&lt;D19,"▼",IF(Tabela25[[#This Row],[BTC/BRL]]&gt;D19,"▲","-"))</f>
        <v>▲</v>
      </c>
      <c r="F20" s="5">
        <v>3.5992999999999999</v>
      </c>
      <c r="G20" s="5" t="str">
        <f>IF(Tabela25[[#This Row],[USD/BRL]]&lt;F19,"▼",IF(Tabela25[[#This Row],[USD/BRL]]&gt;F19,"▲","-"))</f>
        <v>-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8">
        <v>43234</v>
      </c>
      <c r="B21" s="4">
        <v>8747.9</v>
      </c>
      <c r="C21" s="4" t="str">
        <f>IF(Tabela25[[#This Row],[BTC/USD]]&lt;B20,"▼",IF(Tabela25[[#This Row],[BTC/USD]]&gt;B20,"▲","-"))</f>
        <v>▲</v>
      </c>
      <c r="D21" s="5">
        <v>32350</v>
      </c>
      <c r="E21" s="5" t="str">
        <f>IF(Tabela25[[#This Row],[BTC/BRL]]&lt;D20,"▼",IF(Tabela25[[#This Row],[BTC/BRL]]&gt;D20,"▲","-"))</f>
        <v>▼</v>
      </c>
      <c r="F21" s="5">
        <v>3.6261999999999999</v>
      </c>
      <c r="G21" s="5" t="str">
        <f>IF(Tabela25[[#This Row],[USD/BRL]]&lt;F20,"▼",IF(Tabela25[[#This Row],[USD/BRL]]&gt;F20,"▲","-"))</f>
        <v>▲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8">
        <v>43235</v>
      </c>
      <c r="B22" s="4">
        <v>8475.2999999999993</v>
      </c>
      <c r="C22" s="4" t="str">
        <f>IF(Tabela25[[#This Row],[BTC/USD]]&lt;B21,"▼",IF(Tabela25[[#This Row],[BTC/USD]]&gt;B21,"▲","-"))</f>
        <v>▼</v>
      </c>
      <c r="D22" s="5">
        <v>32050</v>
      </c>
      <c r="E22" s="5" t="str">
        <f>IF(Tabela25[[#This Row],[BTC/BRL]]&lt;D21,"▼",IF(Tabela25[[#This Row],[BTC/BRL]]&gt;D21,"▲","-"))</f>
        <v>▼</v>
      </c>
      <c r="F22" s="5">
        <v>3.6545999999999998</v>
      </c>
      <c r="G22" s="5" t="str">
        <f>IF(Tabela25[[#This Row],[USD/BRL]]&lt;F21,"▼",IF(Tabela25[[#This Row],[USD/BRL]]&gt;F21,"▲","-"))</f>
        <v>▲</v>
      </c>
      <c r="I22" s="13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8">
        <v>43236</v>
      </c>
      <c r="B23" s="4">
        <v>8276</v>
      </c>
      <c r="C23" s="4" t="str">
        <f>IF(Tabela25[[#This Row],[BTC/USD]]&lt;B22,"▼",IF(Tabela25[[#This Row],[BTC/USD]]&gt;B22,"▲","-"))</f>
        <v>▼</v>
      </c>
      <c r="D23" s="5">
        <v>31180</v>
      </c>
      <c r="E23" s="5" t="str">
        <f>IF(Tabela25[[#This Row],[BTC/BRL]]&lt;D22,"▼",IF(Tabela25[[#This Row],[BTC/BRL]]&gt;D22,"▲","-"))</f>
        <v>▼</v>
      </c>
      <c r="F23" s="5">
        <v>3.677</v>
      </c>
      <c r="G23" s="5" t="str">
        <f>IF(Tabela25[[#This Row],[USD/BRL]]&lt;F22,"▼",IF(Tabela25[[#This Row],[USD/BRL]]&gt;F22,"▲","-"))</f>
        <v>▲</v>
      </c>
      <c r="I23" s="114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8">
        <v>43237</v>
      </c>
      <c r="B24" s="4">
        <v>8001.4</v>
      </c>
      <c r="C24" s="4" t="str">
        <f>IF(Tabela25[[#This Row],[BTC/USD]]&lt;B23,"▼",IF(Tabela25[[#This Row],[BTC/USD]]&gt;B23,"▲","-"))</f>
        <v>▼</v>
      </c>
      <c r="D24" s="5">
        <v>30383</v>
      </c>
      <c r="E24" s="5" t="str">
        <f>IF(Tabela25[[#This Row],[BTC/BRL]]&lt;D23,"▼",IF(Tabela25[[#This Row],[BTC/BRL]]&gt;D23,"▲","-"))</f>
        <v>▼</v>
      </c>
      <c r="F24" s="5">
        <v>3.6962999999999999</v>
      </c>
      <c r="G24" s="5" t="str">
        <f>IF(Tabela25[[#This Row],[USD/BRL]]&lt;F23,"▼",IF(Tabela25[[#This Row],[USD/BRL]]&gt;F23,"▲","-"))</f>
        <v>▲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8">
        <v>43238</v>
      </c>
      <c r="B25" s="4">
        <v>8069.5</v>
      </c>
      <c r="C25" s="4" t="str">
        <f>IF(Tabela25[[#This Row],[BTC/USD]]&lt;B24,"▼",IF(Tabela25[[#This Row],[BTC/USD]]&gt;B24,"▲","-"))</f>
        <v>▲</v>
      </c>
      <c r="D25" s="5">
        <v>30550</v>
      </c>
      <c r="E25" s="5" t="str">
        <f>IF(Tabela25[[#This Row],[BTC/BRL]]&lt;D24,"▼",IF(Tabela25[[#This Row],[BTC/BRL]]&gt;D24,"▲","-"))</f>
        <v>▲</v>
      </c>
      <c r="F25" s="5">
        <v>3.7494999999999998</v>
      </c>
      <c r="G25" s="5" t="str">
        <f>IF(Tabela25[[#This Row],[USD/BRL]]&lt;F24,"▼",IF(Tabela25[[#This Row],[USD/BRL]]&gt;F24,"▲","-"))</f>
        <v>▲</v>
      </c>
      <c r="I25" s="13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8">
        <v>43239</v>
      </c>
      <c r="B26" s="4">
        <v>8311.2999999999993</v>
      </c>
      <c r="C26" s="4" t="str">
        <f>IF(Tabela25[[#This Row],[BTC/USD]]&lt;B25,"▼",IF(Tabela25[[#This Row],[BTC/USD]]&gt;B25,"▲","-"))</f>
        <v>▲</v>
      </c>
      <c r="D26" s="5">
        <v>31750</v>
      </c>
      <c r="E26" s="5" t="str">
        <f>IF(Tabela25[[#This Row],[BTC/BRL]]&lt;D25,"▼",IF(Tabela25[[#This Row],[BTC/BRL]]&gt;D25,"▲","-"))</f>
        <v>▲</v>
      </c>
      <c r="F26" s="5">
        <v>3.7364000000000002</v>
      </c>
      <c r="G26" s="5" t="str">
        <f>IF(Tabela25[[#This Row],[USD/BRL]]&lt;F25,"▼",IF(Tabela25[[#This Row],[USD/BRL]]&gt;F25,"▲","-"))</f>
        <v>▼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8">
        <v>43240</v>
      </c>
      <c r="B27" s="4">
        <v>8492.2000000000007</v>
      </c>
      <c r="C27" s="4" t="str">
        <f>IF(Tabela25[[#This Row],[BTC/USD]]&lt;B26,"▼",IF(Tabela25[[#This Row],[BTC/USD]]&gt;B26,"▲","-"))</f>
        <v>▲</v>
      </c>
      <c r="D27" s="5">
        <v>31900</v>
      </c>
      <c r="E27" s="5" t="str">
        <f>IF(Tabela25[[#This Row],[BTC/BRL]]&lt;D26,"▼",IF(Tabela25[[#This Row],[BTC/BRL]]&gt;D26,"▲","-"))</f>
        <v>▲</v>
      </c>
      <c r="F27" s="5">
        <v>3.7364000000000002</v>
      </c>
      <c r="G27" s="5" t="str">
        <f>IF(Tabela25[[#This Row],[USD/BRL]]&lt;F26,"▼",IF(Tabela25[[#This Row],[USD/BRL]]&gt;F26,"▲","-"))</f>
        <v>-</v>
      </c>
      <c r="H27" s="102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8">
        <v>43241</v>
      </c>
      <c r="B28" s="4">
        <v>8378.6</v>
      </c>
      <c r="C28" s="4" t="str">
        <f>IF(Tabela25[[#This Row],[BTC/USD]]&lt;B27,"▼",IF(Tabela25[[#This Row],[BTC/USD]]&gt;B27,"▲","-"))</f>
        <v>▼</v>
      </c>
      <c r="D28" s="5">
        <v>31636</v>
      </c>
      <c r="E28" s="5" t="str">
        <f>IF(Tabela25[[#This Row],[BTC/BRL]]&lt;D27,"▼",IF(Tabela25[[#This Row],[BTC/BRL]]&gt;D27,"▲","-"))</f>
        <v>▼</v>
      </c>
      <c r="F28" s="5">
        <v>3.6941000000000002</v>
      </c>
      <c r="G28" s="5" t="str">
        <f>IF(Tabela25[[#This Row],[USD/BRL]]&lt;F27,"▼",IF(Tabela25[[#This Row],[USD/BRL]]&gt;F27,"▲","-"))</f>
        <v>▼</v>
      </c>
      <c r="H28" s="100"/>
      <c r="I28" s="100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2:28" x14ac:dyDescent="0.25"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mergeCells count="1">
    <mergeCell ref="B1:G1"/>
  </mergeCells>
  <conditionalFormatting sqref="C1:C1048576 E1:E1048576 G1:G1048576">
    <cfRule type="containsText" dxfId="2" priority="2" operator="containsText" text="▲">
      <formula>NOT(ISERROR(SEARCH("▲",C1)))</formula>
    </cfRule>
    <cfRule type="containsText" dxfId="1" priority="3" operator="containsText" text="▼">
      <formula>NOT(ISERROR(SEARCH("▼",C1)))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A2527C-D6D6-4581-935B-F01111084DAA}">
            <xm:f>NOT(ISERROR(SEARCH("-",C1)))</xm:f>
            <xm:f>"-"</xm:f>
            <x14:dxf>
              <font>
                <color rgb="FFFFFF00"/>
              </font>
              <fill>
                <patternFill>
                  <bgColor theme="7" tint="0.39994506668294322"/>
                </patternFill>
              </fill>
            </x14:dxf>
          </x14:cfRule>
          <xm:sqref>C1:C1048576 E1:E1048576 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46"/>
  <sheetViews>
    <sheetView topLeftCell="A19" workbookViewId="0">
      <selection activeCell="T43" sqref="T43"/>
    </sheetView>
  </sheetViews>
  <sheetFormatPr defaultRowHeight="15" x14ac:dyDescent="0.25"/>
  <cols>
    <col min="1" max="1" width="9.140625" style="6" customWidth="1"/>
    <col min="2" max="7" width="9.140625" style="5" customWidth="1"/>
    <col min="8" max="8" width="10.7109375" style="3" bestFit="1" customWidth="1"/>
    <col min="9" max="9" width="10" bestFit="1" customWidth="1"/>
    <col min="10" max="10" width="9.85546875" bestFit="1" customWidth="1"/>
    <col min="11" max="11" width="9.42578125" bestFit="1" customWidth="1"/>
    <col min="12" max="12" width="10" bestFit="1" customWidth="1"/>
    <col min="13" max="13" width="13.140625" bestFit="1" customWidth="1"/>
    <col min="14" max="14" width="15.140625" bestFit="1" customWidth="1"/>
    <col min="16" max="16" width="9.140625" customWidth="1"/>
    <col min="17" max="18" width="9.7109375" customWidth="1"/>
  </cols>
  <sheetData>
    <row r="18" spans="8:18" ht="15.75" thickBot="1" x14ac:dyDescent="0.3"/>
    <row r="19" spans="8:18" x14ac:dyDescent="0.25">
      <c r="H19" s="6" t="s">
        <v>5</v>
      </c>
      <c r="I19" s="5" t="s">
        <v>66</v>
      </c>
      <c r="J19" s="5" t="s">
        <v>67</v>
      </c>
      <c r="K19" s="5" t="s">
        <v>68</v>
      </c>
      <c r="L19" s="5" t="s">
        <v>56</v>
      </c>
      <c r="M19" s="5" t="s">
        <v>1</v>
      </c>
      <c r="N19" s="3" t="s">
        <v>61</v>
      </c>
      <c r="Q19" s="123" t="s">
        <v>44</v>
      </c>
      <c r="R19" s="124"/>
    </row>
    <row r="20" spans="8:18" x14ac:dyDescent="0.25">
      <c r="H20" s="90">
        <v>43215</v>
      </c>
      <c r="I20" s="5">
        <f>IFERROR(VLOOKUP(Tabela6[[#This Row],[Data]]+1,Tabela1[[Data ]:[BRL]],9),0)</f>
        <v>0</v>
      </c>
      <c r="J20" s="5">
        <f>IFERROR(VLOOKUP(Tabela6[[#This Row],[Data]]+1,Tabela3[[Data]:[Saldo BRL]],5),0)</f>
        <v>3.0106310769230773</v>
      </c>
      <c r="K20" s="5">
        <f>VLOOKUP(Tabela6[[#This Row],[Data]]+1,Tabela16[#All],3)</f>
        <v>55.6</v>
      </c>
      <c r="L20" s="5">
        <f>SUM(Tabela6[[#This Row],[Atlas]:[Easy]])</f>
        <v>58.610631076923077</v>
      </c>
      <c r="M20" s="5">
        <f>IFERROR(Tabela6[[#This Row],[Total]]-L19,0)</f>
        <v>0</v>
      </c>
      <c r="N20" s="3">
        <f>Tabela6[[#This Row],[Variação]]/Tabela6[[#This Row],[Total]]</f>
        <v>0</v>
      </c>
      <c r="Q20" s="70" t="s">
        <v>26</v>
      </c>
      <c r="R20" s="98" t="s">
        <v>27</v>
      </c>
    </row>
    <row r="21" spans="8:18" ht="15.75" thickBot="1" x14ac:dyDescent="0.3">
      <c r="H21" s="90">
        <v>43216</v>
      </c>
      <c r="I21" s="5">
        <f>IFERROR(VLOOKUP(Tabela6[[#This Row],[Data]]+1,Tabela1[[Data ]:[BRL]],9),0)</f>
        <v>65.28</v>
      </c>
      <c r="J21" s="5">
        <f>IFERROR(VLOOKUP(Tabela6[[#This Row],[Data]]+1,Tabela3[[Data]:[Saldo BRL]],5),0)</f>
        <v>5.8735949999999999</v>
      </c>
      <c r="K21" s="5">
        <f>VLOOKUP(Tabela6[[#This Row],[Data]]+1,Tabela16[#All],3)</f>
        <v>55.6</v>
      </c>
      <c r="L21" s="5">
        <f>SUM(Tabela6[[#This Row],[Atlas]:[Easy]])</f>
        <v>126.75359499999999</v>
      </c>
      <c r="M21" s="5">
        <f>IFERROR(Tabela6[[#This Row],[Total]]-L20,0)</f>
        <v>68.142963923076906</v>
      </c>
      <c r="N21" s="3">
        <f>Tabela6[[#This Row],[Variação]]/Tabela6[[#This Row],[Total]]</f>
        <v>0.53760182441434434</v>
      </c>
      <c r="Q21" s="99">
        <f>AVERAGE(Tabela6[Variação %])</f>
        <v>3.7040879379939592E-2</v>
      </c>
      <c r="R21" s="71">
        <f>AVERAGE(Tabela6[Variação])</f>
        <v>5.3324630712250709</v>
      </c>
    </row>
    <row r="22" spans="8:18" x14ac:dyDescent="0.25">
      <c r="H22" s="90">
        <v>43217</v>
      </c>
      <c r="I22" s="5">
        <f>IFERROR(VLOOKUP(Tabela6[[#This Row],[Data]]+1,Tabela1[[Data ]:[BRL]],9),0)</f>
        <v>65.621013136000002</v>
      </c>
      <c r="J22" s="5">
        <f>IFERROR(VLOOKUP(Tabela6[[#This Row],[Data]]+1,Tabela3[[Data]:[Saldo BRL]],5),0)</f>
        <v>8.7192000000000007</v>
      </c>
      <c r="K22" s="5">
        <f>VLOOKUP(Tabela6[[#This Row],[Data]]+1,Tabela16[#All],3)</f>
        <v>55.6</v>
      </c>
      <c r="L22" s="5">
        <f>SUM(Tabela6[[#This Row],[Atlas]:[Easy]])</f>
        <v>129.94021313600001</v>
      </c>
      <c r="M22" s="5">
        <f>IFERROR(Tabela6[[#This Row],[Total]]-L21,0)</f>
        <v>3.1866181360000212</v>
      </c>
      <c r="N22" s="3">
        <f>Tabela6[[#This Row],[Variação]]/Tabela6[[#This Row],[Total]]</f>
        <v>2.4523725635764458E-2</v>
      </c>
    </row>
    <row r="23" spans="8:18" x14ac:dyDescent="0.25">
      <c r="H23" s="90">
        <v>43218</v>
      </c>
      <c r="I23" s="5">
        <f>IFERROR(VLOOKUP(Tabela6[[#This Row],[Data]]+1,Tabela1[[Data ]:[BRL]],9),0)</f>
        <v>66.937214703999999</v>
      </c>
      <c r="J23" s="5">
        <f>IFERROR(VLOOKUP(Tabela6[[#This Row],[Data]]+1,Tabela3[[Data]:[Saldo BRL]],5),0)</f>
        <v>11.616864</v>
      </c>
      <c r="K23" s="5">
        <f>VLOOKUP(Tabela6[[#This Row],[Data]]+1,Tabela16[#All],3)</f>
        <v>55.6</v>
      </c>
      <c r="L23" s="5">
        <f>SUM(Tabela6[[#This Row],[Atlas]:[Easy]])</f>
        <v>134.154078704</v>
      </c>
      <c r="M23" s="5">
        <f>IFERROR(Tabela6[[#This Row],[Total]]-L22,0)</f>
        <v>4.2138655679999886</v>
      </c>
      <c r="N23" s="3">
        <f>Tabela6[[#This Row],[Variação]]/Tabela6[[#This Row],[Total]]</f>
        <v>3.1410640725262916E-2</v>
      </c>
    </row>
    <row r="24" spans="8:18" x14ac:dyDescent="0.25">
      <c r="H24" s="90">
        <v>43219</v>
      </c>
      <c r="I24" s="5">
        <f>IFERROR(VLOOKUP(Tabela6[[#This Row],[Data]]+1,Tabela1[[Data ]:[BRL]],9),0)</f>
        <v>65.429787000000005</v>
      </c>
      <c r="J24" s="5">
        <f>IFERROR(VLOOKUP(Tabela6[[#This Row],[Data]]+1,Tabela3[[Data]:[Saldo BRL]],5),0)</f>
        <v>14.382783999999999</v>
      </c>
      <c r="K24" s="5">
        <f>VLOOKUP(Tabela6[[#This Row],[Data]]+1,Tabela16[#All],3)</f>
        <v>55.6</v>
      </c>
      <c r="L24" s="5">
        <f>SUM(Tabela6[[#This Row],[Atlas]:[Easy]])</f>
        <v>135.41257100000001</v>
      </c>
      <c r="M24" s="5">
        <f>IFERROR(Tabela6[[#This Row],[Total]]-L23,0)</f>
        <v>1.2584922960000142</v>
      </c>
      <c r="N24" s="3">
        <f>Tabela6[[#This Row],[Variação]]/Tabela6[[#This Row],[Total]]</f>
        <v>9.2937626595983765E-3</v>
      </c>
    </row>
    <row r="25" spans="8:18" x14ac:dyDescent="0.25">
      <c r="H25" s="90">
        <v>43220</v>
      </c>
      <c r="I25" s="5">
        <f>IFERROR(VLOOKUP(Tabela6[[#This Row],[Data]]+1,Tabela1[[Data ]:[BRL]],9),0)</f>
        <v>65.585264550000005</v>
      </c>
      <c r="J25" s="5">
        <f>IFERROR(VLOOKUP(Tabela6[[#This Row],[Data]]+1,Tabela3[[Data]:[Saldo BRL]],5),0)</f>
        <v>17.397136000000003</v>
      </c>
      <c r="K25" s="5">
        <f>VLOOKUP(Tabela6[[#This Row],[Data]]+1,Tabela16[#All],3)</f>
        <v>55.64</v>
      </c>
      <c r="L25" s="5">
        <f>SUM(Tabela6[[#This Row],[Atlas]:[Easy]])</f>
        <v>138.62240055000001</v>
      </c>
      <c r="M25" s="5">
        <f>IFERROR(Tabela6[[#This Row],[Total]]-L24,0)</f>
        <v>3.2098295499999949</v>
      </c>
      <c r="N25" s="3">
        <f>Tabela6[[#This Row],[Variação]]/Tabela6[[#This Row],[Total]]</f>
        <v>2.3155201015598013E-2</v>
      </c>
    </row>
    <row r="26" spans="8:18" x14ac:dyDescent="0.25">
      <c r="H26" s="90">
        <v>43221</v>
      </c>
      <c r="I26" s="5">
        <f>IFERROR(VLOOKUP(Tabela6[[#This Row],[Data]]+1,Tabela1[[Data ]:[BRL]],9),0)</f>
        <v>65.1696575</v>
      </c>
      <c r="J26" s="5">
        <f>IFERROR(VLOOKUP(Tabela6[[#This Row],[Data]]+1,Tabela3[[Data]:[Saldo BRL]],5),0)</f>
        <v>20.519460000000002</v>
      </c>
      <c r="K26" s="5">
        <f>VLOOKUP(Tabela6[[#This Row],[Data]]+1,Tabela16[#All],3)</f>
        <v>55.64</v>
      </c>
      <c r="L26" s="5">
        <f>SUM(Tabela6[[#This Row],[Atlas]:[Easy]])</f>
        <v>141.3291175</v>
      </c>
      <c r="M26" s="5">
        <f>IFERROR(Tabela6[[#This Row],[Total]]-L25,0)</f>
        <v>2.7067169499999864</v>
      </c>
      <c r="N26" s="3">
        <f>Tabela6[[#This Row],[Variação]]/Tabela6[[#This Row],[Total]]</f>
        <v>1.9151870455852711E-2</v>
      </c>
    </row>
    <row r="27" spans="8:18" x14ac:dyDescent="0.25">
      <c r="H27" s="90">
        <v>43222</v>
      </c>
      <c r="I27" s="5">
        <f>IFERROR(VLOOKUP(Tabela6[[#This Row],[Data]]+1,Tabela1[[Data ]:[BRL]],9),0)</f>
        <v>65.515059000000008</v>
      </c>
      <c r="J27" s="5">
        <f>IFERROR(VLOOKUP(Tabela6[[#This Row],[Data]]+1,Tabela3[[Data]:[Saldo BRL]],5),0)</f>
        <v>23.728092000000004</v>
      </c>
      <c r="K27" s="5">
        <f>VLOOKUP(Tabela6[[#This Row],[Data]]+1,Tabela16[#All],3)</f>
        <v>55.64</v>
      </c>
      <c r="L27" s="5">
        <f>SUM(Tabela6[[#This Row],[Atlas]:[Easy]])</f>
        <v>144.883151</v>
      </c>
      <c r="M27" s="5">
        <f>IFERROR(Tabela6[[#This Row],[Total]]-L26,0)</f>
        <v>3.5540335000000027</v>
      </c>
      <c r="N27" s="3">
        <f>Tabela6[[#This Row],[Variação]]/Tabela6[[#This Row],[Total]]</f>
        <v>2.4530343766474286E-2</v>
      </c>
    </row>
    <row r="28" spans="8:18" x14ac:dyDescent="0.25">
      <c r="H28" s="90">
        <v>43223</v>
      </c>
      <c r="I28" s="5">
        <f>IFERROR(VLOOKUP(Tabela6[[#This Row],[Data]]+1,Tabela1[[Data ]:[BRL]],9),0)</f>
        <v>67.500837599999997</v>
      </c>
      <c r="J28" s="5">
        <f>IFERROR(VLOOKUP(Tabela6[[#This Row],[Data]]+1,Tabela3[[Data]:[Saldo BRL]],5),0)</f>
        <v>26.829582000000002</v>
      </c>
      <c r="K28" s="5">
        <f>VLOOKUP(Tabela6[[#This Row],[Data]]+1,Tabela16[#All],3)</f>
        <v>55.64</v>
      </c>
      <c r="L28" s="5">
        <f>SUM(Tabela6[[#This Row],[Atlas]:[Easy]])</f>
        <v>149.97041960000001</v>
      </c>
      <c r="M28" s="5">
        <f>IFERROR(Tabela6[[#This Row],[Total]]-L27,0)</f>
        <v>5.0872686000000158</v>
      </c>
      <c r="N28" s="3">
        <f>Tabela6[[#This Row],[Variação]]/Tabela6[[#This Row],[Total]]</f>
        <v>3.3921813472074965E-2</v>
      </c>
    </row>
    <row r="29" spans="8:18" x14ac:dyDescent="0.25">
      <c r="H29" s="90">
        <v>43224</v>
      </c>
      <c r="I29" s="5">
        <f>IFERROR(VLOOKUP(Tabela6[[#This Row],[Data]]+1,Tabela1[[Data ]:[BRL]],9),0)</f>
        <v>69.345219</v>
      </c>
      <c r="J29" s="5">
        <f>IFERROR(VLOOKUP(Tabela6[[#This Row],[Data]]+1,Tabela3[[Data]:[Saldo BRL]],5),0)</f>
        <v>29.729126000000004</v>
      </c>
      <c r="K29" s="5">
        <f>VLOOKUP(Tabela6[[#This Row],[Data]]+1,Tabela16[#All],3)</f>
        <v>55.64</v>
      </c>
      <c r="L29" s="5">
        <f>SUM(Tabela6[[#This Row],[Atlas]:[Easy]])</f>
        <v>154.71434500000001</v>
      </c>
      <c r="M29" s="5">
        <f>IFERROR(Tabela6[[#This Row],[Total]]-L28,0)</f>
        <v>4.7439253999999949</v>
      </c>
      <c r="N29" s="3">
        <f>Tabela6[[#This Row],[Variação]]/Tabela6[[#This Row],[Total]]</f>
        <v>3.0662479293694419E-2</v>
      </c>
    </row>
    <row r="30" spans="8:18" x14ac:dyDescent="0.25">
      <c r="H30" s="90">
        <v>43225</v>
      </c>
      <c r="I30" s="5">
        <f>IFERROR(VLOOKUP(Tabela6[[#This Row],[Data]]+1,Tabela1[[Data ]:[BRL]],9),0)</f>
        <v>71.309861999999995</v>
      </c>
      <c r="J30" s="5">
        <f>IFERROR(VLOOKUP(Tabela6[[#This Row],[Data]]+1,Tabela3[[Data]:[Saldo BRL]],5),0)</f>
        <v>32.600568000000003</v>
      </c>
      <c r="K30" s="5">
        <f>VLOOKUP(Tabela6[[#This Row],[Data]]+1,Tabela16[#All],3)</f>
        <v>55.64</v>
      </c>
      <c r="L30" s="5">
        <f>SUM(Tabela6[[#This Row],[Atlas]:[Easy]])</f>
        <v>159.55043000000001</v>
      </c>
      <c r="M30" s="5">
        <f>IFERROR(Tabela6[[#This Row],[Total]]-L29,0)</f>
        <v>4.8360849999999971</v>
      </c>
      <c r="N30" s="3">
        <f>Tabela6[[#This Row],[Variação]]/Tabela6[[#This Row],[Total]]</f>
        <v>3.0310698629893988E-2</v>
      </c>
    </row>
    <row r="31" spans="8:18" x14ac:dyDescent="0.25">
      <c r="H31" s="90">
        <v>43226</v>
      </c>
      <c r="I31" s="5">
        <f>IFERROR(VLOOKUP(Tabela6[[#This Row],[Data]]+1,Tabela1[[Data ]:[BRL]],9),0)</f>
        <v>68.918361000000004</v>
      </c>
      <c r="J31" s="5">
        <f>IFERROR(VLOOKUP(Tabela6[[#This Row],[Data]]+1,Tabela3[[Data]:[Saldo BRL]],5),0)</f>
        <v>35.528973999999998</v>
      </c>
      <c r="K31" s="5">
        <f>VLOOKUP(Tabela6[[#This Row],[Data]]+1,Tabela16[#All],3)</f>
        <v>55.64</v>
      </c>
      <c r="L31" s="5">
        <f>SUM(Tabela6[[#This Row],[Atlas]:[Easy]])</f>
        <v>160.087335</v>
      </c>
      <c r="M31" s="5">
        <f>IFERROR(Tabela6[[#This Row],[Total]]-L30,0)</f>
        <v>0.5369049999999902</v>
      </c>
      <c r="N31" s="3">
        <f>Tabela6[[#This Row],[Variação]]/Tabela6[[#This Row],[Total]]</f>
        <v>3.3538255852656315E-3</v>
      </c>
    </row>
    <row r="32" spans="8:18" x14ac:dyDescent="0.25">
      <c r="H32" s="90">
        <v>43227</v>
      </c>
      <c r="I32" s="5">
        <f>IFERROR(VLOOKUP(Tabela6[[#This Row],[Data]]+1,Tabela1[[Data ]:[BRL]],9),0)</f>
        <v>67.963914599999995</v>
      </c>
      <c r="J32" s="5">
        <f>IFERROR(VLOOKUP(Tabela6[[#This Row],[Data]]+1,Tabela3[[Data]:[Saldo BRL]],5),0)</f>
        <v>38.769802999999996</v>
      </c>
      <c r="K32" s="5">
        <f>VLOOKUP(Tabela6[[#This Row],[Data]]+1,Tabela16[#All],3)</f>
        <v>55.64</v>
      </c>
      <c r="L32" s="5">
        <f>SUM(Tabela6[[#This Row],[Atlas]:[Easy]])</f>
        <v>162.37371759999999</v>
      </c>
      <c r="M32" s="5">
        <f>IFERROR(Tabela6[[#This Row],[Total]]-L31,0)</f>
        <v>2.286382599999996</v>
      </c>
      <c r="N32" s="3">
        <f>Tabela6[[#This Row],[Variação]]/Tabela6[[#This Row],[Total]]</f>
        <v>1.4080989422391572E-2</v>
      </c>
    </row>
    <row r="33" spans="8:14" x14ac:dyDescent="0.25">
      <c r="H33" s="90">
        <v>43228</v>
      </c>
      <c r="I33" s="5">
        <f>IFERROR(VLOOKUP(Tabela6[[#This Row],[Data]]+1,Tabela1[[Data ]:[BRL]],9),0)</f>
        <v>68.141942189999995</v>
      </c>
      <c r="J33" s="5">
        <f>IFERROR(VLOOKUP(Tabela6[[#This Row],[Data]]+1,Tabela3[[Data]:[Saldo BRL]],5),0)</f>
        <v>42.101289999999999</v>
      </c>
      <c r="K33" s="5">
        <f>VLOOKUP(Tabela6[[#This Row],[Data]]+1,Tabela16[#All],3)</f>
        <v>55.64</v>
      </c>
      <c r="L33" s="5">
        <f>SUM(Tabela6[[#This Row],[Atlas]:[Easy]])</f>
        <v>165.88323219</v>
      </c>
      <c r="M33" s="5">
        <f>IFERROR(Tabela6[[#This Row],[Total]]-L32,0)</f>
        <v>3.5095145900000091</v>
      </c>
      <c r="N33" s="3">
        <f>Tabela6[[#This Row],[Variação]]/Tabela6[[#This Row],[Total]]</f>
        <v>2.1156536098719533E-2</v>
      </c>
    </row>
    <row r="34" spans="8:14" x14ac:dyDescent="0.25">
      <c r="H34" s="90">
        <v>43229</v>
      </c>
      <c r="I34" s="5">
        <f>IFERROR(VLOOKUP(Tabela6[[#This Row],[Data]]+1,Tabela1[[Data ]:[BRL]],9),0)</f>
        <v>68.47775</v>
      </c>
      <c r="J34" s="5">
        <f>IFERROR(VLOOKUP(Tabela6[[#This Row],[Data]]+1,Tabela3[[Data]:[Saldo BRL]],5),0)</f>
        <v>45.382115999999996</v>
      </c>
      <c r="K34" s="5">
        <f>VLOOKUP(Tabela6[[#This Row],[Data]]+1,Tabela16[#All],3)</f>
        <v>55.64</v>
      </c>
      <c r="L34" s="5">
        <f>SUM(Tabela6[[#This Row],[Atlas]:[Easy]])</f>
        <v>169.499866</v>
      </c>
      <c r="M34" s="5">
        <f>IFERROR(Tabela6[[#This Row],[Total]]-L33,0)</f>
        <v>3.6166338099999962</v>
      </c>
      <c r="N34" s="3">
        <f>Tabela6[[#This Row],[Variação]]/Tabela6[[#This Row],[Total]]</f>
        <v>2.1337089493628249E-2</v>
      </c>
    </row>
    <row r="35" spans="8:14" x14ac:dyDescent="0.25">
      <c r="H35" s="90">
        <v>43230</v>
      </c>
      <c r="I35" s="5">
        <f>IFERROR(VLOOKUP(Tabela6[[#This Row],[Data]]+1,Tabela1[[Data ]:[BRL]],9),0)</f>
        <v>69.206664450000005</v>
      </c>
      <c r="J35" s="5">
        <f>IFERROR(VLOOKUP(Tabela6[[#This Row],[Data]]+1,Tabela3[[Data]:[Saldo BRL]],5),0)</f>
        <v>47.764984999999996</v>
      </c>
      <c r="K35" s="5">
        <f>VLOOKUP(Tabela6[[#This Row],[Data]]+1,Tabela16[#All],3)</f>
        <v>55.64</v>
      </c>
      <c r="L35" s="5">
        <f>SUM(Tabela6[[#This Row],[Atlas]:[Easy]])</f>
        <v>172.61164945000002</v>
      </c>
      <c r="M35" s="5">
        <f>IFERROR(Tabela6[[#This Row],[Total]]-L34,0)</f>
        <v>3.1117834500000185</v>
      </c>
      <c r="N35" s="3">
        <f>Tabela6[[#This Row],[Variação]]/Tabela6[[#This Row],[Total]]</f>
        <v>1.8027656070231813E-2</v>
      </c>
    </row>
    <row r="36" spans="8:14" x14ac:dyDescent="0.25">
      <c r="H36" s="90">
        <v>43231</v>
      </c>
      <c r="I36" s="5">
        <f>IFERROR(VLOOKUP(Tabela6[[#This Row],[Data]]+1,Tabela1[[Data ]:[BRL]],9),0)</f>
        <v>63.460182370000005</v>
      </c>
      <c r="J36" s="5">
        <f>IFERROR(VLOOKUP(Tabela6[[#This Row],[Data]]+1,Tabela3[[Data]:[Saldo BRL]],5),0)</f>
        <v>51.362010999999995</v>
      </c>
      <c r="K36" s="5">
        <f>VLOOKUP(Tabela6[[#This Row],[Data]]+1,Tabela16[#All],3)</f>
        <v>55.64</v>
      </c>
      <c r="L36" s="5">
        <f>SUM(Tabela6[[#This Row],[Atlas]:[Easy]])</f>
        <v>170.46219337000002</v>
      </c>
      <c r="M36" s="5">
        <f>IFERROR(Tabela6[[#This Row],[Total]]-L35,0)</f>
        <v>-2.1494560799999931</v>
      </c>
      <c r="N36" s="3">
        <f>Tabela6[[#This Row],[Variação]]/Tabela6[[#This Row],[Total]]</f>
        <v>-1.2609576572410103E-2</v>
      </c>
    </row>
    <row r="37" spans="8:14" x14ac:dyDescent="0.25">
      <c r="H37" s="90">
        <v>43232</v>
      </c>
      <c r="I37" s="5">
        <f>IFERROR(VLOOKUP(Tabela6[[#This Row],[Data]]+1,Tabela1[[Data ]:[BRL]],9),0)</f>
        <v>65.065765619999993</v>
      </c>
      <c r="J37" s="5">
        <f>IFERROR(VLOOKUP(Tabela6[[#This Row],[Data]]+1,Tabela3[[Data]:[Saldo BRL]],5),0)</f>
        <v>54.349429999999998</v>
      </c>
      <c r="K37" s="5">
        <f>VLOOKUP(Tabela6[[#This Row],[Data]]+1,Tabela16[#All],3)</f>
        <v>55.64</v>
      </c>
      <c r="L37" s="5">
        <f>SUM(Tabela6[[#This Row],[Atlas]:[Easy]])</f>
        <v>175.05519562000001</v>
      </c>
      <c r="M37" s="5">
        <f>IFERROR(Tabela6[[#This Row],[Total]]-L36,0)</f>
        <v>4.5930022499999836</v>
      </c>
      <c r="N37" s="3">
        <f>Tabela6[[#This Row],[Variação]]/Tabela6[[#This Row],[Total]]</f>
        <v>2.6237451757617151E-2</v>
      </c>
    </row>
    <row r="38" spans="8:14" x14ac:dyDescent="0.25">
      <c r="H38" s="90">
        <v>43233</v>
      </c>
      <c r="I38" s="5">
        <f>IFERROR(VLOOKUP(Tabela6[[#This Row],[Data]]+1,Tabela1[[Data ]:[BRL]],9),0)</f>
        <v>66.448405059999999</v>
      </c>
      <c r="J38" s="5">
        <f>IFERROR(VLOOKUP(Tabela6[[#This Row],[Data]]+1,Tabela3[[Data]:[Saldo BRL]],5),0)</f>
        <v>57.336849000000001</v>
      </c>
      <c r="K38" s="5">
        <f>VLOOKUP(Tabela6[[#This Row],[Data]]+1,Tabela16[#All],3)</f>
        <v>55.64</v>
      </c>
      <c r="L38" s="5">
        <f>SUM(Tabela6[[#This Row],[Atlas]:[Easy]])</f>
        <v>179.42525405999999</v>
      </c>
      <c r="M38" s="5">
        <f>IFERROR(Tabela6[[#This Row],[Total]]-L37,0)</f>
        <v>4.3700584399999798</v>
      </c>
      <c r="N38" s="3">
        <f>Tabela6[[#This Row],[Variação]]/Tabela6[[#This Row],[Total]]</f>
        <v>2.4355871546034583E-2</v>
      </c>
    </row>
    <row r="39" spans="8:14" x14ac:dyDescent="0.25">
      <c r="H39" s="90">
        <v>43234</v>
      </c>
      <c r="I39" s="5">
        <f>IFERROR(VLOOKUP(Tabela6[[#This Row],[Data]]+1,Tabela1[[Data ]:[BRL]],9),0)</f>
        <v>66.408726999999999</v>
      </c>
      <c r="J39" s="5">
        <f>IFERROR(VLOOKUP(Tabela6[[#This Row],[Data]]+1,Tabela3[[Data]:[Saldo BRL]],5),0)</f>
        <v>61.287641999999998</v>
      </c>
      <c r="K39" s="5">
        <f>VLOOKUP(Tabela6[[#This Row],[Data]]+1,Tabela16[#All],3)</f>
        <v>55.64</v>
      </c>
      <c r="L39" s="5">
        <f>SUM(Tabela6[[#This Row],[Atlas]:[Easy]])</f>
        <v>183.33636899999999</v>
      </c>
      <c r="M39" s="5">
        <f>IFERROR(Tabela6[[#This Row],[Total]]-L38,0)</f>
        <v>3.9111149400000045</v>
      </c>
      <c r="N39" s="3">
        <f>Tabela6[[#This Row],[Variação]]/Tabela6[[#This Row],[Total]]</f>
        <v>2.1333000982472847E-2</v>
      </c>
    </row>
    <row r="40" spans="8:14" x14ac:dyDescent="0.25">
      <c r="H40" s="90">
        <v>43235</v>
      </c>
      <c r="I40" s="5">
        <f>IFERROR(VLOOKUP(Tabela6[[#This Row],[Data]]+1,Tabela1[[Data ]:[BRL]],9),0)</f>
        <v>65.837430499999996</v>
      </c>
      <c r="J40" s="5">
        <f>IFERROR(VLOOKUP(Tabela6[[#This Row],[Data]]+1,Tabela3[[Data]:[Saldo BRL]],5),0)</f>
        <v>61.287641999999998</v>
      </c>
      <c r="K40" s="5">
        <f>VLOOKUP(Tabela6[[#This Row],[Data]]+1,Tabela16[#All],3)</f>
        <v>55.64</v>
      </c>
      <c r="L40" s="5">
        <f>SUM(Tabela6[[#This Row],[Atlas]:[Easy]])</f>
        <v>182.76507249999997</v>
      </c>
      <c r="M40" s="5">
        <f>IFERROR(Tabela6[[#This Row],[Total]]-L39,0)</f>
        <v>-0.57129650000001675</v>
      </c>
      <c r="N40" s="3">
        <f>Tabela6[[#This Row],[Variação]]/Tabela6[[#This Row],[Total]]</f>
        <v>-3.1258516311972948E-3</v>
      </c>
    </row>
    <row r="41" spans="8:14" x14ac:dyDescent="0.25">
      <c r="H41" s="90">
        <v>43236</v>
      </c>
      <c r="I41" s="5">
        <f>IFERROR(VLOOKUP(Tabela6[[#This Row],[Data]]+1,Tabela1[[Data ]:[BRL]],9),0)</f>
        <v>64.119487400000011</v>
      </c>
      <c r="J41" s="5">
        <f>IFERROR(VLOOKUP(Tabela6[[#This Row],[Data]]+1,Tabela3[[Data]:[Saldo BRL]],5),0)</f>
        <v>67.877419999999987</v>
      </c>
      <c r="K41" s="5">
        <f>VLOOKUP(Tabela6[[#This Row],[Data]]+1,Tabela16[#All],3)</f>
        <v>55.64</v>
      </c>
      <c r="L41" s="5">
        <f>SUM(Tabela6[[#This Row],[Atlas]:[Easy]])</f>
        <v>187.63690739999998</v>
      </c>
      <c r="M41" s="5">
        <f>IFERROR(Tabela6[[#This Row],[Total]]-L40,0)</f>
        <v>4.8718349000000103</v>
      </c>
      <c r="N41" s="3">
        <f>Tabela6[[#This Row],[Variação]]/Tabela6[[#This Row],[Total]]</f>
        <v>2.5964161142425706E-2</v>
      </c>
    </row>
    <row r="42" spans="8:14" x14ac:dyDescent="0.25">
      <c r="H42" s="90">
        <v>43237</v>
      </c>
      <c r="I42" s="5">
        <f>IFERROR(VLOOKUP(Tabela6[[#This Row],[Data]]+1,Tabela1[[Data ]:[BRL]],9),0)</f>
        <v>62.530036979999998</v>
      </c>
      <c r="J42" s="5">
        <f>IFERROR(VLOOKUP(Tabela6[[#This Row],[Data]]+1,Tabela3[[Data]:[Saldo BRL]],5),0)</f>
        <v>72.440339999999978</v>
      </c>
      <c r="K42" s="5">
        <f>VLOOKUP(Tabela6[[#This Row],[Data]]+1,Tabela16[#All],3)</f>
        <v>55.64</v>
      </c>
      <c r="L42" s="5">
        <f>SUM(Tabela6[[#This Row],[Atlas]:[Easy]])</f>
        <v>190.61037697999996</v>
      </c>
      <c r="M42" s="5">
        <f>IFERROR(Tabela6[[#This Row],[Total]]-L41,0)</f>
        <v>2.9734695799999713</v>
      </c>
      <c r="N42" s="3">
        <f>Tabela6[[#This Row],[Variação]]/Tabela6[[#This Row],[Total]]</f>
        <v>1.5599725613637323E-2</v>
      </c>
    </row>
    <row r="43" spans="8:14" x14ac:dyDescent="0.25">
      <c r="H43" s="90">
        <v>43238</v>
      </c>
      <c r="I43" s="5">
        <f>IFERROR(VLOOKUP(Tabela6[[#This Row],[Data]]+1,Tabela1[[Data ]:[BRL]],9),0)</f>
        <v>62.923529499999994</v>
      </c>
      <c r="J43" s="5">
        <f>IFERROR(VLOOKUP(Tabela6[[#This Row],[Data]]+1,Tabela3[[Data]:[Saldo BRL]],5),0)</f>
        <v>72.440339999999978</v>
      </c>
      <c r="K43" s="5">
        <f>VLOOKUP(Tabela6[[#This Row],[Data]]+1,Tabela16[#All],3)</f>
        <v>55.64</v>
      </c>
      <c r="L43" s="5">
        <f>SUM(Tabela6[[#This Row],[Atlas]:[Easy]])</f>
        <v>191.00386949999995</v>
      </c>
      <c r="M43" s="5">
        <f>IFERROR(Tabela6[[#This Row],[Total]]-L42,0)</f>
        <v>0.39349251999999524</v>
      </c>
      <c r="N43" s="3">
        <f>Tabela6[[#This Row],[Variação]]/Tabela6[[#This Row],[Total]]</f>
        <v>2.0601285253019196E-3</v>
      </c>
    </row>
    <row r="44" spans="8:14" x14ac:dyDescent="0.25">
      <c r="H44" s="90">
        <v>43239</v>
      </c>
      <c r="I44" s="5">
        <f>IFERROR(VLOOKUP(Tabela6[[#This Row],[Data]]+1,Tabela1[[Data ]:[BRL]],9),0)</f>
        <v>65.458340000000007</v>
      </c>
      <c r="J44" s="5">
        <f>IFERROR(VLOOKUP(Tabela6[[#This Row],[Data]]+1,Tabela3[[Data]:[Saldo BRL]],5),0)</f>
        <v>78.501763999999994</v>
      </c>
      <c r="K44" s="5">
        <f>VLOOKUP(Tabela6[[#This Row],[Data]]+1,Tabela16[#All],3)</f>
        <v>55.64</v>
      </c>
      <c r="L44" s="5">
        <f>SUM(Tabela6[[#This Row],[Atlas]:[Easy]])</f>
        <v>199.60010399999999</v>
      </c>
      <c r="M44" s="5">
        <f>IFERROR(Tabela6[[#This Row],[Total]]-L43,0)</f>
        <v>8.5962345000000369</v>
      </c>
      <c r="N44" s="3">
        <f>Tabela6[[#This Row],[Variação]]/Tabela6[[#This Row],[Total]]</f>
        <v>4.3067284674360877E-2</v>
      </c>
    </row>
    <row r="45" spans="8:14" x14ac:dyDescent="0.25">
      <c r="H45" s="90">
        <v>43240</v>
      </c>
      <c r="I45" s="5">
        <f>IFERROR(VLOOKUP(Tabela6[[#This Row],[Data]]+1,Tabela1[[Data ]:[BRL]],9),0)</f>
        <v>65.833306000000007</v>
      </c>
      <c r="J45" s="5">
        <f>IFERROR(VLOOKUP(Tabela6[[#This Row],[Data]]+1,Tabela3[[Data]:[Saldo BRL]],5),0)</f>
        <v>81.602975999999984</v>
      </c>
      <c r="K45" s="5">
        <f>VLOOKUP(Tabela6[[#This Row],[Data]]+1,Tabela16[#All],3)</f>
        <v>55.64</v>
      </c>
      <c r="L45" s="5">
        <f>SUM(Tabela6[[#This Row],[Atlas]:[Easy]])</f>
        <v>203.07628199999999</v>
      </c>
      <c r="M45" s="5">
        <f>IFERROR(Tabela6[[#This Row],[Total]]-L44,0)</f>
        <v>3.4761780000000044</v>
      </c>
      <c r="N45" s="3">
        <f>Tabela6[[#This Row],[Variação]]/Tabela6[[#This Row],[Total]]</f>
        <v>1.7117597218960334E-2</v>
      </c>
    </row>
    <row r="46" spans="8:14" x14ac:dyDescent="0.25">
      <c r="H46" s="90">
        <v>43241</v>
      </c>
      <c r="I46" s="5">
        <f>IFERROR(VLOOKUP(Tabela6[[#This Row],[Data]]+1,Tabela1[[Data ]:[BRL]],9),0)</f>
        <v>65.344158000000007</v>
      </c>
      <c r="J46" s="5">
        <f>IFERROR(VLOOKUP(Tabela6[[#This Row],[Data]]+1,Tabela3[[Data]:[Saldo BRL]],5),0)</f>
        <v>81.602975999999984</v>
      </c>
      <c r="K46" s="5">
        <f>VLOOKUP(Tabela6[[#This Row],[Data]]+1,Tabela16[#All],3)</f>
        <v>55.64</v>
      </c>
      <c r="L46" s="5">
        <f>SUM(Tabela6[[#This Row],[Atlas]:[Easy]])</f>
        <v>202.58713399999999</v>
      </c>
      <c r="M46" s="5">
        <f>IFERROR(Tabela6[[#This Row],[Total]]-L45,0)</f>
        <v>-0.48914800000000014</v>
      </c>
      <c r="N46" s="3">
        <f>Tabela6[[#This Row],[Variação]]/Tabela6[[#This Row],[Total]]</f>
        <v>-2.4145067376292522E-3</v>
      </c>
    </row>
  </sheetData>
  <mergeCells count="1">
    <mergeCell ref="Q19:R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Q29" sqref="Q29"/>
    </sheetView>
  </sheetViews>
  <sheetFormatPr defaultRowHeight="15" x14ac:dyDescent="0.25"/>
  <cols>
    <col min="1" max="1" width="10.7109375" style="82" bestFit="1" customWidth="1"/>
    <col min="2" max="2" width="13" style="13" bestFit="1" customWidth="1"/>
    <col min="3" max="3" width="13.7109375" style="13" bestFit="1" customWidth="1"/>
    <col min="4" max="4" width="14" bestFit="1" customWidth="1"/>
    <col min="5" max="5" width="17.28515625" bestFit="1" customWidth="1"/>
    <col min="6" max="6" width="12" style="13" bestFit="1" customWidth="1"/>
    <col min="9" max="9" width="6.140625" bestFit="1" customWidth="1"/>
    <col min="10" max="10" width="8.42578125" bestFit="1" customWidth="1"/>
    <col min="11" max="11" width="15.5703125" bestFit="1" customWidth="1"/>
    <col min="12" max="13" width="10.5703125" bestFit="1" customWidth="1"/>
  </cols>
  <sheetData>
    <row r="1" spans="1:15" x14ac:dyDescent="0.25">
      <c r="O1" s="87"/>
    </row>
    <row r="2" spans="1:15" x14ac:dyDescent="0.25">
      <c r="O2" s="87"/>
    </row>
    <row r="3" spans="1:15" x14ac:dyDescent="0.25">
      <c r="L3" s="6"/>
      <c r="O3" s="87"/>
    </row>
    <row r="4" spans="1:15" x14ac:dyDescent="0.25">
      <c r="L4" s="6"/>
      <c r="M4" s="6"/>
      <c r="O4" s="87"/>
    </row>
    <row r="5" spans="1:15" x14ac:dyDescent="0.25">
      <c r="L5" s="6"/>
      <c r="M5" s="6"/>
      <c r="O5" s="87"/>
    </row>
    <row r="6" spans="1:15" x14ac:dyDescent="0.25">
      <c r="M6" s="6"/>
      <c r="O6" s="87"/>
    </row>
    <row r="7" spans="1:15" x14ac:dyDescent="0.25">
      <c r="M7" s="6"/>
      <c r="O7" s="87"/>
    </row>
    <row r="8" spans="1:15" x14ac:dyDescent="0.25">
      <c r="M8" s="6"/>
      <c r="N8" s="13"/>
      <c r="O8" s="87"/>
    </row>
    <row r="9" spans="1:15" x14ac:dyDescent="0.25">
      <c r="M9" s="6"/>
      <c r="O9" s="87"/>
    </row>
    <row r="10" spans="1:15" x14ac:dyDescent="0.25">
      <c r="M10" s="6"/>
      <c r="O10" s="87"/>
    </row>
    <row r="11" spans="1:15" x14ac:dyDescent="0.25">
      <c r="O11" s="88"/>
    </row>
    <row r="12" spans="1:15" x14ac:dyDescent="0.25">
      <c r="O12" s="88"/>
    </row>
    <row r="13" spans="1:15" x14ac:dyDescent="0.25">
      <c r="O13" s="88"/>
    </row>
    <row r="14" spans="1:15" ht="15.75" thickBot="1" x14ac:dyDescent="0.3">
      <c r="A14" s="83"/>
      <c r="B14" s="5"/>
      <c r="C14" s="5"/>
      <c r="D14" s="6"/>
      <c r="E14" s="3"/>
      <c r="F14" s="5"/>
      <c r="G14" s="6"/>
      <c r="H14" s="6"/>
      <c r="I14" s="6"/>
      <c r="M14" s="6"/>
      <c r="O14" s="88"/>
    </row>
    <row r="15" spans="1:15" ht="20.25" thickBot="1" x14ac:dyDescent="0.35">
      <c r="A15" s="83"/>
      <c r="B15" s="125" t="s">
        <v>8</v>
      </c>
      <c r="C15" s="126"/>
      <c r="D15" s="127" t="s">
        <v>10</v>
      </c>
      <c r="E15" s="128"/>
      <c r="F15" s="86" t="s">
        <v>11</v>
      </c>
      <c r="G15" s="6"/>
      <c r="I15" s="129" t="s">
        <v>58</v>
      </c>
      <c r="J15" s="130"/>
      <c r="L15" s="62" t="s">
        <v>53</v>
      </c>
      <c r="M15" s="63" t="s">
        <v>54</v>
      </c>
      <c r="O15" s="88"/>
    </row>
    <row r="16" spans="1:15" ht="16.5" thickTop="1" thickBot="1" x14ac:dyDescent="0.3">
      <c r="A16" s="84" t="s">
        <v>45</v>
      </c>
      <c r="B16" s="45" t="s">
        <v>12</v>
      </c>
      <c r="C16" s="44" t="s">
        <v>13</v>
      </c>
      <c r="D16" s="29" t="s">
        <v>57</v>
      </c>
      <c r="E16" s="31" t="s">
        <v>39</v>
      </c>
      <c r="F16" s="44" t="s">
        <v>19</v>
      </c>
      <c r="G16" s="6"/>
      <c r="I16" s="58" t="s">
        <v>26</v>
      </c>
      <c r="J16" s="59" t="s">
        <v>27</v>
      </c>
      <c r="L16" s="77">
        <f>LARGE(Tabela16[[Bruto ]],1)</f>
        <v>0.78999999999999915</v>
      </c>
      <c r="M16" s="61">
        <f>SMALL(Tabela16[[Bruto ]],1)</f>
        <v>3.9999999999999147E-2</v>
      </c>
      <c r="O16" s="88"/>
    </row>
    <row r="17" spans="1:17" ht="15.75" thickBot="1" x14ac:dyDescent="0.3">
      <c r="A17" s="85">
        <v>42644</v>
      </c>
      <c r="B17" s="76">
        <v>0</v>
      </c>
      <c r="C17" s="50">
        <v>47.37</v>
      </c>
      <c r="D17" s="49" t="str">
        <f>IF(Tabela16[[#This Row],[Anterior]]=0,"-",IFERROR(Tabela16[Posterior]-Tabela16[Anterior],"N/A"))</f>
        <v>-</v>
      </c>
      <c r="E17" s="51" t="str">
        <f>IFERROR(Tabela16[[Bruto ]]/Tabela16[Anterior],"N/A")</f>
        <v>N/A</v>
      </c>
      <c r="F17" s="50" t="str">
        <f>IFERROR(Tabela16[[#This Row],[Bruto ]]*12,"N/A")</f>
        <v>N/A</v>
      </c>
      <c r="G17" s="6"/>
      <c r="I17" s="60">
        <f>AVERAGE(Tabela16[porcentagem])</f>
        <v>8.512678640253242E-3</v>
      </c>
      <c r="J17" s="61">
        <f>AVERAGE(Tabela16[[Bruto ]])</f>
        <v>0.43526315789473702</v>
      </c>
      <c r="O17" s="88"/>
    </row>
    <row r="18" spans="1:17" x14ac:dyDescent="0.25">
      <c r="A18" s="85">
        <v>42675</v>
      </c>
      <c r="B18" s="76">
        <f>C17</f>
        <v>47.37</v>
      </c>
      <c r="C18" s="50">
        <v>47.67</v>
      </c>
      <c r="D18" s="49">
        <f>IF(Tabela16[[#This Row],[Anterior]]=0,"-",IFERROR(Tabela16[Posterior]-Tabela16[Anterior],"N/A"))</f>
        <v>0.30000000000000426</v>
      </c>
      <c r="E18" s="51">
        <f>IFERROR(Tabela16[[Bruto ]]/Tabela16[Anterior],"N/A")</f>
        <v>6.3331222292591152E-3</v>
      </c>
      <c r="F18" s="50">
        <f>IFERROR(Tabela16[[#This Row],[Bruto ]]*12,"N/A")</f>
        <v>3.6000000000000512</v>
      </c>
      <c r="G18" s="6"/>
      <c r="O18" s="88"/>
    </row>
    <row r="19" spans="1:17" x14ac:dyDescent="0.25">
      <c r="A19" s="85">
        <v>42705</v>
      </c>
      <c r="B19" s="76">
        <f>C18</f>
        <v>47.67</v>
      </c>
      <c r="C19" s="50">
        <v>48.4</v>
      </c>
      <c r="D19" s="49">
        <f>IF(Tabela16[[#This Row],[Anterior]]=0,"-",IFERROR(Tabela16[Posterior]-Tabela16[Anterior],"N/A"))</f>
        <v>0.72999999999999687</v>
      </c>
      <c r="E19" s="51">
        <f>IFERROR(Tabela16[[Bruto ]]/Tabela16[Anterior],"N/A")</f>
        <v>1.5313614432557097E-2</v>
      </c>
      <c r="F19" s="50">
        <f>IFERROR(Tabela16[[#This Row],[Bruto ]]*12,"N/A")</f>
        <v>8.7599999999999625</v>
      </c>
      <c r="G19" s="6"/>
      <c r="O19" s="88"/>
    </row>
    <row r="20" spans="1:17" s="79" customFormat="1" x14ac:dyDescent="0.25">
      <c r="A20" s="85">
        <v>42736</v>
      </c>
      <c r="B20" s="76">
        <f>C19</f>
        <v>48.4</v>
      </c>
      <c r="C20" s="50">
        <v>49.14</v>
      </c>
      <c r="D20" s="50">
        <f>IF(Tabela16[[#This Row],[Anterior]]=0,"-",IFERROR(Tabela16[Posterior]-Tabela16[Anterior],"N/A"))</f>
        <v>0.74000000000000199</v>
      </c>
      <c r="E20" s="54">
        <f>IFERROR(Tabela16[[Bruto ]]/Tabela16[Anterior],"N/A")</f>
        <v>1.5289256198347149E-2</v>
      </c>
      <c r="F20" s="50">
        <f>IFERROR(Tabela16[[#This Row],[Bruto ]]*12,"N/A")</f>
        <v>8.8800000000000239</v>
      </c>
      <c r="G20" s="78"/>
      <c r="O20" s="89"/>
      <c r="P20"/>
      <c r="Q20"/>
    </row>
    <row r="21" spans="1:17" s="79" customFormat="1" x14ac:dyDescent="0.25">
      <c r="A21" s="85">
        <v>42767</v>
      </c>
      <c r="B21" s="76">
        <f>C20</f>
        <v>49.14</v>
      </c>
      <c r="C21" s="76">
        <v>49.78</v>
      </c>
      <c r="D21" s="80">
        <f>IF(Tabela16[[#This Row],[Anterior]]=0,"-",IFERROR(Tabela16[Posterior]-Tabela16[Anterior],"N/A"))</f>
        <v>0.64000000000000057</v>
      </c>
      <c r="E21" s="81">
        <f>IFERROR(Tabela16[[Bruto ]]/Tabela16[Anterior],"N/A")</f>
        <v>1.3024013024013036E-2</v>
      </c>
      <c r="F21" s="76">
        <f>IFERROR(Tabela16[[#This Row],[Bruto ]]*12,"N/A")</f>
        <v>7.6800000000000068</v>
      </c>
      <c r="G21" s="19"/>
      <c r="O21" s="89"/>
      <c r="P21"/>
      <c r="Q21"/>
    </row>
    <row r="22" spans="1:17" s="79" customFormat="1" ht="15.75" thickBot="1" x14ac:dyDescent="0.3">
      <c r="A22" s="85">
        <v>42795</v>
      </c>
      <c r="B22" s="76">
        <f t="shared" ref="B22:B35" si="0">C21</f>
        <v>49.78</v>
      </c>
      <c r="C22" s="76">
        <v>50.29</v>
      </c>
      <c r="D22" s="80">
        <f>IF(Tabela16[[#This Row],[Anterior]]=0,"-",IFERROR(Tabela16[Posterior]-Tabela16[Anterior],"N/A"))</f>
        <v>0.50999999999999801</v>
      </c>
      <c r="E22" s="81">
        <f>IFERROR(Tabela16[[Bruto ]]/Tabela16[Anterior],"N/A")</f>
        <v>1.0245078344716713E-2</v>
      </c>
      <c r="F22" s="76">
        <f>IFERROR(Tabela16[[#This Row],[Bruto ]]*12,"N/A")</f>
        <v>6.1199999999999761</v>
      </c>
      <c r="I22" s="131" t="s">
        <v>59</v>
      </c>
      <c r="J22" s="131"/>
      <c r="K22" s="131"/>
      <c r="L22" s="132">
        <f>INDEX(Tabela16[Posterior],MATCH(9.99999999999999+307,Tabela16[Posterior]))</f>
        <v>55.64</v>
      </c>
      <c r="M22" s="132"/>
      <c r="O22" s="89"/>
      <c r="P22"/>
      <c r="Q22"/>
    </row>
    <row r="23" spans="1:17" s="79" customFormat="1" ht="16.5" thickTop="1" thickBot="1" x14ac:dyDescent="0.3">
      <c r="A23" s="85">
        <v>42826</v>
      </c>
      <c r="B23" s="76">
        <f t="shared" si="0"/>
        <v>50.29</v>
      </c>
      <c r="C23" s="76">
        <v>50.72</v>
      </c>
      <c r="D23" s="80">
        <f>IF(Tabela16[[#This Row],[Anterior]]=0,"-",IFERROR(Tabela16[Posterior]-Tabela16[Anterior],"N/A"))</f>
        <v>0.42999999999999972</v>
      </c>
      <c r="E23" s="81">
        <f>IFERROR(Tabela16[[Bruto ]]/Tabela16[Anterior],"N/A")</f>
        <v>8.5504076357128603E-3</v>
      </c>
      <c r="F23" s="76">
        <f>IFERROR(Tabela16[[#This Row],[Bruto ]]*12,"N/A")</f>
        <v>5.1599999999999966</v>
      </c>
      <c r="I23" s="131"/>
      <c r="J23" s="131"/>
      <c r="K23" s="131"/>
      <c r="L23" s="132"/>
      <c r="M23" s="132"/>
      <c r="O23" s="89"/>
      <c r="P23"/>
      <c r="Q23"/>
    </row>
    <row r="24" spans="1:17" s="79" customFormat="1" ht="15.75" thickTop="1" x14ac:dyDescent="0.25">
      <c r="A24" s="85">
        <v>42856</v>
      </c>
      <c r="B24" s="76">
        <f t="shared" si="0"/>
        <v>50.72</v>
      </c>
      <c r="C24" s="76">
        <v>51.07</v>
      </c>
      <c r="D24" s="80">
        <f>IF(Tabela16[[#This Row],[Anterior]]=0,"-",IFERROR(Tabela16[Posterior]-Tabela16[Anterior],"N/A"))</f>
        <v>0.35000000000000142</v>
      </c>
      <c r="E24" s="81">
        <f>IFERROR(Tabela16[[Bruto ]]/Tabela16[Anterior],"N/A")</f>
        <v>6.9006309148265266E-3</v>
      </c>
      <c r="F24" s="76">
        <f>IFERROR(Tabela16[[#This Row],[Bruto ]]*12,"N/A")</f>
        <v>4.2000000000000171</v>
      </c>
      <c r="O24" s="89"/>
      <c r="P24"/>
      <c r="Q24"/>
    </row>
    <row r="25" spans="1:17" s="79" customFormat="1" x14ac:dyDescent="0.25">
      <c r="A25" s="85">
        <v>42887</v>
      </c>
      <c r="B25" s="76">
        <f t="shared" si="0"/>
        <v>51.07</v>
      </c>
      <c r="C25" s="76">
        <v>51.59</v>
      </c>
      <c r="D25" s="80">
        <f>IF(Tabela16[[#This Row],[Anterior]]=0,"-",IFERROR(Tabela16[Posterior]-Tabela16[Anterior],"N/A"))</f>
        <v>0.52000000000000313</v>
      </c>
      <c r="E25" s="81">
        <f>IFERROR(Tabela16[[Bruto ]]/Tabela16[Anterior],"N/A")</f>
        <v>1.0182102995888058E-2</v>
      </c>
      <c r="F25" s="76">
        <f>IFERROR(Tabela16[[#This Row],[Bruto ]]*12,"N/A")</f>
        <v>6.2400000000000375</v>
      </c>
      <c r="O25" s="89"/>
      <c r="P25"/>
      <c r="Q25"/>
    </row>
    <row r="26" spans="1:17" s="79" customFormat="1" x14ac:dyDescent="0.25">
      <c r="A26" s="85">
        <v>42917</v>
      </c>
      <c r="B26" s="76">
        <f t="shared" si="0"/>
        <v>51.59</v>
      </c>
      <c r="C26" s="76">
        <v>52.38</v>
      </c>
      <c r="D26" s="80">
        <f>IF(Tabela16[[#This Row],[Anterior]]=0,"-",IFERROR(Tabela16[Posterior]-Tabela16[Anterior],"N/A"))</f>
        <v>0.78999999999999915</v>
      </c>
      <c r="E26" s="81">
        <f>IFERROR(Tabela16[[Bruto ]]/Tabela16[Anterior],"N/A")</f>
        <v>1.5313045163791415E-2</v>
      </c>
      <c r="F26" s="76">
        <f>IFERROR(Tabela16[[#This Row],[Bruto ]]*12,"N/A")</f>
        <v>9.4799999999999898</v>
      </c>
      <c r="O26" s="89"/>
      <c r="P26"/>
      <c r="Q26"/>
    </row>
    <row r="27" spans="1:17" s="79" customFormat="1" x14ac:dyDescent="0.25">
      <c r="A27" s="85">
        <v>42948</v>
      </c>
      <c r="B27" s="76">
        <f t="shared" si="0"/>
        <v>52.38</v>
      </c>
      <c r="C27" s="76">
        <v>52.85</v>
      </c>
      <c r="D27" s="80">
        <f>IF(Tabela16[[#This Row],[Anterior]]=0,"-",IFERROR(Tabela16[Posterior]-Tabela16[Anterior],"N/A"))</f>
        <v>0.46999999999999886</v>
      </c>
      <c r="E27" s="81">
        <f>IFERROR(Tabela16[[Bruto ]]/Tabela16[Anterior],"N/A")</f>
        <v>8.9728904161893632E-3</v>
      </c>
      <c r="F27" s="76">
        <f>IFERROR(Tabela16[[#This Row],[Bruto ]]*12,"N/A")</f>
        <v>5.6399999999999864</v>
      </c>
      <c r="O27" s="89"/>
      <c r="P27"/>
      <c r="Q27"/>
    </row>
    <row r="28" spans="1:17" s="79" customFormat="1" x14ac:dyDescent="0.25">
      <c r="A28" s="85">
        <v>42979</v>
      </c>
      <c r="B28" s="76">
        <f t="shared" si="0"/>
        <v>52.85</v>
      </c>
      <c r="C28" s="76">
        <v>53.32</v>
      </c>
      <c r="D28" s="80">
        <f>IF(Tabela16[[#This Row],[Anterior]]=0,"-",IFERROR(Tabela16[Posterior]-Tabela16[Anterior],"N/A"))</f>
        <v>0.46999999999999886</v>
      </c>
      <c r="E28" s="81">
        <f>IFERROR(Tabela16[[Bruto ]]/Tabela16[Anterior],"N/A")</f>
        <v>8.8930936613055601E-3</v>
      </c>
      <c r="F28" s="76">
        <f>IFERROR(Tabela16[[#This Row],[Bruto ]]*12,"N/A")</f>
        <v>5.6399999999999864</v>
      </c>
      <c r="O28" s="89"/>
      <c r="P28"/>
      <c r="Q28"/>
    </row>
    <row r="29" spans="1:17" s="79" customFormat="1" x14ac:dyDescent="0.25">
      <c r="A29" s="85">
        <v>43009</v>
      </c>
      <c r="B29" s="76">
        <f t="shared" si="0"/>
        <v>53.32</v>
      </c>
      <c r="C29" s="76">
        <v>53.79</v>
      </c>
      <c r="D29" s="80">
        <f>IF(Tabela16[[#This Row],[Anterior]]=0,"-",IFERROR(Tabela16[Posterior]-Tabela16[Anterior],"N/A"))</f>
        <v>0.46999999999999886</v>
      </c>
      <c r="E29" s="81">
        <f>IFERROR(Tabela16[[Bruto ]]/Tabela16[Anterior],"N/A")</f>
        <v>8.8147036759189581E-3</v>
      </c>
      <c r="F29" s="76">
        <f>IFERROR(Tabela16[[#This Row],[Bruto ]]*12,"N/A")</f>
        <v>5.6399999999999864</v>
      </c>
      <c r="O29" s="89"/>
      <c r="P29"/>
      <c r="Q29"/>
    </row>
    <row r="30" spans="1:17" s="79" customFormat="1" x14ac:dyDescent="0.25">
      <c r="A30" s="85">
        <v>43040</v>
      </c>
      <c r="B30" s="76">
        <f t="shared" si="0"/>
        <v>53.79</v>
      </c>
      <c r="C30" s="76">
        <v>54.11</v>
      </c>
      <c r="D30" s="80">
        <f>IF(Tabela16[[#This Row],[Anterior]]=0,"-",IFERROR(Tabela16[Posterior]-Tabela16[Anterior],"N/A"))</f>
        <v>0.32000000000000028</v>
      </c>
      <c r="E30" s="81">
        <f>IFERROR(Tabela16[[Bruto ]]/Tabela16[Anterior],"N/A")</f>
        <v>5.9490611637850951E-3</v>
      </c>
      <c r="F30" s="76">
        <f>IFERROR(Tabela16[[#This Row],[Bruto ]]*12,"N/A")</f>
        <v>3.8400000000000034</v>
      </c>
      <c r="O30" s="89"/>
      <c r="P30"/>
      <c r="Q30"/>
    </row>
    <row r="31" spans="1:17" s="79" customFormat="1" x14ac:dyDescent="0.25">
      <c r="A31" s="85">
        <v>43070</v>
      </c>
      <c r="B31" s="76">
        <f t="shared" si="0"/>
        <v>54.11</v>
      </c>
      <c r="C31" s="76">
        <v>54.46</v>
      </c>
      <c r="D31" s="80">
        <f>IF(Tabela16[[#This Row],[Anterior]]=0,"-",IFERROR(Tabela16[Posterior]-Tabela16[Anterior],"N/A"))</f>
        <v>0.35000000000000142</v>
      </c>
      <c r="E31" s="81">
        <f>IFERROR(Tabela16[[Bruto ]]/Tabela16[Anterior],"N/A")</f>
        <v>6.4683053040103756E-3</v>
      </c>
      <c r="F31" s="76">
        <f>IFERROR(Tabela16[[#This Row],[Bruto ]]*12,"N/A")</f>
        <v>4.2000000000000171</v>
      </c>
      <c r="O31" s="89"/>
      <c r="P31"/>
      <c r="Q31"/>
    </row>
    <row r="32" spans="1:17" s="79" customFormat="1" x14ac:dyDescent="0.25">
      <c r="A32" s="85">
        <v>43101</v>
      </c>
      <c r="B32" s="76">
        <f t="shared" si="0"/>
        <v>54.46</v>
      </c>
      <c r="C32" s="76">
        <v>54.75</v>
      </c>
      <c r="D32" s="80">
        <f>IF(Tabela16[[#This Row],[Anterior]]=0,"-",IFERROR(Tabela16[Posterior]-Tabela16[Anterior],"N/A"))</f>
        <v>0.28999999999999915</v>
      </c>
      <c r="E32" s="81">
        <f>IFERROR(Tabela16[[Bruto ]]/Tabela16[Anterior],"N/A")</f>
        <v>5.3250091810502966E-3</v>
      </c>
      <c r="F32" s="76">
        <f>IFERROR(Tabela16[[#This Row],[Bruto ]]*12,"N/A")</f>
        <v>3.4799999999999898</v>
      </c>
      <c r="O32" s="89"/>
      <c r="P32"/>
      <c r="Q32"/>
    </row>
    <row r="33" spans="1:17" s="79" customFormat="1" x14ac:dyDescent="0.25">
      <c r="A33" s="85">
        <v>43132</v>
      </c>
      <c r="B33" s="76">
        <f t="shared" si="0"/>
        <v>54.75</v>
      </c>
      <c r="C33" s="76">
        <v>55.02</v>
      </c>
      <c r="D33" s="80">
        <f>IF(Tabela16[[#This Row],[Anterior]]=0,"-",IFERROR(Tabela16[Posterior]-Tabela16[Anterior],"N/A"))</f>
        <v>0.27000000000000313</v>
      </c>
      <c r="E33" s="81">
        <f>IFERROR(Tabela16[[Bruto ]]/Tabela16[Anterior],"N/A")</f>
        <v>4.9315068493151256E-3</v>
      </c>
      <c r="F33" s="76">
        <f>IFERROR(Tabela16[[#This Row],[Bruto ]]*12,"N/A")</f>
        <v>3.2400000000000375</v>
      </c>
      <c r="O33" s="89"/>
      <c r="P33"/>
      <c r="Q33"/>
    </row>
    <row r="34" spans="1:17" s="79" customFormat="1" x14ac:dyDescent="0.25">
      <c r="A34" s="85">
        <v>43160</v>
      </c>
      <c r="B34" s="76">
        <f t="shared" si="0"/>
        <v>55.02</v>
      </c>
      <c r="C34" s="76">
        <v>55.38</v>
      </c>
      <c r="D34" s="80">
        <f>IF(Tabela16[[#This Row],[Anterior]]=0,"-",IFERROR(Tabela16[Posterior]-Tabela16[Anterior],"N/A"))</f>
        <v>0.35999999999999943</v>
      </c>
      <c r="E34" s="81">
        <f>IFERROR(Tabela16[[Bruto ]]/Tabela16[Anterior],"N/A")</f>
        <v>6.5430752453653112E-3</v>
      </c>
      <c r="F34" s="76">
        <f>IFERROR(Tabela16[[#This Row],[Bruto ]]*12,"N/A")</f>
        <v>4.3199999999999932</v>
      </c>
      <c r="O34" s="89"/>
      <c r="P34"/>
      <c r="Q34"/>
    </row>
    <row r="35" spans="1:17" s="79" customFormat="1" x14ac:dyDescent="0.25">
      <c r="A35" s="85">
        <v>43191</v>
      </c>
      <c r="B35" s="76">
        <f t="shared" si="0"/>
        <v>55.38</v>
      </c>
      <c r="C35" s="76">
        <v>55.6</v>
      </c>
      <c r="D35" s="80">
        <f>IF(Tabela16[[#This Row],[Anterior]]=0,"-",IFERROR(Tabela16[Posterior]-Tabela16[Anterior],"N/A"))</f>
        <v>0.21999999999999886</v>
      </c>
      <c r="E35" s="81">
        <f>IFERROR(Tabela16[[Bruto ]]/Tabela16[Anterior],"N/A")</f>
        <v>3.9725532683278957E-3</v>
      </c>
      <c r="F35" s="76">
        <f>IFERROR(Tabela16[[#This Row],[Bruto ]]*12,"N/A")</f>
        <v>2.6399999999999864</v>
      </c>
      <c r="O35" s="89"/>
      <c r="P35"/>
      <c r="Q35"/>
    </row>
    <row r="36" spans="1:17" x14ac:dyDescent="0.25">
      <c r="A36" s="91">
        <v>43221</v>
      </c>
      <c r="B36" s="76">
        <f>C35</f>
        <v>55.6</v>
      </c>
      <c r="C36" s="76">
        <v>55.64</v>
      </c>
      <c r="D36" s="80">
        <f>IF(Tabela16[[#This Row],[Anterior]]=0,"-",IFERROR(Tabela16[Posterior]-Tabela16[Anterior],"N/A"))</f>
        <v>3.9999999999999147E-2</v>
      </c>
      <c r="E36" s="81">
        <f>IFERROR(Tabela16[[Bruto ]]/Tabela16[Anterior],"N/A")</f>
        <v>7.194244604316393E-4</v>
      </c>
      <c r="F36" s="76">
        <f>IFERROR(Tabela16[[#This Row],[Bruto ]]*12,"N/A")</f>
        <v>0.47999999999998977</v>
      </c>
    </row>
  </sheetData>
  <mergeCells count="5">
    <mergeCell ref="B15:C15"/>
    <mergeCell ref="D15:E15"/>
    <mergeCell ref="I15:J15"/>
    <mergeCell ref="I22:K23"/>
    <mergeCell ref="L22:M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topLeftCell="A10" workbookViewId="0">
      <selection activeCell="L61" sqref="L61"/>
    </sheetView>
  </sheetViews>
  <sheetFormatPr defaultRowHeight="15" x14ac:dyDescent="0.25"/>
  <cols>
    <col min="1" max="1" width="10.7109375" style="8" bestFit="1" customWidth="1"/>
    <col min="2" max="2" width="9.42578125" style="12" bestFit="1" customWidth="1"/>
    <col min="3" max="3" width="9.140625" style="12" bestFit="1" customWidth="1"/>
    <col min="4" max="4" width="25" style="6" bestFit="1" customWidth="1"/>
    <col min="5" max="5" width="13" style="6" bestFit="1" customWidth="1"/>
    <col min="6" max="6" width="13.7109375" style="6" bestFit="1" customWidth="1"/>
    <col min="7" max="7" width="13.140625" style="6" bestFit="1" customWidth="1"/>
    <col min="8" max="8" width="9.28515625" style="7" bestFit="1" customWidth="1"/>
    <col min="9" max="9" width="10.42578125" style="6" bestFit="1" customWidth="1"/>
    <col min="10" max="10" width="14" style="6" bestFit="1" customWidth="1"/>
    <col min="11" max="11" width="14.5703125" style="6" bestFit="1" customWidth="1"/>
    <col min="12" max="12" width="17.28515625" style="3" bestFit="1" customWidth="1"/>
    <col min="13" max="13" width="12.140625" style="3" bestFit="1" customWidth="1"/>
    <col min="14" max="14" width="10.7109375" style="3" bestFit="1" customWidth="1"/>
    <col min="15" max="15" width="6.7109375" style="6" bestFit="1" customWidth="1"/>
    <col min="16" max="16" width="6.140625" style="8" bestFit="1" customWidth="1"/>
    <col min="17" max="17" width="6.5703125" style="4" bestFit="1" customWidth="1"/>
    <col min="18" max="18" width="6.7109375" style="5" bestFit="1" customWidth="1"/>
    <col min="19" max="19" width="6.140625" style="5" bestFit="1" customWidth="1"/>
    <col min="20" max="20" width="5.140625" style="6" customWidth="1"/>
    <col min="21" max="21" width="6.140625" style="6" bestFit="1" customWidth="1"/>
    <col min="22" max="22" width="8" customWidth="1"/>
    <col min="23" max="23" width="6.140625" style="15" bestFit="1" customWidth="1"/>
    <col min="24" max="24" width="10.5703125" style="5" bestFit="1" customWidth="1"/>
    <col min="25" max="25" width="10.5703125" style="6" bestFit="1" customWidth="1"/>
  </cols>
  <sheetData>
    <row r="1" spans="1:22" customFormat="1" ht="19.5" x14ac:dyDescent="0.3">
      <c r="A1" s="8"/>
      <c r="B1" s="12"/>
      <c r="C1" s="12"/>
      <c r="D1" s="6"/>
      <c r="E1" s="6"/>
      <c r="F1" s="6"/>
      <c r="G1" s="6"/>
      <c r="H1" s="7"/>
      <c r="I1" s="135" t="s">
        <v>72</v>
      </c>
      <c r="J1" s="136"/>
      <c r="K1" s="136"/>
      <c r="L1" s="119">
        <v>2018</v>
      </c>
      <c r="M1" s="3"/>
      <c r="N1" s="3"/>
      <c r="O1" s="6"/>
      <c r="P1" s="8"/>
      <c r="Q1" s="4"/>
      <c r="R1" s="5"/>
      <c r="S1" s="5"/>
      <c r="T1" s="6"/>
      <c r="U1" s="6"/>
    </row>
    <row r="2" spans="1:22" customFormat="1" x14ac:dyDescent="0.25">
      <c r="A2" s="8"/>
      <c r="B2" s="12"/>
      <c r="C2" s="12"/>
      <c r="D2" s="6"/>
      <c r="E2" s="6"/>
      <c r="F2" s="6"/>
      <c r="G2" s="6"/>
      <c r="H2" s="7"/>
      <c r="I2" s="21" t="s">
        <v>96</v>
      </c>
      <c r="J2" s="43" t="str">
        <f>IF((SUMIFS(Tabela1[Bruto USD],Tabela1[Mês],Plan4!A1,Tabela1[Ano],L$1))=0,"SR",SUMIFS(Tabela1[Bruto USD],Tabela1[Mês],Plan4!A1,Tabela1[Ano],L$1))</f>
        <v>SR</v>
      </c>
      <c r="K2" s="38" t="str">
        <f>IF((SUMIFS(Tabela1[Bruto BRL],Tabela1[Mês],Plan4!A1,Tabela1[Ano],L$1))=0,"SR",SUMIFS(Tabela1[Bruto BRL],Tabela1[Mês],Plan4!A1,Tabela1[Ano],L$1))</f>
        <v>SR</v>
      </c>
      <c r="L2" s="39" t="str">
        <f>IF((SUMIFS(Tabela1[porcentagem],Tabela1[Mês],Plan4!A1,Tabela1[Ano],L$1))=0,"SR",SUMIFS(Tabela1[porcentagem],Tabela1[Mês],Plan4!A1,Tabela1[Ano],L$1))</f>
        <v>SR</v>
      </c>
      <c r="M2" s="3"/>
      <c r="N2" s="3"/>
      <c r="O2" s="6"/>
      <c r="P2" s="8"/>
      <c r="Q2" s="4"/>
      <c r="R2" s="5"/>
      <c r="S2" s="5"/>
      <c r="T2" s="6"/>
      <c r="U2" s="6"/>
    </row>
    <row r="3" spans="1:22" customFormat="1" x14ac:dyDescent="0.25">
      <c r="A3" s="8"/>
      <c r="B3" s="12"/>
      <c r="C3" s="12"/>
      <c r="D3" s="6"/>
      <c r="E3" s="6"/>
      <c r="F3" s="6"/>
      <c r="G3" s="6"/>
      <c r="H3" s="7"/>
      <c r="I3" s="20" t="s">
        <v>97</v>
      </c>
      <c r="J3" s="35" t="str">
        <f>IF((SUMIFS(Tabela1[Bruto USD],Tabela1[Mês],Plan4!A2,Tabela1[Ano],L$1))=0,"SR",SUMIFS(Tabela1[Bruto USD],Tabela1[Mês],Plan4!A2,Tabela1[Ano],L$1))</f>
        <v>SR</v>
      </c>
      <c r="K3" s="36" t="str">
        <f>IF((SUMIFS(Tabela1[Bruto BRL],Tabela1[Mês],Plan4!A2,Tabela1[Ano],L$1))=0,"SR",SUMIFS(Tabela1[Bruto BRL],Tabela1[Mês],Plan4!A2,Tabela1[Ano],L$1))</f>
        <v>SR</v>
      </c>
      <c r="L3" s="37" t="str">
        <f>IF((SUMIFS(Tabela1[porcentagem],Tabela1[Mês],Plan4!A2,Tabela1[Ano],L$1))=0,"SR",SUMIFS(Tabela1[porcentagem],Tabela1[Mês],Plan4!A2,Tabela1[Ano],L$1))</f>
        <v>SR</v>
      </c>
      <c r="M3" s="3"/>
      <c r="N3" s="3"/>
      <c r="O3" s="6"/>
      <c r="P3" s="8"/>
      <c r="Q3" s="4"/>
      <c r="R3" s="5"/>
      <c r="S3" s="5"/>
      <c r="T3" s="6"/>
      <c r="U3" s="6"/>
    </row>
    <row r="4" spans="1:22" customFormat="1" ht="15.75" thickBot="1" x14ac:dyDescent="0.3">
      <c r="A4" s="8"/>
      <c r="B4" s="12"/>
      <c r="C4" s="12"/>
      <c r="D4" s="6"/>
      <c r="E4" s="6"/>
      <c r="F4" s="6"/>
      <c r="G4" s="6"/>
      <c r="H4" s="7"/>
      <c r="I4" s="21" t="s">
        <v>98</v>
      </c>
      <c r="J4" s="43" t="str">
        <f>IF((SUMIFS(Tabela1[Bruto USD],Tabela1[Mês],Plan4!A3,Tabela1[Ano],L$1))=0,"SR",SUMIFS(Tabela1[Bruto USD],Tabela1[Mês],Plan4!A3,Tabela1[Ano],L$1))</f>
        <v>SR</v>
      </c>
      <c r="K4" s="38" t="str">
        <f>IF((SUMIFS(Tabela1[Bruto BRL],Tabela1[Mês],Plan4!A3,Tabela1[Ano],L$1))=0,"SR",SUMIFS(Tabela1[Bruto BRL],Tabela1[Mês],Plan4!A3,Tabela1[Ano],L$1))</f>
        <v>SR</v>
      </c>
      <c r="L4" s="39" t="str">
        <f>IF((SUMIFS(Tabela1[porcentagem],Tabela1[Mês],Plan4!A3,Tabela1[Ano],L$1))=0,"SR",SUMIFS(Tabela1[porcentagem],Tabela1[Mês],Plan4!A3,Tabela1[Ano],L$1))</f>
        <v>SR</v>
      </c>
      <c r="M4" s="3"/>
      <c r="N4" s="3"/>
      <c r="O4" s="6"/>
      <c r="P4" s="8"/>
      <c r="Q4" s="4"/>
      <c r="R4" s="5"/>
      <c r="S4" s="5"/>
      <c r="T4" s="6"/>
      <c r="U4" s="6"/>
    </row>
    <row r="5" spans="1:22" customFormat="1" ht="15.75" thickBot="1" x14ac:dyDescent="0.3">
      <c r="A5" s="137" t="s">
        <v>59</v>
      </c>
      <c r="B5" s="137"/>
      <c r="C5" s="137"/>
      <c r="D5" s="137"/>
      <c r="E5" s="138"/>
      <c r="F5" s="129" t="s">
        <v>46</v>
      </c>
      <c r="G5" s="130"/>
      <c r="H5" s="7"/>
      <c r="I5" s="20" t="s">
        <v>28</v>
      </c>
      <c r="J5" s="35">
        <f>IF((SUMIFS(Tabela1[Bruto USD],Tabela1[Mês],Plan4!A4,Tabela1[Ano],L$1))=0,"SR",SUMIFS(Tabela1[Bruto USD],Tabela1[Mês],Plan4!A4,Tabela1[Ano],L$1))</f>
        <v>0.24225165700000001</v>
      </c>
      <c r="K5" s="36">
        <f>IF((SUMIFS(Tabela1[Bruto BRL],Tabela1[Mês],Plan4!A4,Tabela1[Ano],L$1))=0,"SR",SUMIFS(Tabela1[Bruto BRL],Tabela1[Mês],Plan4!A4,Tabela1[Ano],L$1))</f>
        <v>0.859536144</v>
      </c>
      <c r="L5" s="37">
        <f>IF((SUMIFS(Tabela1[porcentagem],Tabela1[Mês],Plan4!A4,Tabela1[Ano],L$1))=0,"SR",SUMIFS(Tabela1[porcentagem],Tabela1[Mês],Plan4!A4,Tabela1[Ano],L$1))</f>
        <v>1.3004375830757654E-2</v>
      </c>
      <c r="M5" s="3"/>
      <c r="N5" s="3"/>
      <c r="O5" s="6"/>
      <c r="P5" s="8"/>
      <c r="Q5" s="4"/>
      <c r="R5" s="5"/>
      <c r="S5" s="5"/>
      <c r="T5" s="6"/>
      <c r="U5" s="6"/>
    </row>
    <row r="6" spans="1:22" customFormat="1" ht="16.5" thickTop="1" thickBot="1" x14ac:dyDescent="0.3">
      <c r="A6" s="139"/>
      <c r="B6" s="139"/>
      <c r="C6" s="139"/>
      <c r="D6" s="139"/>
      <c r="E6" s="140"/>
      <c r="F6" s="58" t="s">
        <v>26</v>
      </c>
      <c r="G6" s="59" t="s">
        <v>27</v>
      </c>
      <c r="H6" s="7"/>
      <c r="I6" s="21" t="s">
        <v>29</v>
      </c>
      <c r="J6" s="43">
        <f>IF((SUMIFS(Tabela1[Bruto USD],Tabela1[Mês],Plan4!A5,Tabela1[Ano],L$1))=0,"SR",SUMIFS(Tabela1[Bruto USD],Tabela1[Mês],Plan4!A5,Tabela1[Ano],L$1))</f>
        <v>0.34085438500000004</v>
      </c>
      <c r="K6" s="38">
        <f>IF((SUMIFS(Tabela1[Bruto BRL],Tabela1[Mês],Plan4!A5,Tabela1[Ano],L$1))=0,"SR",SUMIFS(Tabela1[Bruto BRL],Tabela1[Mês],Plan4!A5,Tabela1[Ano],L$1))</f>
        <v>1.2645187099999999</v>
      </c>
      <c r="L6" s="39">
        <f>IF((SUMIFS(Tabela1[porcentagem],Tabela1[Mês],Plan4!A5,Tabela1[Ano],L$1))=0,"SR",SUMIFS(Tabela1[porcentagem],Tabela1[Mês],Plan4!A5,Tabela1[Ano],L$1))</f>
        <v>1.9301970690612277E-2</v>
      </c>
      <c r="M6" s="3"/>
      <c r="N6" s="3"/>
      <c r="O6" s="6"/>
      <c r="P6" s="8"/>
      <c r="Q6" s="4"/>
      <c r="R6" s="5"/>
      <c r="S6" s="5"/>
      <c r="T6" s="6"/>
      <c r="U6" s="6"/>
    </row>
    <row r="7" spans="1:22" customFormat="1" ht="16.5" thickTop="1" thickBot="1" x14ac:dyDescent="0.3">
      <c r="A7" s="141">
        <f>INDEX(Tabela1[BRL],MATCH(9.99999999999999+307,Tabela1[BRL]))</f>
        <v>65.344158000000007</v>
      </c>
      <c r="B7" s="141"/>
      <c r="C7" s="141"/>
      <c r="D7" s="141"/>
      <c r="E7" s="142"/>
      <c r="F7" s="60">
        <f>AVERAGE(Tabela1[porcentagem])</f>
        <v>1.2922538608547973E-3</v>
      </c>
      <c r="G7" s="61">
        <f>AVERAGE(Tabela1[Bruto BRL])</f>
        <v>8.4962194160000004E-2</v>
      </c>
      <c r="H7" s="7"/>
      <c r="I7" s="20" t="s">
        <v>30</v>
      </c>
      <c r="J7" s="35" t="str">
        <f>IF((SUMIFS(Tabela1[Bruto USD],Tabela1[Mês],Plan4!A6,Tabela1[Ano],L$1))=0,"SR",SUMIFS(Tabela1[Bruto USD],Tabela1[Mês],Plan4!A6,Tabela1[Ano],L$1))</f>
        <v>SR</v>
      </c>
      <c r="K7" s="36" t="str">
        <f>IF((SUMIFS(Tabela1[Bruto BRL],Tabela1[Mês],Plan4!A6,Tabela1[Ano],L$1))=0,"SR",SUMIFS(Tabela1[Bruto BRL],Tabela1[Mês],Plan4!A6,Tabela1[Ano],L$1))</f>
        <v>SR</v>
      </c>
      <c r="L7" s="37" t="str">
        <f>IF((SUMIFS(Tabela1[porcentagem],Tabela1[Mês],Plan4!A6,Tabela1[Ano],L$1))=0,"SR",SUMIFS(Tabela1[porcentagem],Tabela1[Mês],Plan4!A6,Tabela1[Ano],L$1))</f>
        <v>SR</v>
      </c>
      <c r="M7" s="3"/>
      <c r="N7" s="3"/>
      <c r="O7" s="6"/>
      <c r="P7" s="8"/>
      <c r="Q7" s="4"/>
      <c r="R7" s="5"/>
      <c r="S7" s="5"/>
      <c r="T7" s="6"/>
      <c r="U7" s="6"/>
    </row>
    <row r="8" spans="1:22" customFormat="1" ht="20.25" thickBot="1" x14ac:dyDescent="0.35">
      <c r="A8" s="143"/>
      <c r="B8" s="143"/>
      <c r="C8" s="143"/>
      <c r="D8" s="143"/>
      <c r="E8" s="144"/>
      <c r="F8" s="62" t="s">
        <v>53</v>
      </c>
      <c r="G8" s="63" t="s">
        <v>54</v>
      </c>
      <c r="H8" s="7"/>
      <c r="I8" s="21" t="s">
        <v>31</v>
      </c>
      <c r="J8" s="43" t="str">
        <f>IF((SUMIFS(Tabela1[Bruto USD],Tabela1[Mês],Plan4!A7,Tabela1[Ano],L$1))=0,"SR",SUMIFS(Tabela1[Bruto USD],Tabela1[Mês],Plan4!A7,Tabela1[Ano],L$1))</f>
        <v>SR</v>
      </c>
      <c r="K8" s="38" t="str">
        <f>IF((SUMIFS(Tabela1[Bruto BRL],Tabela1[Mês],Plan4!A7,Tabela1[Ano],L$1))=0,"SR",SUMIFS(Tabela1[Bruto BRL],Tabela1[Mês],Plan4!A7,Tabela1[Ano],L$1))</f>
        <v>SR</v>
      </c>
      <c r="L8" s="39" t="str">
        <f>IF((SUMIFS(Tabela1[porcentagem],Tabela1[Mês],Plan4!A7,Tabela1[Ano],L$1))=0,"SR",SUMIFS(Tabela1[porcentagem],Tabela1[Mês],Plan4!A7,Tabela1[Ano],L$1))</f>
        <v>SR</v>
      </c>
      <c r="M8" s="3"/>
      <c r="N8" s="3"/>
      <c r="P8" s="8"/>
      <c r="Q8" s="4"/>
      <c r="R8" s="5"/>
      <c r="S8" s="5"/>
      <c r="T8" s="6"/>
      <c r="U8" s="6"/>
    </row>
    <row r="9" spans="1:22" customFormat="1" ht="16.5" thickTop="1" thickBot="1" x14ac:dyDescent="0.3">
      <c r="A9" s="139" t="s">
        <v>86</v>
      </c>
      <c r="B9" s="139"/>
      <c r="C9" s="139"/>
      <c r="D9" s="139"/>
      <c r="E9" s="139"/>
      <c r="F9" s="64">
        <f>LARGE(Tabela1[Bruto BRL],1)</f>
        <v>0.74479044800000005</v>
      </c>
      <c r="G9" s="65">
        <f>SMALL(Tabela1[Bruto BRL],1)</f>
        <v>1.165356E-2</v>
      </c>
      <c r="H9" s="7"/>
      <c r="I9" s="20" t="s">
        <v>32</v>
      </c>
      <c r="J9" s="35" t="str">
        <f>IF((SUMIFS(Tabela1[Bruto USD],Tabela1[Mês],Plan4!A8,Tabela1[Ano],L$1))=0,"SR",SUMIFS(Tabela1[Bruto USD],Tabela1[Mês],Plan4!A8,Tabela1[Ano],L$1))</f>
        <v>SR</v>
      </c>
      <c r="K9" s="36" t="str">
        <f>IF((SUMIFS(Tabela1[Bruto BRL],Tabela1[Mês],Plan4!A8,Tabela1[Ano],L$1))=0,"SR",SUMIFS(Tabela1[Bruto BRL],Tabela1[Mês],Plan4!A8,Tabela1[Ano],L$1))</f>
        <v>SR</v>
      </c>
      <c r="L9" s="37" t="str">
        <f>IF((SUMIFS(Tabela1[porcentagem],Tabela1[Mês],Plan4!A8,Tabela1[Ano],L$1))=0,"SR",SUMIFS(Tabela1[porcentagem],Tabela1[Mês],Plan4!A8,Tabela1[Ano],L$1))</f>
        <v>SR</v>
      </c>
      <c r="M9" s="3"/>
      <c r="N9" s="3"/>
      <c r="O9" s="6"/>
      <c r="P9" s="8"/>
      <c r="Q9" s="4"/>
      <c r="R9" s="5"/>
      <c r="S9" s="5"/>
      <c r="T9" s="6"/>
      <c r="U9" s="6"/>
    </row>
    <row r="10" spans="1:22" customFormat="1" ht="16.5" thickTop="1" thickBot="1" x14ac:dyDescent="0.3">
      <c r="A10" s="139"/>
      <c r="B10" s="139"/>
      <c r="C10" s="139"/>
      <c r="D10" s="139"/>
      <c r="E10" s="139"/>
      <c r="F10" s="66">
        <f>LARGE(Tabela1[USD],1)</f>
        <v>20.265003176</v>
      </c>
      <c r="G10" s="67">
        <f>SMALL(Tabela1[USD],1)</f>
        <v>16.467361283999999</v>
      </c>
      <c r="H10" s="7"/>
      <c r="I10" s="21" t="s">
        <v>33</v>
      </c>
      <c r="J10" s="43" t="str">
        <f>IF((SUMIFS(Tabela1[Bruto USD],Tabela1[Mês],Plan4!A9,Tabela1[Ano],L$1))=0,"SR",SUMIFS(Tabela1[Bruto USD],Tabela1[Mês],Plan4!A9,Tabela1[Ano],L$1))</f>
        <v>SR</v>
      </c>
      <c r="K10" s="38" t="str">
        <f>IF((SUMIFS(Tabela1[Bruto BRL],Tabela1[Mês],Plan4!A9,Tabela1[Ano],L$1))=0,"SR",SUMIFS(Tabela1[Bruto BRL],Tabela1[Mês],Plan4!A9,Tabela1[Ano],L$1))</f>
        <v>SR</v>
      </c>
      <c r="L10" s="39" t="str">
        <f>IF((SUMIFS(Tabela1[porcentagem],Tabela1[Mês],Plan4!A9,Tabela1[Ano],L$1))=0,"SR",SUMIFS(Tabela1[porcentagem],Tabela1[Mês],Plan4!A9,Tabela1[Ano],L$1))</f>
        <v>SR</v>
      </c>
      <c r="M10" s="3"/>
      <c r="N10" s="3"/>
      <c r="O10" s="6"/>
      <c r="P10" s="8"/>
      <c r="Q10" s="4"/>
      <c r="R10" s="5"/>
      <c r="S10" s="5"/>
      <c r="T10" s="6"/>
      <c r="U10" s="6"/>
    </row>
    <row r="11" spans="1:22" customFormat="1" ht="16.5" thickTop="1" thickBot="1" x14ac:dyDescent="0.3">
      <c r="A11" s="149" t="str">
        <f>SUM(Tabela1[Variação])&amp;" BTC"</f>
        <v>0,0000655 BTC</v>
      </c>
      <c r="B11" s="149"/>
      <c r="C11" s="149"/>
      <c r="D11" s="148">
        <f>SUM(Tabela1[Bruto BRL])</f>
        <v>2.1240548540000002</v>
      </c>
      <c r="E11" s="148"/>
      <c r="F11" s="68">
        <f>LARGE(Tabela1[Variação],1)</f>
        <v>2.2520000000000001E-5</v>
      </c>
      <c r="G11" s="69">
        <f>SMALL(Tabela1[Variação],1)</f>
        <v>3.5999999999999999E-7</v>
      </c>
      <c r="H11" s="7"/>
      <c r="I11" s="20" t="s">
        <v>34</v>
      </c>
      <c r="J11" s="35" t="str">
        <f>IF((SUMIFS(Tabela1[Bruto USD],Tabela1[Mês],Plan4!A10,Tabela1[Ano],L$1))=0,"SR",SUMIFS(Tabela1[Bruto USD],Tabela1[Mês],Plan4!A10,Tabela1[Ano],L$1))</f>
        <v>SR</v>
      </c>
      <c r="K11" s="36" t="str">
        <f>IF((SUMIFS(Tabela1[Bruto BRL],Tabela1[Mês],Plan4!A10,Tabela1[Ano],L$1))=0,"SR",SUMIFS(Tabela1[Bruto BRL],Tabela1[Mês],Plan4!A10,Tabela1[Ano],L$1))</f>
        <v>SR</v>
      </c>
      <c r="L11" s="37" t="str">
        <f>IF((SUMIFS(Tabela1[porcentagem],Tabela1[Mês],Plan4!A10,Tabela1[Ano],L$1))=0,"SR",SUMIFS(Tabela1[porcentagem],Tabela1[Mês],Plan4!A10,Tabela1[Ano],L$1))</f>
        <v>SR</v>
      </c>
      <c r="M11" s="3"/>
      <c r="N11" s="3"/>
      <c r="O11" s="6"/>
      <c r="P11" s="8"/>
      <c r="Q11" s="4"/>
      <c r="R11" s="5"/>
      <c r="S11" s="5"/>
      <c r="T11" s="6"/>
      <c r="U11" s="6"/>
    </row>
    <row r="12" spans="1:22" customFormat="1" ht="16.5" thickTop="1" thickBot="1" x14ac:dyDescent="0.3">
      <c r="A12" s="139"/>
      <c r="B12" s="139"/>
      <c r="C12" s="139"/>
      <c r="D12" s="148"/>
      <c r="E12" s="148"/>
      <c r="F12" s="6"/>
      <c r="G12" s="6"/>
      <c r="H12" s="7"/>
      <c r="I12" s="21" t="s">
        <v>35</v>
      </c>
      <c r="J12" s="43" t="str">
        <f>IF((SUMIFS(Tabela1[Bruto USD],Tabela1[Mês],Plan4!A11,Tabela1[Ano],L$1))=0,"SR",SUMIFS(Tabela1[Bruto USD],Tabela1[Mês],Plan4!A11,Tabela1[Ano],L$1))</f>
        <v>SR</v>
      </c>
      <c r="K12" s="38" t="str">
        <f>IF((SUMIFS(Tabela1[Bruto BRL],Tabela1[Mês],Plan4!A11,Tabela1[Ano],L$1))=0,"SR",SUMIFS(Tabela1[Bruto BRL],Tabela1[Mês],Plan4!A11,Tabela1[Ano],L$1))</f>
        <v>SR</v>
      </c>
      <c r="L12" s="39" t="str">
        <f>IF((SUMIFS(Tabela1[porcentagem],Tabela1[Mês],Plan4!A11,Tabela1[Ano],L$1))=0,"SR",SUMIFS(Tabela1[porcentagem],Tabela1[Mês],Plan4!A11,Tabela1[Ano],L$1))</f>
        <v>SR</v>
      </c>
      <c r="M12" s="3"/>
      <c r="N12" s="3"/>
      <c r="O12" s="6"/>
      <c r="P12" s="8"/>
      <c r="Q12" s="4"/>
      <c r="R12" s="5"/>
      <c r="S12" s="5"/>
      <c r="T12" s="6"/>
      <c r="U12" s="6"/>
    </row>
    <row r="13" spans="1:22" customFormat="1" ht="16.5" thickTop="1" thickBot="1" x14ac:dyDescent="0.3">
      <c r="A13" s="8"/>
      <c r="B13" s="12"/>
      <c r="C13" s="12"/>
      <c r="D13" s="6"/>
      <c r="E13" s="6"/>
      <c r="F13" s="6"/>
      <c r="G13" s="6"/>
      <c r="H13" s="7"/>
      <c r="I13" s="22" t="s">
        <v>36</v>
      </c>
      <c r="J13" s="42" t="str">
        <f>IF((SUMIFS(Tabela1[Bruto USD],Tabela1[Mês],Plan4!A12,Tabela1[Ano],L$1))=0,"SR",SUMIFS(Tabela1[Bruto USD],Tabela1[Mês],Plan4!A12,Tabela1[Ano],L$1))</f>
        <v>SR</v>
      </c>
      <c r="K13" s="40" t="str">
        <f>IF((SUMIFS(Tabela1[Bruto BRL],Tabela1[Mês],Plan4!A12,Tabela1[Ano],L$1))=0,"SR",SUMIFS(Tabela1[Bruto BRL],Tabela1[Mês],Plan4!A12,Tabela1[Ano],L$1))</f>
        <v>SR</v>
      </c>
      <c r="L13" s="41" t="str">
        <f>IF((SUMIFS(Tabela1[porcentagem],Tabela1[Mês],Plan4!A12,Tabela1[Ano],L$1))=0,"SR",SUMIFS(Tabela1[porcentagem],Tabela1[Mês],Plan4!A12,Tabela1[Ano],L$1))</f>
        <v>SR</v>
      </c>
      <c r="M13" s="3"/>
      <c r="N13" s="3"/>
      <c r="O13" s="6"/>
      <c r="P13" s="8"/>
      <c r="Q13" s="4"/>
      <c r="R13" s="5"/>
      <c r="S13" s="5"/>
      <c r="T13" s="6"/>
      <c r="U13" s="6"/>
    </row>
    <row r="16" spans="1:22" customFormat="1" x14ac:dyDescent="0.25">
      <c r="A16" s="8"/>
      <c r="B16" s="12"/>
      <c r="C16" s="12"/>
      <c r="D16" s="6"/>
      <c r="E16" s="6"/>
      <c r="F16" s="6"/>
      <c r="G16" s="6"/>
      <c r="H16" s="7"/>
      <c r="I16" s="6"/>
      <c r="J16" s="6"/>
      <c r="K16" s="6"/>
      <c r="L16" s="3"/>
      <c r="M16" s="3"/>
      <c r="N16" s="3"/>
      <c r="O16" s="6"/>
      <c r="P16" s="8"/>
      <c r="Q16" s="4"/>
      <c r="R16" s="5"/>
      <c r="S16" s="5"/>
      <c r="T16" s="6"/>
      <c r="V16" s="15"/>
    </row>
    <row r="17" spans="1:25" s="1" customFormat="1" x14ac:dyDescent="0.25">
      <c r="A17" s="8"/>
      <c r="B17" s="12"/>
      <c r="C17" s="1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6"/>
      <c r="R17" s="6"/>
      <c r="S17" s="6"/>
      <c r="V17" s="16"/>
      <c r="X17" s="5"/>
      <c r="Y17" s="6"/>
    </row>
    <row r="18" spans="1:25" x14ac:dyDescent="0.25">
      <c r="U18"/>
      <c r="V18" s="15"/>
    </row>
    <row r="19" spans="1:25" x14ac:dyDescent="0.25">
      <c r="S19" s="6"/>
      <c r="U19"/>
      <c r="V19" s="15"/>
    </row>
    <row r="30" spans="1:25" x14ac:dyDescent="0.25">
      <c r="P30"/>
      <c r="Q30" s="6"/>
      <c r="R30" s="6"/>
      <c r="S30" s="6"/>
    </row>
    <row r="31" spans="1:25" ht="20.25" thickBot="1" x14ac:dyDescent="0.35">
      <c r="E31" s="127" t="s">
        <v>8</v>
      </c>
      <c r="F31" s="145"/>
      <c r="H31" s="146" t="s">
        <v>9</v>
      </c>
      <c r="I31" s="147"/>
      <c r="J31" s="127" t="s">
        <v>10</v>
      </c>
      <c r="K31" s="128"/>
      <c r="L31" s="128"/>
      <c r="M31" s="133" t="s">
        <v>11</v>
      </c>
      <c r="N31" s="134"/>
    </row>
    <row r="32" spans="1:25" ht="15.75" thickTop="1" x14ac:dyDescent="0.25">
      <c r="A32" s="24" t="s">
        <v>45</v>
      </c>
      <c r="B32" s="17" t="s">
        <v>37</v>
      </c>
      <c r="C32" s="17" t="s">
        <v>71</v>
      </c>
      <c r="D32" s="2" t="s">
        <v>0</v>
      </c>
      <c r="E32" s="29" t="s">
        <v>12</v>
      </c>
      <c r="F32" s="28" t="s">
        <v>13</v>
      </c>
      <c r="G32" s="2" t="s">
        <v>1</v>
      </c>
      <c r="H32" s="34" t="s">
        <v>14</v>
      </c>
      <c r="I32" s="28" t="s">
        <v>15</v>
      </c>
      <c r="J32" s="29" t="s">
        <v>16</v>
      </c>
      <c r="K32" s="30" t="s">
        <v>17</v>
      </c>
      <c r="L32" s="31" t="s">
        <v>39</v>
      </c>
      <c r="M32" s="33" t="s">
        <v>18</v>
      </c>
      <c r="N32" s="31" t="s">
        <v>19</v>
      </c>
    </row>
    <row r="33" spans="1:19" customFormat="1" x14ac:dyDescent="0.25">
      <c r="A33" s="25">
        <v>43216.500694444447</v>
      </c>
      <c r="B33" s="18">
        <v>4</v>
      </c>
      <c r="C33" s="18">
        <v>2018</v>
      </c>
      <c r="D33" s="9" t="s">
        <v>3</v>
      </c>
      <c r="E33" s="53" t="s">
        <v>4</v>
      </c>
      <c r="F33" s="53">
        <v>2E-3</v>
      </c>
      <c r="G33" s="53" t="s">
        <v>4</v>
      </c>
      <c r="H33" s="48">
        <f>Tabela1[[#This Row],[Posterior]]*VLOOKUP(Tabela1[[#This Row],[Data ]],Tabela25[],2)</f>
        <v>18.558599999999998</v>
      </c>
      <c r="I33" s="50">
        <f>Tabela1[[#This Row],[Posterior]]*VLOOKUP(Tabela1[[#This Row],[Data ]],Tabela25[],4)</f>
        <v>65.28</v>
      </c>
      <c r="J33" s="50" t="str">
        <f>IF(Tabela1[[#This Row],[Tipo]]="Depósito (BTC)","N/A",Tabela1[[#This Row],[Variação]]*VLOOKUP(Tabela1[[#This Row],[Data ]],Tabela25[],4))</f>
        <v>N/A</v>
      </c>
      <c r="K33" s="32" t="str">
        <f>IF(Tabela1[[#This Row],[Tipo]]="Depósito (BTC)","N/A",Tabela1[[#This Row],[Variação]]*VLOOKUP(Tabela1[[#This Row],[Data ]],Tabela25[],2))</f>
        <v>N/A</v>
      </c>
      <c r="L33" s="54" t="s">
        <v>6</v>
      </c>
      <c r="M33" s="52" t="s">
        <v>6</v>
      </c>
      <c r="N33" s="52" t="s">
        <v>6</v>
      </c>
      <c r="O33" s="6"/>
      <c r="P33" s="8"/>
      <c r="Q33" s="4"/>
      <c r="R33" s="5"/>
      <c r="S33" s="5"/>
    </row>
    <row r="34" spans="1:19" customFormat="1" x14ac:dyDescent="0.25">
      <c r="A34" s="26">
        <v>43217.419444444444</v>
      </c>
      <c r="B34" s="18">
        <v>4</v>
      </c>
      <c r="C34" s="18">
        <v>2018</v>
      </c>
      <c r="D34" s="10" t="s">
        <v>2</v>
      </c>
      <c r="E34" s="55">
        <v>2E-3</v>
      </c>
      <c r="F34" s="55">
        <v>2.0014400000000002E-3</v>
      </c>
      <c r="G34" s="55">
        <v>1.44E-6</v>
      </c>
      <c r="H34" s="48">
        <f>Tabela1[[#This Row],[Posterior]]*VLOOKUP(Tabela1[[#This Row],[Data ]],Tabela25[],2)</f>
        <v>18.421854192000001</v>
      </c>
      <c r="I34" s="50">
        <f>Tabela1[[#This Row],[Posterior]]*VLOOKUP(Tabela1[[#This Row],[Data ]],Tabela25[],4)</f>
        <v>65.621013136000002</v>
      </c>
      <c r="J34" s="50">
        <f>IF(Tabela1[[#This Row],[Tipo]]="Depósito (BTC)","N/A",Tabela1[[#This Row],[Variação]]*VLOOKUP(Tabela1[[#This Row],[Data ]],Tabela25[],4))</f>
        <v>4.7213136000000003E-2</v>
      </c>
      <c r="K34" s="32">
        <f>IF(Tabela1[[#This Row],[Tipo]]="Depósito (BTC)","N/A",Tabela1[[#This Row],[Variação]]*VLOOKUP(Tabela1[[#This Row],[Data ]],Tabela25[],2))</f>
        <v>1.3254191999999998E-2</v>
      </c>
      <c r="L34" s="54">
        <f>Tabela1[[#This Row],[Variação]]/Tabela1[[#This Row],[Anterior]]</f>
        <v>7.1999999999999994E-4</v>
      </c>
      <c r="M34" s="52">
        <f>Tabela1[[#This Row],[porcentagem]]*30</f>
        <v>2.1599999999999998E-2</v>
      </c>
      <c r="N34" s="52">
        <f>Tabela1[[#This Row],[Mensal]]*12</f>
        <v>0.25919999999999999</v>
      </c>
      <c r="O34" s="6"/>
      <c r="P34" s="8"/>
      <c r="Q34" s="4"/>
      <c r="R34" s="5"/>
      <c r="S34" s="5"/>
    </row>
    <row r="35" spans="1:19" customFormat="1" x14ac:dyDescent="0.25">
      <c r="A35" s="8">
        <v>43218.419444444444</v>
      </c>
      <c r="B35" s="18">
        <v>4</v>
      </c>
      <c r="C35" s="18">
        <v>2018</v>
      </c>
      <c r="D35" s="6" t="s">
        <v>2</v>
      </c>
      <c r="E35" s="47">
        <v>2.0014400000000002E-3</v>
      </c>
      <c r="F35" s="47">
        <v>2.02396E-3</v>
      </c>
      <c r="G35" s="56">
        <v>2.2520000000000001E-5</v>
      </c>
      <c r="H35" s="48">
        <f>Tabela1[[#This Row],[Posterior]]*VLOOKUP(Tabela1[[#This Row],[Data ]],Tabela25[],2)</f>
        <v>18.83901968</v>
      </c>
      <c r="I35" s="49">
        <f>Tabela1[[#This Row],[Posterior]]*VLOOKUP(Tabela1[[#This Row],[Data ]],Tabela25[],4)</f>
        <v>66.937214703999999</v>
      </c>
      <c r="J35" s="50">
        <f>IF(Tabela1[[#This Row],[Tipo]]="Depósito (BTC)","N/A",Tabela1[[#This Row],[Variação]]*VLOOKUP(Tabela1[[#This Row],[Data ]],Tabela25[],4))</f>
        <v>0.74479044800000005</v>
      </c>
      <c r="K35" s="32">
        <f>IF(Tabela1[[#This Row],[Tipo]]="Depósito (BTC)","N/A",Tabela1[[#This Row],[Variação]]*VLOOKUP(Tabela1[[#This Row],[Data ]],Tabela25[],2))</f>
        <v>0.20961616000000002</v>
      </c>
      <c r="L35" s="54">
        <f>Tabela1[[#This Row],[Variação]]/Tabela1[[#This Row],[Anterior]]</f>
        <v>1.1251898632984252E-2</v>
      </c>
      <c r="M35" s="52">
        <f>Tabela1[[#This Row],[porcentagem]]*30</f>
        <v>0.33755695898952753</v>
      </c>
      <c r="N35" s="52">
        <f>Tabela1[[#This Row],[Mensal]]*12</f>
        <v>4.0506835078743304</v>
      </c>
      <c r="O35" s="6"/>
      <c r="P35" s="8"/>
      <c r="Q35" s="4"/>
      <c r="R35" s="5"/>
      <c r="S35" s="5"/>
    </row>
    <row r="36" spans="1:19" customFormat="1" x14ac:dyDescent="0.25">
      <c r="A36" s="8">
        <v>43219.419444444444</v>
      </c>
      <c r="B36" s="18">
        <v>4</v>
      </c>
      <c r="C36" s="18">
        <v>2018</v>
      </c>
      <c r="D36" s="14" t="s">
        <v>2</v>
      </c>
      <c r="E36" s="47">
        <v>2.02396E-3</v>
      </c>
      <c r="F36" s="47">
        <v>2.0256900000000001E-3</v>
      </c>
      <c r="G36" s="47">
        <v>1.73E-6</v>
      </c>
      <c r="H36" s="48">
        <f>Tabela1[[#This Row],[Posterior]]*VLOOKUP(Tabela1[[#This Row],[Data ]],Tabela25[],2)</f>
        <v>18.777538593000003</v>
      </c>
      <c r="I36" s="49">
        <f>Tabela1[[#This Row],[Posterior]]*VLOOKUP(Tabela1[[#This Row],[Data ]],Tabela25[],4)</f>
        <v>65.429787000000005</v>
      </c>
      <c r="J36" s="50">
        <f>IF(Tabela1[[#This Row],[Tipo]]="Depósito (BTC)","N/A",Tabela1[[#This Row],[Variação]]*VLOOKUP(Tabela1[[#This Row],[Data ]],Tabela25[],4))</f>
        <v>5.5878999999999998E-2</v>
      </c>
      <c r="K36" s="32">
        <f>IF(Tabela1[[#This Row],[Tipo]]="Depósito (BTC)","N/A",Tabela1[[#This Row],[Variação]]*VLOOKUP(Tabela1[[#This Row],[Data ]],Tabela25[],2))</f>
        <v>1.6036581000000001E-2</v>
      </c>
      <c r="L36" s="54">
        <f>Tabela1[[#This Row],[Variação]]/Tabela1[[#This Row],[Anterior]]</f>
        <v>8.5475997549358681E-4</v>
      </c>
      <c r="M36" s="52">
        <f>Tabela1[[#This Row],[porcentagem]]*30</f>
        <v>2.5642799264807604E-2</v>
      </c>
      <c r="N36" s="52">
        <f>Tabela1[[#This Row],[Mensal]]*12</f>
        <v>0.30771359117769126</v>
      </c>
      <c r="O36" s="6"/>
      <c r="P36" s="8"/>
      <c r="Q36" s="4"/>
      <c r="R36" s="5"/>
      <c r="S36" s="5"/>
    </row>
    <row r="37" spans="1:19" customFormat="1" x14ac:dyDescent="0.25">
      <c r="A37" s="8">
        <v>43220.419444444444</v>
      </c>
      <c r="B37" s="12">
        <v>4</v>
      </c>
      <c r="C37" s="18">
        <v>2018</v>
      </c>
      <c r="D37" s="12" t="s">
        <v>2</v>
      </c>
      <c r="E37" s="47">
        <v>2.0256900000000001E-3</v>
      </c>
      <c r="F37" s="47">
        <v>2.0260500000000002E-3</v>
      </c>
      <c r="G37" s="47">
        <v>3.5999999999999999E-7</v>
      </c>
      <c r="H37" s="48">
        <f>Tabela1[[#This Row],[Posterior]]*VLOOKUP(Tabela1[[#This Row],[Data ]],Tabela25[],2)</f>
        <v>18.823827945000001</v>
      </c>
      <c r="I37" s="49">
        <f>Tabela1[[#This Row],[Posterior]]*VLOOKUP(Tabela1[[#This Row],[Data ]],Tabela25[],4)</f>
        <v>65.585264550000005</v>
      </c>
      <c r="J37" s="50">
        <f>IF(Tabela1[[#This Row],[Tipo]]="Depósito (BTC)","N/A",Tabela1[[#This Row],[Variação]]*VLOOKUP(Tabela1[[#This Row],[Data ]],Tabela25[],4))</f>
        <v>1.165356E-2</v>
      </c>
      <c r="K37" s="32">
        <f>IF(Tabela1[[#This Row],[Tipo]]="Depósito (BTC)","N/A",Tabela1[[#This Row],[Variação]]*VLOOKUP(Tabela1[[#This Row],[Data ]],Tabela25[],2))</f>
        <v>3.3447239999999999E-3</v>
      </c>
      <c r="L37" s="54">
        <f>Tabela1[[#This Row],[Variação]]/Tabela1[[#This Row],[Anterior]]</f>
        <v>1.7771722227981576E-4</v>
      </c>
      <c r="M37" s="52">
        <f>Tabela1[[#This Row],[porcentagem]]*30</f>
        <v>5.3315166683944731E-3</v>
      </c>
      <c r="N37" s="52">
        <f>Tabela1[[#This Row],[Mensal]]*12</f>
        <v>6.3978200020733678E-2</v>
      </c>
      <c r="O37" s="6"/>
      <c r="P37" s="8"/>
      <c r="Q37" s="4"/>
      <c r="R37" s="5"/>
      <c r="S37" s="5"/>
    </row>
    <row r="38" spans="1:19" customFormat="1" x14ac:dyDescent="0.25">
      <c r="A38" s="8">
        <v>43221.419444444444</v>
      </c>
      <c r="B38" s="12">
        <v>5</v>
      </c>
      <c r="C38" s="18">
        <v>2018</v>
      </c>
      <c r="D38" s="12" t="s">
        <v>2</v>
      </c>
      <c r="E38" s="47">
        <v>2.0260500000000002E-3</v>
      </c>
      <c r="F38" s="47">
        <v>2.0270499999999999E-3</v>
      </c>
      <c r="G38" s="47">
        <v>9.9999999999999995E-7</v>
      </c>
      <c r="H38" s="48">
        <f>Tabela1[[#This Row],[Posterior]]*VLOOKUP(Tabela1[[#This Row],[Data ]],Tabela25[],2)</f>
        <v>18.385140794999998</v>
      </c>
      <c r="I38" s="49">
        <f>Tabela1[[#This Row],[Posterior]]*VLOOKUP(Tabela1[[#This Row],[Data ]],Tabela25[],4)</f>
        <v>65.1696575</v>
      </c>
      <c r="J38" s="50">
        <f>IF(Tabela1[[#This Row],[Tipo]]="Depósito (BTC)","N/A",Tabela1[[#This Row],[Variação]]*VLOOKUP(Tabela1[[#This Row],[Data ]],Tabela25[],4))</f>
        <v>3.2149999999999998E-2</v>
      </c>
      <c r="K38" s="32">
        <f>IF(Tabela1[[#This Row],[Tipo]]="Depósito (BTC)","N/A",Tabela1[[#This Row],[Variação]]*VLOOKUP(Tabela1[[#This Row],[Data ]],Tabela25[],2))</f>
        <v>9.0698999999999988E-3</v>
      </c>
      <c r="L38" s="54">
        <f>Tabela1[[#This Row],[Variação]]/Tabela1[[#This Row],[Anterior]]</f>
        <v>4.9357123466844347E-4</v>
      </c>
      <c r="M38" s="52">
        <f>Tabela1[[#This Row],[porcentagem]]*30</f>
        <v>1.4807137040053304E-2</v>
      </c>
      <c r="N38" s="52">
        <f>Tabela1[[#This Row],[Mensal]]*12</f>
        <v>0.17768564448063964</v>
      </c>
      <c r="O38" s="6"/>
      <c r="P38" s="8"/>
      <c r="Q38" s="4"/>
      <c r="R38" s="5"/>
      <c r="S38" s="5"/>
    </row>
    <row r="39" spans="1:19" customFormat="1" x14ac:dyDescent="0.25">
      <c r="A39" s="8">
        <v>43222.420138888891</v>
      </c>
      <c r="B39" s="12">
        <v>5</v>
      </c>
      <c r="C39" s="18">
        <v>2018</v>
      </c>
      <c r="D39" s="12" t="s">
        <v>2</v>
      </c>
      <c r="E39" s="47">
        <v>2.0270499999999999E-3</v>
      </c>
      <c r="F39" s="47">
        <v>2.0283300000000001E-3</v>
      </c>
      <c r="G39" s="47">
        <v>1.28E-6</v>
      </c>
      <c r="H39" s="48">
        <f>Tabela1[[#This Row],[Posterior]]*VLOOKUP(Tabela1[[#This Row],[Data ]],Tabela25[],2)</f>
        <v>18.554554341000003</v>
      </c>
      <c r="I39" s="49">
        <f>Tabela1[[#This Row],[Posterior]]*VLOOKUP(Tabela1[[#This Row],[Data ]],Tabela25[],4)</f>
        <v>65.515059000000008</v>
      </c>
      <c r="J39" s="50">
        <f>IF(Tabela1[[#This Row],[Tipo]]="Depósito (BTC)","N/A",Tabela1[[#This Row],[Variação]]*VLOOKUP(Tabela1[[#This Row],[Data ]],Tabela25[],4))</f>
        <v>4.1343999999999999E-2</v>
      </c>
      <c r="K39" s="32">
        <f>IF(Tabela1[[#This Row],[Tipo]]="Depósito (BTC)","N/A",Tabela1[[#This Row],[Variação]]*VLOOKUP(Tabela1[[#This Row],[Data ]],Tabela25[],2))</f>
        <v>1.1709056000000001E-2</v>
      </c>
      <c r="L39" s="51">
        <f t="shared" ref="L39:L44" si="0">G39/E39</f>
        <v>6.3145951012555195E-4</v>
      </c>
      <c r="M39" s="52">
        <f t="shared" ref="M39:M44" si="1">L39*30</f>
        <v>1.8943785303766558E-2</v>
      </c>
      <c r="N39" s="52">
        <f t="shared" ref="N39:N44" si="2">M39*12</f>
        <v>0.2273254236451987</v>
      </c>
      <c r="O39" s="6"/>
      <c r="P39" s="8"/>
      <c r="Q39" s="4"/>
      <c r="R39" s="5"/>
      <c r="S39" s="5"/>
    </row>
    <row r="40" spans="1:19" customFormat="1" x14ac:dyDescent="0.25">
      <c r="A40" s="8">
        <v>43223.419444444444</v>
      </c>
      <c r="B40" s="12">
        <v>5</v>
      </c>
      <c r="C40" s="18">
        <v>2018</v>
      </c>
      <c r="D40" s="12" t="s">
        <v>2</v>
      </c>
      <c r="E40" s="6">
        <v>2.0283300000000001E-3</v>
      </c>
      <c r="F40" s="6">
        <v>2.0288799999999998E-3</v>
      </c>
      <c r="G40" s="6">
        <v>5.5000000000000003E-7</v>
      </c>
      <c r="H40" s="48">
        <f>Tabela1[[#This Row],[Posterior]]*VLOOKUP(Tabela1[[#This Row],[Data ]],Tabela25[],2)</f>
        <v>19.122193999999997</v>
      </c>
      <c r="I40" s="49">
        <f>Tabela1[[#This Row],[Posterior]]*VLOOKUP(Tabela1[[#This Row],[Data ]],Tabela25[],4)</f>
        <v>67.500837599999997</v>
      </c>
      <c r="J40" s="50">
        <f>IF(Tabela1[[#This Row],[Tipo]]="Depósito (BTC)","N/A",Tabela1[[#This Row],[Variação]]*VLOOKUP(Tabela1[[#This Row],[Data ]],Tabela25[],4))</f>
        <v>1.8298500000000002E-2</v>
      </c>
      <c r="K40" s="32">
        <f>IF(Tabela1[[#This Row],[Tipo]]="Depósito (BTC)","N/A",Tabela1[[#This Row],[Variação]]*VLOOKUP(Tabela1[[#This Row],[Data ]],Tabela25[],2))</f>
        <v>5.18375E-3</v>
      </c>
      <c r="L40" s="51">
        <f t="shared" si="0"/>
        <v>2.7115903230736618E-4</v>
      </c>
      <c r="M40" s="52">
        <f t="shared" si="1"/>
        <v>8.134770969220986E-3</v>
      </c>
      <c r="N40" s="52">
        <f t="shared" si="2"/>
        <v>9.7617251630651825E-2</v>
      </c>
      <c r="O40" s="6"/>
      <c r="P40" s="8"/>
      <c r="Q40" s="4"/>
      <c r="R40" s="5"/>
      <c r="S40" s="5"/>
    </row>
    <row r="41" spans="1:19" customFormat="1" x14ac:dyDescent="0.25">
      <c r="A41" s="8">
        <v>43224.419444444444</v>
      </c>
      <c r="B41" s="12">
        <v>5</v>
      </c>
      <c r="C41" s="18">
        <v>2018</v>
      </c>
      <c r="D41" s="12" t="s">
        <v>2</v>
      </c>
      <c r="E41" s="6">
        <v>2.0288799999999998E-3</v>
      </c>
      <c r="F41" s="6">
        <v>2.0302499999999999E-3</v>
      </c>
      <c r="G41" s="6">
        <v>1.37E-6</v>
      </c>
      <c r="H41" s="72">
        <f>Tabela1[[#This Row],[Posterior]]*VLOOKUP(Tabela1[[#This Row],[Data ]],Tabela25[],2)</f>
        <v>19.81402185</v>
      </c>
      <c r="I41" s="73">
        <f>Tabela1[[#This Row],[Posterior]]*VLOOKUP(Tabela1[[#This Row],[Data ]],Tabela25[],4)</f>
        <v>69.345219</v>
      </c>
      <c r="J41" s="73">
        <f>IF(Tabela1[[#This Row],[Tipo]]="Depósito (BTC)","N/A",Tabela1[[#This Row],[Variação]]*VLOOKUP(Tabela1[[#This Row],[Data ]],Tabela25[],4))</f>
        <v>4.6793719999999997E-2</v>
      </c>
      <c r="K41" s="74">
        <f>IF(Tabela1[[#This Row],[Tipo]]="Depósito (BTC)","N/A",Tabela1[[#This Row],[Variação]]*VLOOKUP(Tabela1[[#This Row],[Data ]],Tabela25[],2))</f>
        <v>1.3370378E-2</v>
      </c>
      <c r="L41" s="75">
        <f t="shared" si="0"/>
        <v>6.7524939868301732E-4</v>
      </c>
      <c r="M41" s="3">
        <f t="shared" si="1"/>
        <v>2.0257481960490521E-2</v>
      </c>
      <c r="N41" s="3">
        <f t="shared" si="2"/>
        <v>0.24308978352588625</v>
      </c>
      <c r="O41" s="6"/>
      <c r="P41" s="8"/>
      <c r="Q41" s="4"/>
      <c r="R41" s="5"/>
      <c r="S41" s="5"/>
    </row>
    <row r="42" spans="1:19" customFormat="1" x14ac:dyDescent="0.25">
      <c r="A42" s="25">
        <v>43225.419444444444</v>
      </c>
      <c r="B42" s="12">
        <v>5</v>
      </c>
      <c r="C42" s="18">
        <v>2018</v>
      </c>
      <c r="D42" s="9" t="s">
        <v>2</v>
      </c>
      <c r="E42" s="9">
        <v>2.0302499999999999E-3</v>
      </c>
      <c r="F42" s="9">
        <v>2.03162E-3</v>
      </c>
      <c r="G42" s="9">
        <v>1.37E-6</v>
      </c>
      <c r="H42" s="72">
        <f>Tabela1[[#This Row],[Posterior]]*VLOOKUP(Tabela1[[#This Row],[Data ]],Tabela25[],2)</f>
        <v>20.265003176</v>
      </c>
      <c r="I42" s="73">
        <f>Tabela1[[#This Row],[Posterior]]*VLOOKUP(Tabela1[[#This Row],[Data ]],Tabela25[],4)</f>
        <v>71.309861999999995</v>
      </c>
      <c r="J42" s="73">
        <f>IF(Tabela1[[#This Row],[Tipo]]="Depósito (BTC)","N/A",Tabela1[[#This Row],[Variação]]*VLOOKUP(Tabela1[[#This Row],[Data ]],Tabela25[],4))</f>
        <v>4.8086999999999998E-2</v>
      </c>
      <c r="K42" s="74">
        <f>IF(Tabela1[[#This Row],[Tipo]]="Depósito (BTC)","N/A",Tabela1[[#This Row],[Variação]]*VLOOKUP(Tabela1[[#This Row],[Data ]],Tabela25[],2))</f>
        <v>1.3665475999999999E-2</v>
      </c>
      <c r="L42" s="75">
        <f t="shared" si="0"/>
        <v>6.747937446127324E-4</v>
      </c>
      <c r="M42" s="94">
        <f t="shared" si="1"/>
        <v>2.0243812338381972E-2</v>
      </c>
      <c r="N42" s="3">
        <f t="shared" si="2"/>
        <v>0.24292574806058365</v>
      </c>
      <c r="O42" s="6"/>
      <c r="P42" s="8"/>
      <c r="Q42" s="4"/>
      <c r="R42" s="5"/>
      <c r="S42" s="5"/>
    </row>
    <row r="43" spans="1:19" customFormat="1" x14ac:dyDescent="0.25">
      <c r="A43" s="8">
        <v>43226.419444444444</v>
      </c>
      <c r="B43" s="12">
        <v>5</v>
      </c>
      <c r="C43" s="18">
        <v>2018</v>
      </c>
      <c r="D43" s="12" t="s">
        <v>2</v>
      </c>
      <c r="E43" s="6">
        <v>2.03162E-3</v>
      </c>
      <c r="F43" s="6">
        <v>2.0329900000000001E-3</v>
      </c>
      <c r="G43" s="6">
        <v>1.37E-6</v>
      </c>
      <c r="H43" s="72">
        <f>Tabela1[[#This Row],[Posterior]]*VLOOKUP(Tabela1[[#This Row],[Data ]],Tabela25[],2)</f>
        <v>19.507555545000002</v>
      </c>
      <c r="I43" s="73">
        <f>Tabela1[[#This Row],[Posterior]]*VLOOKUP(Tabela1[[#This Row],[Data ]],Tabela25[],4)</f>
        <v>68.918361000000004</v>
      </c>
      <c r="J43" s="73">
        <f>IF(Tabela1[[#This Row],[Tipo]]="Depósito (BTC)","N/A",Tabela1[[#This Row],[Variação]]*VLOOKUP(Tabela1[[#This Row],[Data ]],Tabela25[],4))</f>
        <v>4.6442999999999998E-2</v>
      </c>
      <c r="K43" s="74">
        <f>IF(Tabela1[[#This Row],[Tipo]]="Depósito (BTC)","N/A",Tabela1[[#This Row],[Variação]]*VLOOKUP(Tabela1[[#This Row],[Data ]],Tabela25[],2))</f>
        <v>1.3145835E-2</v>
      </c>
      <c r="L43" s="75">
        <f t="shared" si="0"/>
        <v>6.7433870507279899E-4</v>
      </c>
      <c r="M43" s="3">
        <f t="shared" si="1"/>
        <v>2.023016115218397E-2</v>
      </c>
      <c r="N43" s="94">
        <f t="shared" si="2"/>
        <v>0.24276193382620764</v>
      </c>
      <c r="O43" s="6"/>
      <c r="P43" s="8"/>
      <c r="Q43" s="4"/>
      <c r="R43" s="5"/>
      <c r="S43" s="4"/>
    </row>
    <row r="44" spans="1:19" customFormat="1" x14ac:dyDescent="0.25">
      <c r="A44" s="8">
        <v>43227.419444444444</v>
      </c>
      <c r="B44" s="12">
        <v>5</v>
      </c>
      <c r="C44" s="12">
        <v>2018</v>
      </c>
      <c r="D44" s="12" t="s">
        <v>2</v>
      </c>
      <c r="E44" s="6">
        <v>2.0329900000000001E-3</v>
      </c>
      <c r="F44" s="6">
        <v>2.0336299999999998E-3</v>
      </c>
      <c r="G44" s="6">
        <v>6.4000000000000001E-7</v>
      </c>
      <c r="H44" s="72">
        <f>Tabela1[[#This Row],[Posterior]]*VLOOKUP(Tabela1[[#This Row],[Data ]],Tabela25[],2)</f>
        <v>18.914995992999998</v>
      </c>
      <c r="I44" s="73">
        <f>Tabela1[[#This Row],[Posterior]]*VLOOKUP(Tabela1[[#This Row],[Data ]],Tabela25[],4)</f>
        <v>67.963914599999995</v>
      </c>
      <c r="J44" s="73">
        <f>IF(Tabela1[[#This Row],[Tipo]]="Depósito (BTC)","N/A",Tabela1[[#This Row],[Variação]]*VLOOKUP(Tabela1[[#This Row],[Data ]],Tabela25[],4))</f>
        <v>2.1388799999999999E-2</v>
      </c>
      <c r="K44" s="74">
        <f>IF(Tabela1[[#This Row],[Tipo]]="Depósito (BTC)","N/A",Tabela1[[#This Row],[Variação]]*VLOOKUP(Tabela1[[#This Row],[Data ]],Tabela25[],2))</f>
        <v>5.9527040000000005E-3</v>
      </c>
      <c r="L44" s="75">
        <f t="shared" si="0"/>
        <v>3.1480725433966718E-4</v>
      </c>
      <c r="M44" s="3">
        <f t="shared" si="1"/>
        <v>9.444217630190016E-3</v>
      </c>
      <c r="N44" s="3">
        <f t="shared" si="2"/>
        <v>0.11333061156228019</v>
      </c>
      <c r="O44" s="19"/>
      <c r="P44" s="8"/>
      <c r="Q44" s="4"/>
      <c r="R44" s="5"/>
      <c r="S44" s="5"/>
    </row>
    <row r="45" spans="1:19" customFormat="1" x14ac:dyDescent="0.25">
      <c r="A45" s="8">
        <v>43228.419444444444</v>
      </c>
      <c r="B45" s="12">
        <v>5</v>
      </c>
      <c r="C45" s="12">
        <v>2018</v>
      </c>
      <c r="D45" s="12" t="s">
        <v>2</v>
      </c>
      <c r="E45" s="6">
        <v>2.0336299999999998E-3</v>
      </c>
      <c r="F45" s="6">
        <v>2.0342699999999999E-3</v>
      </c>
      <c r="G45" s="6">
        <v>6.4000000000000001E-7</v>
      </c>
      <c r="H45" s="72">
        <f>Tabela1[[#This Row],[Posterior]]*VLOOKUP(Tabela1[[#This Row],[Data ]],Tabela25[],2)</f>
        <v>18.567595997999998</v>
      </c>
      <c r="I45" s="73">
        <f>Tabela1[[#This Row],[Posterior]]*VLOOKUP(Tabela1[[#This Row],[Data ]],Tabela25[],4)</f>
        <v>68.141942189999995</v>
      </c>
      <c r="J45" s="73">
        <f>IF(Tabela1[[#This Row],[Tipo]]="Depósito (BTC)","N/A",Tabela1[[#This Row],[Variação]]*VLOOKUP(Tabela1[[#This Row],[Data ]],Tabela25[],4))</f>
        <v>2.1438080000000002E-2</v>
      </c>
      <c r="K45" s="74">
        <f>IF(Tabela1[[#This Row],[Tipo]]="Depósito (BTC)","N/A",Tabela1[[#This Row],[Variação]]*VLOOKUP(Tabela1[[#This Row],[Data ]],Tabela25[],2))</f>
        <v>5.8415359999999996E-3</v>
      </c>
      <c r="L45" s="75">
        <f t="shared" ref="L45:L50" si="3">G45/E45</f>
        <v>3.1470818192099847E-4</v>
      </c>
      <c r="M45" s="3">
        <f t="shared" ref="M45:M50" si="4">L45*30</f>
        <v>9.4412454576299539E-3</v>
      </c>
      <c r="N45" s="3">
        <f t="shared" ref="N45:N50" si="5">M45*12</f>
        <v>0.11329494549155944</v>
      </c>
      <c r="O45" s="6"/>
      <c r="P45" s="5"/>
      <c r="Q45" s="4"/>
      <c r="R45" s="5"/>
      <c r="S45" s="5"/>
    </row>
    <row r="46" spans="1:19" customFormat="1" x14ac:dyDescent="0.25">
      <c r="A46" s="8">
        <v>43229.419444444444</v>
      </c>
      <c r="B46" s="12">
        <v>5</v>
      </c>
      <c r="C46" s="12">
        <v>2018</v>
      </c>
      <c r="D46" s="12" t="s">
        <v>2</v>
      </c>
      <c r="E46" s="6">
        <v>2.0342699999999999E-3</v>
      </c>
      <c r="F46" s="6">
        <v>2.0349999999999999E-3</v>
      </c>
      <c r="G46" s="6">
        <v>7.3E-7</v>
      </c>
      <c r="H46" s="72">
        <f>Tabela1[[#This Row],[Posterior]]*VLOOKUP(Tabela1[[#This Row],[Data ]],Tabela25[],2)</f>
        <v>18.874421499999997</v>
      </c>
      <c r="I46" s="73">
        <f>Tabela1[[#This Row],[Posterior]]*VLOOKUP(Tabela1[[#This Row],[Data ]],Tabela25[],4)</f>
        <v>68.47775</v>
      </c>
      <c r="J46" s="73">
        <f>IF(Tabela1[[#This Row],[Tipo]]="Depósito (BTC)","N/A",Tabela1[[#This Row],[Variação]]*VLOOKUP(Tabela1[[#This Row],[Data ]],Tabela25[],4))</f>
        <v>2.45645E-2</v>
      </c>
      <c r="K46" s="74">
        <f>IF(Tabela1[[#This Row],[Tipo]]="Depósito (BTC)","N/A",Tabela1[[#This Row],[Variação]]*VLOOKUP(Tabela1[[#This Row],[Data ]],Tabela25[],2))</f>
        <v>6.7706770000000001E-3</v>
      </c>
      <c r="L46" s="75">
        <f t="shared" si="3"/>
        <v>3.5885108663058496E-4</v>
      </c>
      <c r="M46" s="3">
        <f t="shared" si="4"/>
        <v>1.0765532598917549E-2</v>
      </c>
      <c r="N46" s="3">
        <f t="shared" si="5"/>
        <v>0.12918639118701059</v>
      </c>
      <c r="O46" s="6"/>
      <c r="P46" s="8"/>
      <c r="Q46" s="4"/>
      <c r="R46" s="5"/>
      <c r="S46" s="5"/>
    </row>
    <row r="47" spans="1:19" customFormat="1" x14ac:dyDescent="0.25">
      <c r="A47" s="8">
        <v>43230.419444444444</v>
      </c>
      <c r="B47" s="12">
        <v>5</v>
      </c>
      <c r="C47" s="12">
        <v>2018</v>
      </c>
      <c r="D47" s="12" t="s">
        <v>2</v>
      </c>
      <c r="E47" s="6">
        <v>2.0349999999999999E-3</v>
      </c>
      <c r="F47" s="6">
        <v>2.0355500000000001E-3</v>
      </c>
      <c r="G47" s="6">
        <v>5.5000000000000003E-7</v>
      </c>
      <c r="H47" s="72">
        <f>Tabela1[[#This Row],[Posterior]]*VLOOKUP(Tabela1[[#This Row],[Data ]],Tabela25[],2)</f>
        <v>19.093459000000003</v>
      </c>
      <c r="I47" s="73">
        <f>Tabela1[[#This Row],[Posterior]]*VLOOKUP(Tabela1[[#This Row],[Data ]],Tabela25[],4)</f>
        <v>69.206664450000005</v>
      </c>
      <c r="J47" s="73">
        <f>IF(Tabela1[[#This Row],[Tipo]]="Depósito (BTC)","N/A",Tabela1[[#This Row],[Variação]]*VLOOKUP(Tabela1[[#This Row],[Data ]],Tabela25[],4))</f>
        <v>1.8699449999999999E-2</v>
      </c>
      <c r="K47" s="74">
        <f>IF(Tabela1[[#This Row],[Tipo]]="Depósito (BTC)","N/A",Tabela1[[#This Row],[Variação]]*VLOOKUP(Tabela1[[#This Row],[Data ]],Tabela25[],2))</f>
        <v>5.1590000000000004E-3</v>
      </c>
      <c r="L47" s="75">
        <f t="shared" si="3"/>
        <v>2.7027027027027027E-4</v>
      </c>
      <c r="M47" s="3">
        <f t="shared" si="4"/>
        <v>8.1081081081081086E-3</v>
      </c>
      <c r="N47" s="3">
        <f t="shared" si="5"/>
        <v>9.7297297297297303E-2</v>
      </c>
      <c r="O47" s="6"/>
      <c r="P47" s="8"/>
      <c r="Q47" s="4"/>
      <c r="R47" s="5"/>
      <c r="S47" s="5"/>
    </row>
    <row r="48" spans="1:19" customFormat="1" x14ac:dyDescent="0.25">
      <c r="A48" s="8">
        <v>43231.419444444444</v>
      </c>
      <c r="B48" s="12">
        <v>5</v>
      </c>
      <c r="C48" s="12">
        <v>2018</v>
      </c>
      <c r="D48" s="12" t="s">
        <v>2</v>
      </c>
      <c r="E48" s="6">
        <v>2.0355500000000001E-3</v>
      </c>
      <c r="F48" s="6">
        <v>2.0399300000000001E-3</v>
      </c>
      <c r="G48" s="6">
        <v>4.3800000000000004E-6</v>
      </c>
      <c r="H48" s="72">
        <f>Tabela1[[#This Row],[Posterior]]*VLOOKUP(Tabela1[[#This Row],[Data ]],Tabela25[],2)</f>
        <v>17.155199321000001</v>
      </c>
      <c r="I48" s="73">
        <f>Tabela1[[#This Row],[Posterior]]*VLOOKUP(Tabela1[[#This Row],[Data ]],Tabela25[],4)</f>
        <v>63.460182370000005</v>
      </c>
      <c r="J48" s="73">
        <f>IF(Tabela1[[#This Row],[Tipo]]="Depósito (BTC)","N/A",Tabela1[[#This Row],[Variação]]*VLOOKUP(Tabela1[[#This Row],[Data ]],Tabela25[],4))</f>
        <v>0.13625742000000002</v>
      </c>
      <c r="K48" s="74">
        <f>IF(Tabela1[[#This Row],[Tipo]]="Depósito (BTC)","N/A",Tabela1[[#This Row],[Variação]]*VLOOKUP(Tabela1[[#This Row],[Data ]],Tabela25[],2))</f>
        <v>3.6834486000000007E-2</v>
      </c>
      <c r="L48" s="75">
        <f t="shared" si="3"/>
        <v>2.1517525975780502E-3</v>
      </c>
      <c r="M48" s="3">
        <f t="shared" si="4"/>
        <v>6.4552577927341509E-2</v>
      </c>
      <c r="N48" s="3">
        <f t="shared" si="5"/>
        <v>0.77463093512809811</v>
      </c>
      <c r="O48" s="6"/>
      <c r="P48" s="8"/>
      <c r="Q48" s="4"/>
      <c r="R48" s="5"/>
      <c r="S48" s="5"/>
    </row>
    <row r="49" spans="1:14" customFormat="1" x14ac:dyDescent="0.25">
      <c r="A49" s="8">
        <v>43232.419444444444</v>
      </c>
      <c r="B49" s="12">
        <v>5</v>
      </c>
      <c r="C49" s="12">
        <v>2018</v>
      </c>
      <c r="D49" s="12" t="s">
        <v>2</v>
      </c>
      <c r="E49" s="6">
        <v>2.0399300000000001E-3</v>
      </c>
      <c r="F49" s="6">
        <v>2.04938E-3</v>
      </c>
      <c r="G49" s="6">
        <v>9.4499999999999993E-6</v>
      </c>
      <c r="H49" s="72">
        <f>Tabela1[[#This Row],[Posterior]]*VLOOKUP(Tabela1[[#This Row],[Data ]],Tabela25[],2)</f>
        <v>17.165197003999999</v>
      </c>
      <c r="I49" s="73">
        <f>Tabela1[[#This Row],[Posterior]]*VLOOKUP(Tabela1[[#This Row],[Data ]],Tabela25[],4)</f>
        <v>65.065765619999993</v>
      </c>
      <c r="J49" s="73">
        <f>IF(Tabela1[[#This Row],[Tipo]]="Depósito (BTC)","N/A",Tabela1[[#This Row],[Variação]]*VLOOKUP(Tabela1[[#This Row],[Data ]],Tabela25[],4))</f>
        <v>0.30002804999999999</v>
      </c>
      <c r="K49" s="74">
        <f>IF(Tabela1[[#This Row],[Tipo]]="Depósito (BTC)","N/A",Tabela1[[#This Row],[Variação]]*VLOOKUP(Tabela1[[#This Row],[Data ]],Tabela25[],2))</f>
        <v>7.9151309999999989E-2</v>
      </c>
      <c r="L49" s="75">
        <f t="shared" si="3"/>
        <v>4.6325118999181337E-3</v>
      </c>
      <c r="M49" s="3">
        <f t="shared" si="4"/>
        <v>0.13897535699754401</v>
      </c>
      <c r="N49" s="3">
        <f t="shared" si="5"/>
        <v>1.6677042839705281</v>
      </c>
    </row>
    <row r="50" spans="1:14" customFormat="1" x14ac:dyDescent="0.25">
      <c r="A50" s="8">
        <v>43233.419444444444</v>
      </c>
      <c r="B50" s="12">
        <v>5</v>
      </c>
      <c r="C50" s="12">
        <v>2018</v>
      </c>
      <c r="D50" s="12" t="s">
        <v>2</v>
      </c>
      <c r="E50" s="6">
        <v>2.04938E-3</v>
      </c>
      <c r="F50" s="6">
        <v>2.0509399999999998E-3</v>
      </c>
      <c r="G50" s="6">
        <v>1.5600000000000001E-6</v>
      </c>
      <c r="H50" s="72">
        <f>Tabela1[[#This Row],[Posterior]]*VLOOKUP(Tabela1[[#This Row],[Data ]],Tabela25[],2)</f>
        <v>17.650594733999998</v>
      </c>
      <c r="I50" s="73">
        <f>Tabela1[[#This Row],[Posterior]]*VLOOKUP(Tabela1[[#This Row],[Data ]],Tabela25[],4)</f>
        <v>66.448405059999999</v>
      </c>
      <c r="J50" s="73">
        <f>IF(Tabela1[[#This Row],[Tipo]]="Depósito (BTC)","N/A",Tabela1[[#This Row],[Variação]]*VLOOKUP(Tabela1[[#This Row],[Data ]],Tabela25[],4))</f>
        <v>5.0542440000000001E-2</v>
      </c>
      <c r="K50" s="74">
        <f>IF(Tabela1[[#This Row],[Tipo]]="Depósito (BTC)","N/A",Tabela1[[#This Row],[Variação]]*VLOOKUP(Tabela1[[#This Row],[Data ]],Tabela25[],2))</f>
        <v>1.3425516000000002E-2</v>
      </c>
      <c r="L50" s="75">
        <f t="shared" si="3"/>
        <v>7.6120582810410963E-4</v>
      </c>
      <c r="M50" s="3">
        <f t="shared" si="4"/>
        <v>2.2836174843123287E-2</v>
      </c>
      <c r="N50" s="3">
        <f t="shared" si="5"/>
        <v>0.27403409811747947</v>
      </c>
    </row>
    <row r="51" spans="1:14" customFormat="1" x14ac:dyDescent="0.25">
      <c r="A51" s="8">
        <v>43234.419444444444</v>
      </c>
      <c r="B51" s="12">
        <v>5</v>
      </c>
      <c r="C51" s="12">
        <v>2018</v>
      </c>
      <c r="D51" s="12" t="s">
        <v>2</v>
      </c>
      <c r="E51" s="6">
        <v>2.0509399999999998E-3</v>
      </c>
      <c r="F51" s="6">
        <v>2.0528199999999999E-3</v>
      </c>
      <c r="G51" s="6">
        <v>1.88E-6</v>
      </c>
      <c r="H51" s="72">
        <f>Tabela1[[#This Row],[Posterior]]*VLOOKUP(Tabela1[[#This Row],[Data ]],Tabela25[],2)</f>
        <v>17.957864078</v>
      </c>
      <c r="I51" s="80">
        <f>Tabela1[[#This Row],[Posterior]]*VLOOKUP(Tabela1[[#This Row],[Data ]],Tabela25[],4)</f>
        <v>66.408726999999999</v>
      </c>
      <c r="J51" s="80">
        <f>IF(Tabela1[[#This Row],[Tipo]]="Depósito (BTC)","N/A",Tabela1[[#This Row],[Variação]]*VLOOKUP(Tabela1[[#This Row],[Data ]],Tabela25[],4))</f>
        <v>6.0817999999999997E-2</v>
      </c>
      <c r="K51" s="101">
        <f>IF(Tabela1[[#This Row],[Tipo]]="Depósito (BTC)","N/A",Tabela1[[#This Row],[Variação]]*VLOOKUP(Tabela1[[#This Row],[Data ]],Tabela25[],2))</f>
        <v>1.6446051999999999E-2</v>
      </c>
      <c r="L51" s="81">
        <f t="shared" ref="L51:L56" si="6">G51/E51</f>
        <v>9.1665285186304821E-4</v>
      </c>
      <c r="M51" s="3">
        <f t="shared" ref="M51:M56" si="7">L51*30</f>
        <v>2.7499585555891447E-2</v>
      </c>
      <c r="N51" s="3">
        <f t="shared" ref="N51:N56" si="8">M51*12</f>
        <v>0.32999502667069736</v>
      </c>
    </row>
    <row r="52" spans="1:14" customFormat="1" x14ac:dyDescent="0.25">
      <c r="A52" s="8">
        <v>43235.419444444444</v>
      </c>
      <c r="B52" s="12">
        <v>5</v>
      </c>
      <c r="C52" s="12">
        <v>2018</v>
      </c>
      <c r="D52" s="12" t="s">
        <v>2</v>
      </c>
      <c r="E52" s="6">
        <v>2.0528199999999999E-3</v>
      </c>
      <c r="F52" s="6">
        <v>2.0542099999999999E-3</v>
      </c>
      <c r="G52" s="6">
        <v>1.39E-6</v>
      </c>
      <c r="H52" s="72">
        <f>Tabela1[[#This Row],[Posterior]]*VLOOKUP(Tabela1[[#This Row],[Data ]],Tabela25[],2)</f>
        <v>17.410046012999999</v>
      </c>
      <c r="I52" s="80">
        <f>Tabela1[[#This Row],[Posterior]]*VLOOKUP(Tabela1[[#This Row],[Data ]],Tabela25[],4)</f>
        <v>65.837430499999996</v>
      </c>
      <c r="J52" s="80">
        <f>IF(Tabela1[[#This Row],[Tipo]]="Depósito (BTC)","N/A",Tabela1[[#This Row],[Variação]]*VLOOKUP(Tabela1[[#This Row],[Data ]],Tabela25[],4))</f>
        <v>4.4549499999999999E-2</v>
      </c>
      <c r="K52" s="101">
        <f>IF(Tabela1[[#This Row],[Tipo]]="Depósito (BTC)","N/A",Tabela1[[#This Row],[Variação]]*VLOOKUP(Tabela1[[#This Row],[Data ]],Tabela25[],2))</f>
        <v>1.1780667E-2</v>
      </c>
      <c r="L52" s="81">
        <f t="shared" si="6"/>
        <v>6.7711733128087218E-4</v>
      </c>
      <c r="M52" s="3">
        <f t="shared" si="7"/>
        <v>2.0313519938426165E-2</v>
      </c>
      <c r="N52" s="3">
        <f t="shared" si="8"/>
        <v>0.24376223926111398</v>
      </c>
    </row>
    <row r="53" spans="1:14" customFormat="1" x14ac:dyDescent="0.25">
      <c r="A53" s="8">
        <v>43236.419444444444</v>
      </c>
      <c r="B53" s="12">
        <v>5</v>
      </c>
      <c r="C53" s="12">
        <v>2018</v>
      </c>
      <c r="D53" s="12" t="s">
        <v>2</v>
      </c>
      <c r="E53" s="6">
        <v>2.0542099999999999E-3</v>
      </c>
      <c r="F53" s="6">
        <v>2.0564300000000002E-3</v>
      </c>
      <c r="G53" s="6">
        <v>2.2199999999999999E-6</v>
      </c>
      <c r="H53" s="72">
        <f>Tabela1[[#This Row],[Posterior]]*VLOOKUP(Tabela1[[#This Row],[Data ]],Tabela25[],2)</f>
        <v>17.019014680000002</v>
      </c>
      <c r="I53" s="73">
        <f>Tabela1[[#This Row],[Posterior]]*VLOOKUP(Tabela1[[#This Row],[Data ]],Tabela25[],4)</f>
        <v>64.119487400000011</v>
      </c>
      <c r="J53" s="73">
        <f>IF(Tabela1[[#This Row],[Tipo]]="Depósito (BTC)","N/A",Tabela1[[#This Row],[Variação]]*VLOOKUP(Tabela1[[#This Row],[Data ]],Tabela25[],4))</f>
        <v>6.9219599999999992E-2</v>
      </c>
      <c r="K53" s="74">
        <f>IF(Tabela1[[#This Row],[Tipo]]="Depósito (BTC)","N/A",Tabela1[[#This Row],[Variação]]*VLOOKUP(Tabela1[[#This Row],[Data ]],Tabela25[],2))</f>
        <v>1.8372719999999999E-2</v>
      </c>
      <c r="L53" s="75">
        <f t="shared" si="6"/>
        <v>1.0807074252388996E-3</v>
      </c>
      <c r="M53" s="3">
        <f t="shared" si="7"/>
        <v>3.2421222757166988E-2</v>
      </c>
      <c r="N53" s="3">
        <f t="shared" si="8"/>
        <v>0.38905467308600383</v>
      </c>
    </row>
    <row r="54" spans="1:14" customFormat="1" x14ac:dyDescent="0.25">
      <c r="A54" s="8">
        <v>43237.419444444444</v>
      </c>
      <c r="B54" s="12">
        <v>5</v>
      </c>
      <c r="C54" s="12">
        <v>2018</v>
      </c>
      <c r="D54" s="12" t="s">
        <v>2</v>
      </c>
      <c r="E54" s="6">
        <v>2.0564300000000002E-3</v>
      </c>
      <c r="F54" s="6">
        <v>2.05806E-3</v>
      </c>
      <c r="G54" s="6">
        <v>1.6300000000000001E-6</v>
      </c>
      <c r="H54" s="72">
        <f>Tabela1[[#This Row],[Posterior]]*VLOOKUP(Tabela1[[#This Row],[Data ]],Tabela25[],2)</f>
        <v>16.467361283999999</v>
      </c>
      <c r="I54" s="73">
        <f>Tabela1[[#This Row],[Posterior]]*VLOOKUP(Tabela1[[#This Row],[Data ]],Tabela25[],4)</f>
        <v>62.530036979999998</v>
      </c>
      <c r="J54" s="73">
        <f>IF(Tabela1[[#This Row],[Tipo]]="Depósito (BTC)","N/A",Tabela1[[#This Row],[Variação]]*VLOOKUP(Tabela1[[#This Row],[Data ]],Tabela25[],4))</f>
        <v>4.9524289999999999E-2</v>
      </c>
      <c r="K54" s="74">
        <f>IF(Tabela1[[#This Row],[Tipo]]="Depósito (BTC)","N/A",Tabela1[[#This Row],[Variação]]*VLOOKUP(Tabela1[[#This Row],[Data ]],Tabela25[],2))</f>
        <v>1.3042282000000001E-2</v>
      </c>
      <c r="L54" s="75">
        <f t="shared" si="6"/>
        <v>7.9263578142703612E-4</v>
      </c>
      <c r="M54" s="3">
        <f t="shared" si="7"/>
        <v>2.3779073442811084E-2</v>
      </c>
      <c r="N54" s="3">
        <f t="shared" si="8"/>
        <v>0.28534888131373304</v>
      </c>
    </row>
    <row r="55" spans="1:14" customFormat="1" x14ac:dyDescent="0.25">
      <c r="A55" s="8">
        <v>43238.419444444444</v>
      </c>
      <c r="B55" s="12">
        <v>5</v>
      </c>
      <c r="C55" s="12">
        <v>2018</v>
      </c>
      <c r="D55" s="12" t="s">
        <v>2</v>
      </c>
      <c r="E55" s="6">
        <v>2.05806E-3</v>
      </c>
      <c r="F55" s="6">
        <v>2.0596899999999999E-3</v>
      </c>
      <c r="G55" s="6">
        <v>1.6300000000000001E-6</v>
      </c>
      <c r="H55" s="72">
        <f>Tabela1[[#This Row],[Posterior]]*VLOOKUP(Tabela1[[#This Row],[Data ]],Tabela25[],2)</f>
        <v>16.620668455000001</v>
      </c>
      <c r="I55" s="73">
        <f>Tabela1[[#This Row],[Posterior]]*VLOOKUP(Tabela1[[#This Row],[Data ]],Tabela25[],4)</f>
        <v>62.923529499999994</v>
      </c>
      <c r="J55" s="73">
        <f>IF(Tabela1[[#This Row],[Tipo]]="Depósito (BTC)","N/A",Tabela1[[#This Row],[Variação]]*VLOOKUP(Tabela1[[#This Row],[Data ]],Tabela25[],4))</f>
        <v>4.97965E-2</v>
      </c>
      <c r="K55" s="74">
        <f>IF(Tabela1[[#This Row],[Tipo]]="Depósito (BTC)","N/A",Tabela1[[#This Row],[Variação]]*VLOOKUP(Tabela1[[#This Row],[Data ]],Tabela25[],2))</f>
        <v>1.3153285000000001E-2</v>
      </c>
      <c r="L55" s="75">
        <f t="shared" si="6"/>
        <v>7.9200800754108242E-4</v>
      </c>
      <c r="M55" s="3">
        <f t="shared" si="7"/>
        <v>2.3760240226232472E-2</v>
      </c>
      <c r="N55" s="3">
        <f t="shared" si="8"/>
        <v>0.28512288271478969</v>
      </c>
    </row>
    <row r="56" spans="1:14" customFormat="1" x14ac:dyDescent="0.25">
      <c r="A56" s="8">
        <v>43239.419444444444</v>
      </c>
      <c r="B56" s="12">
        <v>5</v>
      </c>
      <c r="C56" s="12">
        <v>2018</v>
      </c>
      <c r="D56" s="12" t="s">
        <v>2</v>
      </c>
      <c r="E56" s="6">
        <v>2.0596899999999999E-3</v>
      </c>
      <c r="F56" s="6">
        <v>2.0616800000000002E-3</v>
      </c>
      <c r="G56" s="6">
        <v>1.99E-6</v>
      </c>
      <c r="H56" s="72">
        <f>Tabela1[[#This Row],[Posterior]]*VLOOKUP(Tabela1[[#This Row],[Data ]],Tabela25[],2)</f>
        <v>17.135240983999999</v>
      </c>
      <c r="I56" s="73">
        <f>Tabela1[[#This Row],[Posterior]]*VLOOKUP(Tabela1[[#This Row],[Data ]],Tabela25[],4)</f>
        <v>65.458340000000007</v>
      </c>
      <c r="J56" s="73">
        <f>IF(Tabela1[[#This Row],[Tipo]]="Depósito (BTC)","N/A",Tabela1[[#This Row],[Variação]]*VLOOKUP(Tabela1[[#This Row],[Data ]],Tabela25[],4))</f>
        <v>6.3182500000000003E-2</v>
      </c>
      <c r="K56" s="74">
        <f>IF(Tabela1[[#This Row],[Tipo]]="Depósito (BTC)","N/A",Tabela1[[#This Row],[Variação]]*VLOOKUP(Tabela1[[#This Row],[Data ]],Tabela25[],2))</f>
        <v>1.6539486999999999E-2</v>
      </c>
      <c r="L56" s="75">
        <f t="shared" si="6"/>
        <v>9.6616481120945393E-4</v>
      </c>
      <c r="M56" s="3">
        <f t="shared" si="7"/>
        <v>2.8984944336283618E-2</v>
      </c>
      <c r="N56" s="3">
        <f t="shared" si="8"/>
        <v>0.34781933203540338</v>
      </c>
    </row>
    <row r="57" spans="1:14" x14ac:dyDescent="0.25">
      <c r="A57" s="8">
        <v>43240.419444444444</v>
      </c>
      <c r="B57" s="12">
        <v>5</v>
      </c>
      <c r="C57" s="12">
        <v>2018</v>
      </c>
      <c r="D57" s="12" t="s">
        <v>2</v>
      </c>
      <c r="E57" s="6">
        <v>2.0616800000000002E-3</v>
      </c>
      <c r="F57" s="6">
        <v>2.0637400000000001E-3</v>
      </c>
      <c r="G57" s="6">
        <v>2.0600000000000002E-6</v>
      </c>
      <c r="H57" s="72">
        <f>Tabela1[[#This Row],[Posterior]]*VLOOKUP(Tabela1[[#This Row],[Data ]],Tabela25[],2)</f>
        <v>17.525692828000004</v>
      </c>
      <c r="I57" s="73">
        <f>Tabela1[[#This Row],[Posterior]]*VLOOKUP(Tabela1[[#This Row],[Data ]],Tabela25[],4)</f>
        <v>65.833306000000007</v>
      </c>
      <c r="J57" s="73">
        <f>IF(Tabela1[[#This Row],[Tipo]]="Depósito (BTC)","N/A",Tabela1[[#This Row],[Variação]]*VLOOKUP(Tabela1[[#This Row],[Data ]],Tabela25[],4))</f>
        <v>6.5714000000000009E-2</v>
      </c>
      <c r="K57" s="74">
        <f>IF(Tabela1[[#This Row],[Tipo]]="Depósito (BTC)","N/A",Tabela1[[#This Row],[Variação]]*VLOOKUP(Tabela1[[#This Row],[Data ]],Tabela25[],2))</f>
        <v>1.7493932000000004E-2</v>
      </c>
      <c r="L57" s="75">
        <f>G57/E57</f>
        <v>9.9918513057312489E-4</v>
      </c>
      <c r="M57" s="3">
        <f>L57*30</f>
        <v>2.9975553917193747E-2</v>
      </c>
      <c r="N57" s="3">
        <f>M57*12</f>
        <v>0.35970664700632493</v>
      </c>
    </row>
    <row r="58" spans="1:14" x14ac:dyDescent="0.25">
      <c r="A58" s="8">
        <v>43241.419444444444</v>
      </c>
      <c r="B58" s="12">
        <v>5</v>
      </c>
      <c r="C58" s="12">
        <v>2018</v>
      </c>
      <c r="D58" s="12" t="s">
        <v>2</v>
      </c>
      <c r="E58" s="6">
        <v>2.0637400000000001E-3</v>
      </c>
      <c r="F58" s="6">
        <v>2.0655000000000001E-3</v>
      </c>
      <c r="G58" s="6">
        <v>1.7600000000000001E-6</v>
      </c>
      <c r="H58" s="72">
        <f>Tabela1[[#This Row],[Posterior]]*VLOOKUP(Tabela1[[#This Row],[Data ]],Tabela25[],2)</f>
        <v>17.305998300000002</v>
      </c>
      <c r="I58" s="73">
        <f>Tabela1[[#This Row],[Posterior]]*VLOOKUP(Tabela1[[#This Row],[Data ]],Tabela25[],4)</f>
        <v>65.344158000000007</v>
      </c>
      <c r="J58" s="73">
        <f>IF(Tabela1[[#This Row],[Tipo]]="Depósito (BTC)","N/A",Tabela1[[#This Row],[Variação]]*VLOOKUP(Tabela1[[#This Row],[Data ]],Tabela25[],4))</f>
        <v>5.5679360000000004E-2</v>
      </c>
      <c r="K58" s="74">
        <f>IF(Tabela1[[#This Row],[Tipo]]="Depósito (BTC)","N/A",Tabela1[[#This Row],[Variação]]*VLOOKUP(Tabela1[[#This Row],[Data ]],Tabela25[],2))</f>
        <v>1.4746336000000002E-2</v>
      </c>
      <c r="L58" s="75">
        <f>G58/E58</f>
        <v>8.5282060724703695E-4</v>
      </c>
      <c r="M58" s="3">
        <f>L58*30</f>
        <v>2.558461821741111E-2</v>
      </c>
      <c r="N58" s="3">
        <f>M58*12</f>
        <v>0.30701541860893333</v>
      </c>
    </row>
  </sheetData>
  <mergeCells count="11">
    <mergeCell ref="M31:N31"/>
    <mergeCell ref="J31:L31"/>
    <mergeCell ref="I1:K1"/>
    <mergeCell ref="A5:E6"/>
    <mergeCell ref="A7:E8"/>
    <mergeCell ref="E31:F31"/>
    <mergeCell ref="H31:I31"/>
    <mergeCell ref="A9:E10"/>
    <mergeCell ref="D11:E12"/>
    <mergeCell ref="F5:G5"/>
    <mergeCell ref="A11:C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3:B37 L38 L33:L37 M33:M38 N33:N38" calculatedColum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Plan4!B:B</xm:f>
          </x14:formula1>
          <xm:sqref>L1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0" zoomScale="85" zoomScaleNormal="85" workbookViewId="0">
      <selection activeCell="I49" sqref="I49"/>
    </sheetView>
  </sheetViews>
  <sheetFormatPr defaultRowHeight="15" x14ac:dyDescent="0.25"/>
  <cols>
    <col min="1" max="1" width="15.85546875" style="8" bestFit="1" customWidth="1"/>
    <col min="2" max="2" width="67.85546875" bestFit="1" customWidth="1"/>
    <col min="3" max="3" width="7.85546875" style="11" customWidth="1"/>
    <col min="4" max="4" width="27.5703125" style="11" customWidth="1"/>
    <col min="5" max="5" width="11.7109375" style="13" bestFit="1" customWidth="1"/>
    <col min="6" max="6" width="11.7109375" style="93" customWidth="1"/>
    <col min="9" max="9" width="29.140625" bestFit="1" customWidth="1"/>
    <col min="10" max="10" width="10" bestFit="1" customWidth="1"/>
    <col min="11" max="11" width="10.85546875" style="11" bestFit="1" customWidth="1"/>
    <col min="12" max="12" width="10.7109375" bestFit="1" customWidth="1"/>
  </cols>
  <sheetData>
    <row r="1" spans="2:13" ht="15.75" customHeight="1" thickBot="1" x14ac:dyDescent="0.3">
      <c r="B1" s="150" t="s">
        <v>62</v>
      </c>
      <c r="C1" s="150"/>
      <c r="D1" s="155">
        <f ca="1">TODAY()+(40-K3)/J6</f>
        <v>43262.619047619046</v>
      </c>
      <c r="E1" s="158" t="str">
        <f>I6</f>
        <v>Valor diario esperado:</v>
      </c>
      <c r="I1" s="137" t="s">
        <v>59</v>
      </c>
      <c r="J1" s="137"/>
      <c r="K1" s="148">
        <f>INDEX(Tabela3[Saldo BRL],MATCH(9.99999999999999+307,Tabela3[Saldo BRL]))</f>
        <v>81.602975999999984</v>
      </c>
      <c r="L1" s="148"/>
      <c r="M1" s="148"/>
    </row>
    <row r="2" spans="2:13" ht="16.5" customHeight="1" thickTop="1" thickBot="1" x14ac:dyDescent="0.3">
      <c r="B2" s="150"/>
      <c r="C2" s="150"/>
      <c r="D2" s="156"/>
      <c r="E2" s="159"/>
      <c r="I2" s="137"/>
      <c r="J2" s="137"/>
      <c r="K2" s="148"/>
      <c r="L2" s="148"/>
      <c r="M2" s="148"/>
    </row>
    <row r="3" spans="2:13" ht="16.5" customHeight="1" thickTop="1" thickBot="1" x14ac:dyDescent="0.3">
      <c r="B3" s="150"/>
      <c r="C3" s="150"/>
      <c r="D3" s="157">
        <f ca="1">TODAY()+(40-K3)/J7</f>
        <v>43264.282051282054</v>
      </c>
      <c r="E3" s="160" t="str">
        <f>I7</f>
        <v>Média diária:</v>
      </c>
      <c r="I3" s="137"/>
      <c r="J3" s="137"/>
      <c r="K3" s="153">
        <f>INDEX(Tabela3[Saldo disponível para saque],MATCH(9.99999999999999+307,Tabela3[Saldo disponível para saque]))</f>
        <v>21.839999999999996</v>
      </c>
      <c r="L3" s="153"/>
      <c r="M3" s="153"/>
    </row>
    <row r="4" spans="2:13" ht="16.5" customHeight="1" thickTop="1" thickBot="1" x14ac:dyDescent="0.3">
      <c r="B4" s="150"/>
      <c r="C4" s="150"/>
      <c r="D4" s="156"/>
      <c r="E4" s="159"/>
      <c r="I4" s="154"/>
      <c r="J4" s="154"/>
      <c r="K4" s="153"/>
      <c r="L4" s="153"/>
      <c r="M4" s="153"/>
    </row>
    <row r="5" spans="2:13" ht="16.5" thickTop="1" thickBot="1" x14ac:dyDescent="0.3"/>
    <row r="6" spans="2:13" x14ac:dyDescent="0.25">
      <c r="I6" s="103" t="s">
        <v>65</v>
      </c>
      <c r="J6" s="106">
        <f>(INDEX(Tabela3[CMP],MATCH(9.99999999999999+307,Tabela3[CMP]))*10)*0.21</f>
        <v>0.84</v>
      </c>
      <c r="K6" s="95">
        <f ca="1">J6*VLOOKUP(TODAY(),Tabela25[],6)</f>
        <v>3.1030440000000001</v>
      </c>
    </row>
    <row r="7" spans="2:13" x14ac:dyDescent="0.25">
      <c r="I7" s="104" t="s">
        <v>48</v>
      </c>
      <c r="J7" s="108">
        <f>SUM(Tabela3[Valor])/COUNT(Tabela3[Valor])</f>
        <v>0.77999999999999992</v>
      </c>
      <c r="K7" s="96">
        <f ca="1">J7*VLOOKUP(TODAY(),Tabela25[],6)</f>
        <v>2.8813979999999999</v>
      </c>
    </row>
    <row r="8" spans="2:13" x14ac:dyDescent="0.25">
      <c r="I8" s="104" t="s">
        <v>49</v>
      </c>
      <c r="J8" s="108">
        <f>J7*30</f>
        <v>23.4</v>
      </c>
      <c r="K8" s="96">
        <f ca="1">J8*VLOOKUP(TODAY(),Tabela25[],6)</f>
        <v>86.441940000000002</v>
      </c>
    </row>
    <row r="9" spans="2:13" x14ac:dyDescent="0.25">
      <c r="I9" s="104" t="s">
        <v>50</v>
      </c>
      <c r="J9" s="108">
        <f>J8*12</f>
        <v>280.79999999999995</v>
      </c>
      <c r="K9" s="96">
        <f ca="1">J9*VLOOKUP(TODAY(),Tabela25[],6)</f>
        <v>1037.3032799999999</v>
      </c>
    </row>
    <row r="10" spans="2:13" x14ac:dyDescent="0.25">
      <c r="I10" s="104" t="s">
        <v>51</v>
      </c>
      <c r="J10" s="108">
        <f>LARGE(Tabela3[Valor],1)</f>
        <v>0.86</v>
      </c>
      <c r="K10" s="96">
        <f ca="1">J10*VLOOKUP(TODAY(),Tabela25[],6)</f>
        <v>3.1769259999999999</v>
      </c>
    </row>
    <row r="11" spans="2:13" ht="15.75" thickBot="1" x14ac:dyDescent="0.3">
      <c r="I11" s="104" t="s">
        <v>52</v>
      </c>
      <c r="J11" s="109">
        <f>SMALL(Tabela3[Valor],1)</f>
        <v>0</v>
      </c>
      <c r="K11" s="97">
        <f ca="1">J11*VLOOKUP(TODAY(),Tabela25[],6)</f>
        <v>0</v>
      </c>
    </row>
    <row r="12" spans="2:13" ht="16.5" thickBot="1" x14ac:dyDescent="0.3">
      <c r="I12" s="104" t="s">
        <v>88</v>
      </c>
      <c r="J12" s="151">
        <f>COUNTIF(Tabela3[Ação],"Comprar")+4</f>
        <v>4</v>
      </c>
      <c r="K12" s="152"/>
    </row>
    <row r="13" spans="2:13" x14ac:dyDescent="0.25">
      <c r="I13" s="104" t="s">
        <v>89</v>
      </c>
      <c r="J13" s="106">
        <v>40</v>
      </c>
      <c r="K13" s="95">
        <f ca="1">J13*VLOOKUP(TODAY(),Tabela25[],6)</f>
        <v>147.76400000000001</v>
      </c>
    </row>
    <row r="14" spans="2:13" x14ac:dyDescent="0.25">
      <c r="I14" s="104" t="s">
        <v>92</v>
      </c>
      <c r="J14" s="110">
        <f>J12*J13</f>
        <v>160</v>
      </c>
      <c r="K14" s="96">
        <f ca="1">J14*VLOOKUP(TODAY(),Tabela25[],6)</f>
        <v>591.05600000000004</v>
      </c>
    </row>
    <row r="15" spans="2:13" ht="15.75" thickBot="1" x14ac:dyDescent="0.3">
      <c r="I15" s="105" t="s">
        <v>90</v>
      </c>
      <c r="J15" s="107">
        <f>SUM(Tabela3[Valor])</f>
        <v>21.839999999999996</v>
      </c>
      <c r="K15" s="97">
        <f ca="1">J15*VLOOKUP(TODAY(),Tabela25[],6)</f>
        <v>80.679143999999994</v>
      </c>
    </row>
    <row r="16" spans="2:13" ht="25.5" customHeight="1" thickBot="1" x14ac:dyDescent="0.3">
      <c r="I16" s="111" t="s">
        <v>91</v>
      </c>
      <c r="J16" s="112">
        <f>J15-J14</f>
        <v>-138.16</v>
      </c>
      <c r="K16" s="113">
        <f ca="1">J16*VLOOKUP(TODAY(),Tabela25[],6)</f>
        <v>-510.37685600000003</v>
      </c>
    </row>
    <row r="20" spans="1:10" x14ac:dyDescent="0.25">
      <c r="A20" s="8" t="s">
        <v>5</v>
      </c>
      <c r="B20" t="s">
        <v>23</v>
      </c>
      <c r="C20" s="11" t="s">
        <v>9</v>
      </c>
      <c r="D20" s="11" t="s">
        <v>24</v>
      </c>
      <c r="E20" s="13" t="s">
        <v>25</v>
      </c>
      <c r="F20" s="93" t="s">
        <v>63</v>
      </c>
      <c r="G20" t="s">
        <v>43</v>
      </c>
    </row>
    <row r="21" spans="1:10" x14ac:dyDescent="0.25">
      <c r="A21" s="8">
        <v>43215.853043981479</v>
      </c>
      <c r="B21" t="s">
        <v>76</v>
      </c>
      <c r="C21" s="11">
        <v>0.84</v>
      </c>
      <c r="D21" s="11">
        <v>0.84</v>
      </c>
      <c r="E21" s="13">
        <f>IFERROR(Tabela3[[#This Row],[Saldo disponível para saque]]*VLOOKUP(Tabela3[[#This Row],[Data]],Tabela25[],6),Tabela3[[#This Row],[Saldo disponível para saque]]*Cotação!J2)</f>
        <v>3.0106310769230773</v>
      </c>
      <c r="F21" s="93">
        <v>0.4</v>
      </c>
      <c r="G21" t="str">
        <f>IF(Tabela3[[#This Row],[Saldo disponível para saque]]&gt;=40,"Comprar","")</f>
        <v/>
      </c>
    </row>
    <row r="22" spans="1:10" x14ac:dyDescent="0.25">
      <c r="A22" s="8">
        <v>43216.821550925924</v>
      </c>
      <c r="B22" t="s">
        <v>74</v>
      </c>
      <c r="C22" s="11">
        <v>0.85</v>
      </c>
      <c r="D22" s="11">
        <f>C22+D21</f>
        <v>1.69</v>
      </c>
      <c r="E22" s="13">
        <f>IFERROR(Tabela3[[#This Row],[Saldo disponível para saque]]*VLOOKUP(Tabela3[[#This Row],[Data]],Tabela25[],6),Tabela3[[#This Row],[Saldo disponível para saque]]*Cotação!I3)</f>
        <v>5.8735949999999999</v>
      </c>
      <c r="F22" s="93">
        <v>0.4</v>
      </c>
      <c r="G22" t="str">
        <f>IF(Tabela3[[#This Row],[Saldo disponível para saque]]&gt;=40,"Comprar","")</f>
        <v/>
      </c>
    </row>
    <row r="23" spans="1:10" x14ac:dyDescent="0.25">
      <c r="A23" s="8">
        <v>43217.830381944441</v>
      </c>
      <c r="B23" t="s">
        <v>75</v>
      </c>
      <c r="C23" s="11">
        <v>0.83</v>
      </c>
      <c r="D23" s="11">
        <f t="shared" ref="D23:D34" si="0">C23+D22</f>
        <v>2.52</v>
      </c>
      <c r="E23" s="13">
        <f>IFERROR(Tabela3[[#This Row],[Saldo disponível para saque]]*VLOOKUP(Tabela3[[#This Row],[Data]],Tabela25[],6),Tabela3[[#This Row],[Saldo disponível para saque]]*Cotação!I4)</f>
        <v>8.7192000000000007</v>
      </c>
      <c r="F23" s="93">
        <v>0.4</v>
      </c>
      <c r="G23" t="str">
        <f>IF(Tabela3[[#This Row],[Saldo disponível para saque]]&gt;=40,"Comprar","")</f>
        <v/>
      </c>
    </row>
    <row r="24" spans="1:10" x14ac:dyDescent="0.25">
      <c r="A24" s="8">
        <v>43218.765462962961</v>
      </c>
      <c r="B24" t="s">
        <v>38</v>
      </c>
      <c r="C24" s="11">
        <v>0.84</v>
      </c>
      <c r="D24" s="11">
        <f t="shared" si="0"/>
        <v>3.36</v>
      </c>
      <c r="E24" s="13">
        <f>IFERROR(Tabela3[[#This Row],[Saldo disponível para saque]]*VLOOKUP(Tabela3[[#This Row],[Data]],Tabela25[],6),Tabela3[[#This Row],[Saldo disponível para saque]]*Cotação!I5)</f>
        <v>11.616864</v>
      </c>
      <c r="F24" s="93">
        <v>0.4</v>
      </c>
      <c r="G24" t="str">
        <f>IF(Tabela3[[#This Row],[Saldo disponível para saque]]&gt;=40,"Comprar","")</f>
        <v/>
      </c>
    </row>
    <row r="25" spans="1:10" x14ac:dyDescent="0.25">
      <c r="A25" s="8">
        <v>43219.908819444441</v>
      </c>
      <c r="B25" s="11" t="s">
        <v>40</v>
      </c>
      <c r="C25" s="11">
        <v>0.8</v>
      </c>
      <c r="D25" s="11">
        <f t="shared" si="0"/>
        <v>4.16</v>
      </c>
      <c r="E25" s="13">
        <f>IFERROR(Tabela3[[#This Row],[Saldo disponível para saque]]*VLOOKUP(Tabela3[[#This Row],[Data]],Tabela25[],6),Tabela3[[#This Row],[Saldo disponível para saque]]*Cotação!I6)</f>
        <v>14.382783999999999</v>
      </c>
      <c r="F25" s="93">
        <v>0.4</v>
      </c>
      <c r="G25" t="str">
        <f>IF(Tabela3[[#This Row],[Saldo disponível para saque]]&gt;=40,"Comprar","")</f>
        <v/>
      </c>
    </row>
    <row r="26" spans="1:10" x14ac:dyDescent="0.25">
      <c r="A26" s="8">
        <v>43220.807476851849</v>
      </c>
      <c r="B26" s="11" t="s">
        <v>41</v>
      </c>
      <c r="C26" s="11">
        <v>0.83</v>
      </c>
      <c r="D26" s="11">
        <f t="shared" si="0"/>
        <v>4.99</v>
      </c>
      <c r="E26" s="13">
        <f>IFERROR(Tabela3[[#This Row],[Saldo disponível para saque]]*VLOOKUP(Tabela3[[#This Row],[Data]],Tabela25[],6),Tabela3[[#This Row],[Saldo disponível para saque]]*Cotação!I7)</f>
        <v>17.397136000000003</v>
      </c>
      <c r="F26" s="93">
        <v>0.4</v>
      </c>
      <c r="G26" t="str">
        <f>IF(Tabela3[[#This Row],[Saldo disponível para saque]]&gt;=40,"Comprar","")</f>
        <v/>
      </c>
    </row>
    <row r="27" spans="1:10" x14ac:dyDescent="0.25">
      <c r="A27" s="8">
        <v>43221.551365740743</v>
      </c>
      <c r="B27" s="11" t="s">
        <v>42</v>
      </c>
      <c r="C27" s="11">
        <v>0.86</v>
      </c>
      <c r="D27" s="11">
        <f t="shared" si="0"/>
        <v>5.8500000000000005</v>
      </c>
      <c r="E27" s="13">
        <f>IFERROR(Tabela3[[#This Row],[Saldo disponível para saque]]*VLOOKUP(Tabela3[[#This Row],[Data]],Tabela25[],6),Tabela3[[#This Row],[Saldo disponível para saque]]*Cotação!I8)</f>
        <v>20.519460000000002</v>
      </c>
      <c r="F27" s="93">
        <v>0.4</v>
      </c>
      <c r="G27" t="str">
        <f>IF(Tabela3[[#This Row],[Saldo disponível para saque]]&gt;=40,"Comprar","")</f>
        <v/>
      </c>
    </row>
    <row r="28" spans="1:10" x14ac:dyDescent="0.25">
      <c r="A28" s="8">
        <v>43222.946527777778</v>
      </c>
      <c r="B28" t="s">
        <v>47</v>
      </c>
      <c r="C28" s="11">
        <v>0.84</v>
      </c>
      <c r="D28" s="11">
        <f t="shared" si="0"/>
        <v>6.69</v>
      </c>
      <c r="E28" s="13">
        <f>IFERROR(Tabela3[[#This Row],[Saldo disponível para saque]]*VLOOKUP(Tabela3[[#This Row],[Data]],Tabela25[],6),Tabela3[[#This Row],[Saldo disponível para saque]]*Cotação!I9)</f>
        <v>23.728092000000004</v>
      </c>
      <c r="F28" s="93">
        <v>0.4</v>
      </c>
      <c r="G28" s="57" t="str">
        <f>IF(Tabela3[[#This Row],[Saldo disponível para saque]]&gt;=40,"Comprar","")</f>
        <v/>
      </c>
    </row>
    <row r="29" spans="1:10" x14ac:dyDescent="0.25">
      <c r="A29" s="8">
        <v>43223.931134259263</v>
      </c>
      <c r="B29" t="s">
        <v>55</v>
      </c>
      <c r="C29" s="11">
        <v>0.85</v>
      </c>
      <c r="D29" s="11">
        <f t="shared" si="0"/>
        <v>7.54</v>
      </c>
      <c r="E29" s="13">
        <f>IFERROR(Tabela3[[#This Row],[Saldo disponível para saque]]*VLOOKUP(Tabela3[[#This Row],[Data]],Tabela25[],6),Tabela3[[#This Row],[Saldo disponível para saque]]*Cotação!I10)</f>
        <v>26.829582000000002</v>
      </c>
      <c r="F29" s="93">
        <v>0.4</v>
      </c>
      <c r="G29" s="57" t="str">
        <f>IF(Tabela3[[#This Row],[Saldo disponível para saque]]&gt;=40,"Comprar","")</f>
        <v/>
      </c>
    </row>
    <row r="30" spans="1:10" x14ac:dyDescent="0.25">
      <c r="A30" s="8">
        <v>43224.728194444448</v>
      </c>
      <c r="B30" t="s">
        <v>64</v>
      </c>
      <c r="C30" s="11">
        <v>0.85</v>
      </c>
      <c r="D30" s="11">
        <f t="shared" si="0"/>
        <v>8.39</v>
      </c>
      <c r="E30" s="13">
        <f>IFERROR(Tabela3[[#This Row],[Saldo disponível para saque]]*VLOOKUP(Tabela3[[#This Row],[Data]],Tabela25[],6),Tabela3[[#This Row],[Saldo disponível para saque]]*Cotação!I11)</f>
        <v>29.729126000000004</v>
      </c>
      <c r="F30" s="93">
        <v>0.4</v>
      </c>
      <c r="G30" s="57" t="str">
        <f>IF(Tabela3[[#This Row],[Saldo disponível para saque]]&gt;=40,"Comprar","")</f>
        <v/>
      </c>
    </row>
    <row r="31" spans="1:10" x14ac:dyDescent="0.25">
      <c r="A31" s="8">
        <v>43225.890462962961</v>
      </c>
      <c r="B31" t="s">
        <v>69</v>
      </c>
      <c r="C31" s="11">
        <v>0.85</v>
      </c>
      <c r="D31" s="11">
        <f t="shared" si="0"/>
        <v>9.24</v>
      </c>
      <c r="E31" s="13">
        <f>IFERROR(Tabela3[[#This Row],[Saldo disponível para saque]]*VLOOKUP(Tabela3[[#This Row],[Data]],Tabela25[],6),Tabela3[[#This Row],[Saldo disponível para saque]]*Cotação!I12)</f>
        <v>32.600568000000003</v>
      </c>
      <c r="F31" s="93">
        <v>0.4</v>
      </c>
      <c r="G31" s="57" t="str">
        <f>IF(Tabela3[[#This Row],[Saldo disponível para saque]]&gt;=40,"Comprar","")</f>
        <v/>
      </c>
      <c r="I31" s="92"/>
      <c r="J31" s="92"/>
    </row>
    <row r="32" spans="1:10" x14ac:dyDescent="0.25">
      <c r="A32" s="8">
        <v>43226.752245370371</v>
      </c>
      <c r="B32" t="s">
        <v>70</v>
      </c>
      <c r="C32" s="11">
        <v>0.83</v>
      </c>
      <c r="D32" s="11">
        <f t="shared" si="0"/>
        <v>10.07</v>
      </c>
      <c r="E32" s="13">
        <f>IFERROR(Tabela3[[#This Row],[Saldo disponível para saque]]*VLOOKUP(Tabela3[[#This Row],[Data]],Tabela25[],6),Tabela3[[#This Row],[Saldo disponível para saque]]*Cotação!I13)</f>
        <v>35.528973999999998</v>
      </c>
      <c r="F32" s="93">
        <v>0.4</v>
      </c>
      <c r="G32" s="57" t="str">
        <f>IF(Tabela3[[#This Row],[Saldo disponível para saque]]&gt;=40,"Comprar","")</f>
        <v/>
      </c>
    </row>
    <row r="33" spans="1:7" x14ac:dyDescent="0.25">
      <c r="A33" s="8">
        <v>43227.994212962964</v>
      </c>
      <c r="B33" t="s">
        <v>73</v>
      </c>
      <c r="C33" s="11">
        <v>0.86</v>
      </c>
      <c r="D33" s="11">
        <f t="shared" si="0"/>
        <v>10.93</v>
      </c>
      <c r="E33" s="13">
        <f>IFERROR(Tabela3[[#This Row],[Saldo disponível para saque]]*VLOOKUP(Tabela3[[#This Row],[Data]],Tabela25[],6),Tabela3[[#This Row],[Saldo disponível para saque]]*Cotação!I14)</f>
        <v>38.769802999999996</v>
      </c>
      <c r="F33" s="93">
        <v>0.4</v>
      </c>
      <c r="G33" s="57" t="str">
        <f>IF(Tabela3[[#This Row],[Saldo disponível para saque]]&gt;=40,"Comprar","")</f>
        <v/>
      </c>
    </row>
    <row r="34" spans="1:7" x14ac:dyDescent="0.25">
      <c r="A34" s="8">
        <v>43228.971585648149</v>
      </c>
      <c r="B34" t="s">
        <v>77</v>
      </c>
      <c r="C34" s="11">
        <v>0.84</v>
      </c>
      <c r="D34" s="11">
        <f t="shared" si="0"/>
        <v>11.77</v>
      </c>
      <c r="E34" s="13">
        <f>IFERROR(Tabela3[[#This Row],[Saldo disponível para saque]]*VLOOKUP(Tabela3[[#This Row],[Data]],Tabela25[],6),Tabela3[[#This Row],[Saldo disponível para saque]]*Cotação!I15)</f>
        <v>42.101289999999999</v>
      </c>
      <c r="F34" s="93">
        <v>0.4</v>
      </c>
      <c r="G34" s="57" t="str">
        <f>IF(Tabela3[[#This Row],[Saldo disponível para saque]]&gt;=40,"Comprar","")</f>
        <v/>
      </c>
    </row>
    <row r="35" spans="1:7" x14ac:dyDescent="0.25">
      <c r="A35" s="8">
        <v>43229.994560185187</v>
      </c>
      <c r="B35" t="s">
        <v>78</v>
      </c>
      <c r="C35" s="11">
        <v>0.86</v>
      </c>
      <c r="D35" s="11">
        <f t="shared" ref="D35:D42" si="1">C35+D34</f>
        <v>12.629999999999999</v>
      </c>
      <c r="E35" s="13">
        <f>IFERROR(Tabela3[[#This Row],[Saldo disponível para saque]]*VLOOKUP(Tabela3[[#This Row],[Data]],Tabela25[],6),Tabela3[[#This Row],[Saldo disponível para saque]]*Cotação!I16)</f>
        <v>45.382115999999996</v>
      </c>
      <c r="F35" s="93">
        <v>0.4</v>
      </c>
      <c r="G35" s="57" t="str">
        <f>IF(Tabela3[[#This Row],[Saldo disponível para saque]]&gt;=40,"Comprar","")</f>
        <v/>
      </c>
    </row>
    <row r="36" spans="1:7" x14ac:dyDescent="0.25">
      <c r="A36" s="8">
        <v>43230.981504629628</v>
      </c>
      <c r="B36" t="s">
        <v>79</v>
      </c>
      <c r="C36" s="11">
        <v>0.82</v>
      </c>
      <c r="D36" s="11">
        <f t="shared" si="1"/>
        <v>13.45</v>
      </c>
      <c r="E36" s="13">
        <f>IFERROR(Tabela3[[#This Row],[Saldo disponível para saque]]*VLOOKUP(Tabela3[[#This Row],[Data]],Tabela25[],6),Tabela3[[#This Row],[Saldo disponível para saque]]*Cotação!I17)</f>
        <v>47.764984999999996</v>
      </c>
      <c r="F36" s="93">
        <v>0.4</v>
      </c>
      <c r="G36" s="57" t="str">
        <f>IF(Tabela3[[#This Row],[Saldo disponível para saque]]&gt;=40,"Comprar","")</f>
        <v/>
      </c>
    </row>
    <row r="37" spans="1:7" x14ac:dyDescent="0.25">
      <c r="A37" s="8">
        <v>43231.88386574074</v>
      </c>
      <c r="B37" t="s">
        <v>80</v>
      </c>
      <c r="C37" s="11">
        <v>0.82</v>
      </c>
      <c r="D37" s="11">
        <f t="shared" si="1"/>
        <v>14.27</v>
      </c>
      <c r="E37" s="13">
        <f>IFERROR(Tabela3[[#This Row],[Saldo disponível para saque]]*VLOOKUP(Tabela3[[#This Row],[Data]],Tabela25[],6),Tabela3[[#This Row],[Saldo disponível para saque]]*Cotação!I18)</f>
        <v>51.362010999999995</v>
      </c>
      <c r="F37" s="93">
        <v>0.4</v>
      </c>
      <c r="G37" s="57" t="str">
        <f>IF(Tabela3[[#This Row],[Saldo disponível para saque]]&gt;=40,"Comprar","")</f>
        <v/>
      </c>
    </row>
    <row r="38" spans="1:7" x14ac:dyDescent="0.25">
      <c r="A38" s="8">
        <v>43232.762465277781</v>
      </c>
      <c r="B38" t="s">
        <v>81</v>
      </c>
      <c r="C38" s="11">
        <v>0.83</v>
      </c>
      <c r="D38" s="11">
        <f t="shared" si="1"/>
        <v>15.1</v>
      </c>
      <c r="E38" s="13">
        <f>IFERROR(Tabela3[[#This Row],[Saldo disponível para saque]]*VLOOKUP(Tabela3[[#This Row],[Data]],Tabela25[],6),Tabela3[[#This Row],[Saldo disponível para saque]]*Cotação!I19)</f>
        <v>54.349429999999998</v>
      </c>
      <c r="F38" s="93">
        <v>0.4</v>
      </c>
      <c r="G38" s="57" t="str">
        <f>IF(Tabela3[[#This Row],[Saldo disponível para saque]]&gt;=40,"Comprar","")</f>
        <v/>
      </c>
    </row>
    <row r="39" spans="1:7" x14ac:dyDescent="0.25">
      <c r="A39" s="8">
        <v>43233.91982638889</v>
      </c>
      <c r="B39" s="11" t="s">
        <v>85</v>
      </c>
      <c r="C39" s="11">
        <v>0.83</v>
      </c>
      <c r="D39" s="11">
        <f t="shared" si="1"/>
        <v>15.93</v>
      </c>
      <c r="E39" s="13">
        <f>IFERROR(Tabela3[[#This Row],[Saldo disponível para saque]]*VLOOKUP(Tabela3[[#This Row],[Data]],Tabela25[],6),Tabela3[[#This Row],[Saldo disponível para saque]]*Cotação!I20)</f>
        <v>57.336849000000001</v>
      </c>
      <c r="F39" s="93">
        <v>0.4</v>
      </c>
      <c r="G39" s="57" t="str">
        <f>IF(Tabela3[[#This Row],[Saldo disponível para saque]]&gt;=40,"Comprar","")</f>
        <v/>
      </c>
    </row>
    <row r="40" spans="1:7" x14ac:dyDescent="0.25">
      <c r="A40" s="8">
        <v>43234.9534375</v>
      </c>
      <c r="B40" t="s">
        <v>87</v>
      </c>
      <c r="C40" s="11">
        <v>0.84</v>
      </c>
      <c r="D40" s="11">
        <f t="shared" si="1"/>
        <v>16.77</v>
      </c>
      <c r="E40" s="13">
        <f>IFERROR(Tabela3[[#This Row],[Saldo disponível para saque]]*VLOOKUP(Tabela3[[#This Row],[Data]],Tabela25[],6),Tabela3[[#This Row],[Saldo disponível para saque]]*Cotação!I21)</f>
        <v>60.811373999999994</v>
      </c>
      <c r="F40" s="93">
        <v>0.4</v>
      </c>
      <c r="G40" s="57" t="str">
        <f>IF(Tabela3[[#This Row],[Saldo disponível para saque]]&gt;=40,"Comprar","")</f>
        <v/>
      </c>
    </row>
    <row r="41" spans="1:7" x14ac:dyDescent="0.25">
      <c r="A41" s="8">
        <v>43235</v>
      </c>
      <c r="B41" t="s">
        <v>6</v>
      </c>
      <c r="C41" s="11">
        <v>0</v>
      </c>
      <c r="D41" s="11">
        <f t="shared" si="1"/>
        <v>16.77</v>
      </c>
      <c r="E41" s="13">
        <f>IFERROR(Tabela3[[#This Row],[Saldo disponível para saque]]*VLOOKUP(Tabela3[[#This Row],[Data]],Tabela25[],6),Tabela3[[#This Row],[Saldo disponível para saque]]*Cotação!I22)</f>
        <v>61.287641999999998</v>
      </c>
      <c r="F41" s="93">
        <v>0.4</v>
      </c>
      <c r="G41" s="57" t="str">
        <f>IF(Tabela3[[#This Row],[Saldo disponível para saque]]&gt;=40,"Comprar","")</f>
        <v/>
      </c>
    </row>
    <row r="42" spans="1:7" x14ac:dyDescent="0.25">
      <c r="A42" s="8">
        <v>43236.422129629631</v>
      </c>
      <c r="B42" s="11" t="s">
        <v>93</v>
      </c>
      <c r="C42" s="11">
        <v>0.83</v>
      </c>
      <c r="D42" s="11">
        <f t="shared" si="1"/>
        <v>17.599999999999998</v>
      </c>
      <c r="E42" s="13">
        <f>IFERROR(Tabela3[[#This Row],[Saldo disponível para saque]]*VLOOKUP(Tabela3[[#This Row],[Data]],Tabela25[],6),Tabela3[[#This Row],[Saldo disponível para saque]]*Cotação!I23)</f>
        <v>64.715199999999996</v>
      </c>
      <c r="F42" s="93">
        <v>0.4</v>
      </c>
      <c r="G42" s="57" t="str">
        <f>IF(Tabela3[[#This Row],[Saldo disponível para saque]]&gt;=40,"Comprar","")</f>
        <v/>
      </c>
    </row>
    <row r="43" spans="1:7" x14ac:dyDescent="0.25">
      <c r="A43" s="8">
        <v>43236.943368055552</v>
      </c>
      <c r="B43" s="11" t="s">
        <v>93</v>
      </c>
      <c r="C43" s="11">
        <v>0.86</v>
      </c>
      <c r="D43" s="11">
        <f t="shared" ref="D43" si="2">C43+D42</f>
        <v>18.459999999999997</v>
      </c>
      <c r="E43" s="13">
        <f>IFERROR(Tabela3[[#This Row],[Saldo disponível para saque]]*VLOOKUP(Tabela3[[#This Row],[Data]],Tabela25[],6),Tabela3[[#This Row],[Saldo disponível para saque]]*Cotação!I24)</f>
        <v>67.877419999999987</v>
      </c>
      <c r="F43" s="93">
        <v>0.4</v>
      </c>
      <c r="G43" s="57" t="str">
        <f>IF(Tabela3[[#This Row],[Saldo disponível para saque]]&gt;=40,"Comprar","")</f>
        <v/>
      </c>
    </row>
    <row r="44" spans="1:7" x14ac:dyDescent="0.25">
      <c r="A44" s="8">
        <v>43237.965092592596</v>
      </c>
      <c r="B44" t="s">
        <v>94</v>
      </c>
      <c r="C44" s="11">
        <v>0.86</v>
      </c>
      <c r="D44" s="11">
        <f t="shared" ref="D44" si="3">C44+D43</f>
        <v>19.319999999999997</v>
      </c>
      <c r="E44" s="13">
        <f>IFERROR(Tabela3[[#This Row],[Saldo disponível para saque]]*VLOOKUP(Tabela3[[#This Row],[Data]],Tabela25[],6),Tabela3[[#This Row],[Saldo disponível para saque]]*Cotação!I25)</f>
        <v>71.412515999999982</v>
      </c>
      <c r="F44" s="93">
        <v>0.4</v>
      </c>
      <c r="G44" s="57" t="str">
        <f>IF(Tabela3[[#This Row],[Saldo disponível para saque]]&gt;=40,"Comprar","")</f>
        <v/>
      </c>
    </row>
    <row r="45" spans="1:7" x14ac:dyDescent="0.25">
      <c r="A45" s="8">
        <v>43238</v>
      </c>
      <c r="C45" s="11">
        <v>0</v>
      </c>
      <c r="D45" s="11">
        <f t="shared" ref="D45:D47" si="4">C45+D44</f>
        <v>19.319999999999997</v>
      </c>
      <c r="E45" s="13">
        <f>IFERROR(Tabela3[[#This Row],[Saldo disponível para saque]]*VLOOKUP(Tabela3[[#This Row],[Data]],Tabela25[],6),Tabela3[[#This Row],[Saldo disponível para saque]]*Cotação!I26)</f>
        <v>72.440339999999978</v>
      </c>
      <c r="F45" s="93">
        <v>0.4</v>
      </c>
      <c r="G45" s="57" t="str">
        <f>IF(Tabela3[[#This Row],[Saldo disponível para saque]]&gt;=40,"Comprar","")</f>
        <v/>
      </c>
    </row>
    <row r="46" spans="1:7" x14ac:dyDescent="0.25">
      <c r="A46" s="8">
        <v>43239.019189814811</v>
      </c>
      <c r="B46" t="s">
        <v>95</v>
      </c>
      <c r="C46" s="11">
        <v>0.84</v>
      </c>
      <c r="D46" s="11">
        <f t="shared" si="4"/>
        <v>20.159999999999997</v>
      </c>
      <c r="E46" s="13">
        <f>IFERROR(Tabela3[[#This Row],[Saldo disponível para saque]]*VLOOKUP(Tabela3[[#This Row],[Data]],Tabela25[],6),Tabela3[[#This Row],[Saldo disponível para saque]]*Cotação!I27)</f>
        <v>75.325823999999997</v>
      </c>
      <c r="F46" s="93">
        <v>0.4</v>
      </c>
      <c r="G46" s="57" t="str">
        <f>IF(Tabela3[[#This Row],[Saldo disponível para saque]]&gt;=40,"Comprar","")</f>
        <v/>
      </c>
    </row>
    <row r="47" spans="1:7" x14ac:dyDescent="0.25">
      <c r="A47" s="8">
        <v>43239.851203703707</v>
      </c>
      <c r="B47" s="11" t="s">
        <v>95</v>
      </c>
      <c r="C47" s="11">
        <v>0.85</v>
      </c>
      <c r="D47" s="11">
        <f t="shared" si="4"/>
        <v>21.009999999999998</v>
      </c>
      <c r="E47" s="13">
        <f>IFERROR(Tabela3[[#This Row],[Saldo disponível para saque]]*VLOOKUP(Tabela3[[#This Row],[Data]],Tabela25[],6),Tabela3[[#This Row],[Saldo disponível para saque]]*Cotação!I28)</f>
        <v>78.501763999999994</v>
      </c>
      <c r="F47" s="93">
        <v>0.4</v>
      </c>
      <c r="G47" s="57" t="str">
        <f>IF(Tabela3[[#This Row],[Saldo disponível para saque]]&gt;=40,"Comprar","")</f>
        <v/>
      </c>
    </row>
    <row r="48" spans="1:7" x14ac:dyDescent="0.25">
      <c r="A48" s="8">
        <v>43240.859884259262</v>
      </c>
      <c r="B48" t="s">
        <v>99</v>
      </c>
      <c r="C48" s="11">
        <v>0.83</v>
      </c>
      <c r="D48" s="11">
        <f t="shared" ref="D48" si="5">C48+D47</f>
        <v>21.839999999999996</v>
      </c>
      <c r="E48" s="13">
        <f>IFERROR(Tabela3[[#This Row],[Saldo disponível para saque]]*VLOOKUP(Tabela3[[#This Row],[Data]],Tabela25[],6),Tabela3[[#This Row],[Saldo disponível para saque]]*Cotação!I29)</f>
        <v>81.602975999999984</v>
      </c>
      <c r="F48" s="93">
        <v>0.4</v>
      </c>
      <c r="G48" s="57" t="str">
        <f>IF(Tabela3[[#This Row],[Saldo disponível para saque]]&gt;=40,"Comprar","")</f>
        <v/>
      </c>
    </row>
  </sheetData>
  <mergeCells count="9">
    <mergeCell ref="B1:C4"/>
    <mergeCell ref="J12:K12"/>
    <mergeCell ref="K1:M2"/>
    <mergeCell ref="K3:M4"/>
    <mergeCell ref="I1:J4"/>
    <mergeCell ref="D1:D2"/>
    <mergeCell ref="D3:D4"/>
    <mergeCell ref="E1:E2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1:D22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Plan4</vt:lpstr>
      <vt:lpstr>Resumo</vt:lpstr>
      <vt:lpstr>Cotação</vt:lpstr>
      <vt:lpstr>Total</vt:lpstr>
      <vt:lpstr>Easy</vt:lpstr>
      <vt:lpstr>Atlas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T-800</dc:creator>
  <cp:lastModifiedBy>T-800</cp:lastModifiedBy>
  <dcterms:created xsi:type="dcterms:W3CDTF">2018-04-27T13:19:50Z</dcterms:created>
  <dcterms:modified xsi:type="dcterms:W3CDTF">2018-05-21T17:57:08Z</dcterms:modified>
</cp:coreProperties>
</file>