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D:\Diana Fonseca\Documentos Oficiales\4. SARO\2. Registro de eventos\DashboardWeb\"/>
    </mc:Choice>
  </mc:AlternateContent>
  <xr:revisionPtr revIDLastSave="0" documentId="13_ncr:1_{A4D2592D-63A8-45FE-9FAC-66EF9FF5047A}" xr6:coauthVersionLast="47" xr6:coauthVersionMax="47" xr10:uidLastSave="{00000000-0000-0000-0000-000000000000}"/>
  <bookViews>
    <workbookView xWindow="-110" yWindow="-110" windowWidth="25820" windowHeight="15500" tabRatio="774" xr2:uid="{64D40D0C-20B0-42B4-8FCD-FC496A58C053}"/>
  </bookViews>
  <sheets>
    <sheet name="Eventos de riesgos" sheetId="1" r:id="rId1"/>
    <sheet name="Eventos-Tareas" sheetId="5" r:id="rId2"/>
  </sheets>
  <definedNames>
    <definedName name="_____xlnm._FilterDatabase">#REF!</definedName>
    <definedName name="_____xlnm.Print_Titles">#REF!</definedName>
    <definedName name="_____xlnm.Print_Titles_1">#REF!</definedName>
    <definedName name="____xlnm._FilterDatabase">#REF!</definedName>
    <definedName name="____xlnm.Print_Titles">#REF!</definedName>
    <definedName name="____xlnm.Print_Titles_1">#REF!</definedName>
    <definedName name="___xlnm._FilterDatabase">#REF!</definedName>
    <definedName name="___xlnm.Print_Titles">#REF!</definedName>
    <definedName name="___xlnm.Print_Titles_1">#REF!</definedName>
    <definedName name="__xlnm._FilterDatabase">#REF!</definedName>
    <definedName name="__xlnm.Print_Titles">#REF!</definedName>
    <definedName name="__xlnm.Print_Titles_1">#REF!</definedName>
    <definedName name="A">#REF!</definedName>
    <definedName name="AccessDatabase" hidden="1">"C:\Mis documentos\ACTIVOS.MDB"</definedName>
    <definedName name="ACT_FIJOS_VALOR">#REF!</definedName>
    <definedName name="AJUSTE_REAJ_FIS_AF">#REF!</definedName>
    <definedName name="año">#REF!</definedName>
    <definedName name="_xlnm.Print_Area" localSheetId="0">'Eventos de riesgos'!$B$1:$J$22</definedName>
    <definedName name="_xlnm.Print_Area">#REF!</definedName>
    <definedName name="AS2DocOpenMode" hidden="1">"AS2DocumentEdit"</definedName>
    <definedName name="cajaç">#REF!</definedName>
    <definedName name="CALDECNM">#REF!</definedName>
    <definedName name="Caracter">#REF!</definedName>
    <definedName name="CIIU">#REF!</definedName>
    <definedName name="CIIUNM">#REF!</definedName>
    <definedName name="CLASEDEC">#REF!</definedName>
    <definedName name="CLASEDECNM">#REF!</definedName>
    <definedName name="CODADMONNM">#REF!</definedName>
    <definedName name="CODDOCSNM">#REF!</definedName>
    <definedName name="Codigos">#REF!</definedName>
    <definedName name="Comprobantes">#REF!</definedName>
    <definedName name="convencion">#REF!</definedName>
    <definedName name="cxc">#REF!</definedName>
    <definedName name="DEPTOSNM">#REF!</definedName>
    <definedName name="DIVIPOL">#REF!</definedName>
    <definedName name="DIVIPOL1">#REF!</definedName>
    <definedName name="DIVIPOLCOD">#REF!</definedName>
    <definedName name="DIVIPOLNM">#REF!</definedName>
    <definedName name="Excel_BuiltIn_Print_Titles">#REF!</definedName>
    <definedName name="Excel_BuiltIn_Print_Titles_1">#REF!</definedName>
    <definedName name="G">#REF!</definedName>
    <definedName name="gActEcono">#REF!</definedName>
    <definedName name="gAdmon">#REF!</definedName>
    <definedName name="gAño">#REF!</definedName>
    <definedName name="gApe1Dec">#REF!</definedName>
    <definedName name="gApe1Rev">#REF!</definedName>
    <definedName name="gApe2Dec">#REF!</definedName>
    <definedName name="gApe2Rev">#REF!</definedName>
    <definedName name="GB">#REF!</definedName>
    <definedName name="gCalDec">#REF!</definedName>
    <definedName name="gCedDec">#REF!</definedName>
    <definedName name="gCedRev">#REF!</definedName>
    <definedName name="gClaseDec">#REF!</definedName>
    <definedName name="gDeclaraPrimerVez">#REF!</definedName>
    <definedName name="gDepto">#REF!</definedName>
    <definedName name="gDireccion">#REF!</definedName>
    <definedName name="gExentoRtaPres">#REF!</definedName>
    <definedName name="gFechaDecCor">#REF!</definedName>
    <definedName name="gMetValInv">#REF!</definedName>
    <definedName name="gMun">#REF!</definedName>
    <definedName name="gNIT">#REF!</definedName>
    <definedName name="gNom1Dec">#REF!</definedName>
    <definedName name="gNom1Rev">#REF!</definedName>
    <definedName name="gNom2Dec">#REF!</definedName>
    <definedName name="gNom2Rev">#REF!</definedName>
    <definedName name="gNumeroAutoadhesivo">#REF!</definedName>
    <definedName name="gPUC">#REF!</definedName>
    <definedName name="gRazonSocial">#REF!</definedName>
    <definedName name="gRentasMixtas">#REF!</definedName>
    <definedName name="gSisInv">#REF!</definedName>
    <definedName name="gTelefono">#REF!</definedName>
    <definedName name="gTipoContrib">#REF!</definedName>
    <definedName name="gTProf">#REF!</definedName>
    <definedName name="image">#REF!</definedName>
    <definedName name="ImptoRenta">#REF!</definedName>
    <definedName name="Lista1">#REF!</definedName>
    <definedName name="LST_BAL_CRE_CON">#REF!</definedName>
    <definedName name="LST_BAL_CUENTAS">#REF!</definedName>
    <definedName name="LST_BAL_DEB_CON">#REF!</definedName>
    <definedName name="LST_BAL_RENGLONES">#REF!</definedName>
    <definedName name="LST_BALANCE">#REF!</definedName>
    <definedName name="mes">#REF!</definedName>
    <definedName name="mitabla">#REF!</definedName>
    <definedName name="Moneda">#REF!</definedName>
    <definedName name="Monedas">#REF!</definedName>
    <definedName name="MOTCOR">#REF!</definedName>
    <definedName name="MOTCORNM">#REF!</definedName>
    <definedName name="mp">#REF!</definedName>
    <definedName name="N">#REF!</definedName>
    <definedName name="pActEcono">#REF!</definedName>
    <definedName name="pAdmon">#REF!</definedName>
    <definedName name="PC">#REF!</definedName>
    <definedName name="pCedDec">#REF!</definedName>
    <definedName name="pCedRev">#REF!</definedName>
    <definedName name="pClaseDec">#REF!</definedName>
    <definedName name="pCorreccionDeclaracion">#REF!</definedName>
    <definedName name="pFechaCuota1">#REF!</definedName>
    <definedName name="pFechaCuota2">#REF!</definedName>
    <definedName name="pFechaCuota3">#REF!</definedName>
    <definedName name="pFechaCuota4">#REF!</definedName>
    <definedName name="pFechaCuota5">#REF!</definedName>
    <definedName name="pNomDec">#REF!</definedName>
    <definedName name="pNomRev">#REF!</definedName>
    <definedName name="pNumeroAutoadhesivo">#REF!</definedName>
    <definedName name="pp">#REF!</definedName>
    <definedName name="pParafiscalesCausadoPagado">#REF!</definedName>
    <definedName name="ppTipoContrib">#REF!</definedName>
    <definedName name="pPUC">#REF!</definedName>
    <definedName name="pSegSocialCausadoPagado">#REF!</definedName>
    <definedName name="pt">#REF!</definedName>
    <definedName name="pTipoContrib">#REF!</definedName>
    <definedName name="pTProf">#REF!</definedName>
    <definedName name="PUCS">#REF!</definedName>
    <definedName name="Respuestas">#REF!</definedName>
    <definedName name="sdstipos_TipoDeDocumentoInvExt">#REF!</definedName>
    <definedName name="sdstipos_TipoPaises">#REF!</definedName>
    <definedName name="SegmentaciónDeDatos_Año">#N/A</definedName>
    <definedName name="SegmentaciónDeDatos_CLASE_EVENTO_NIVEL_1">#N/A</definedName>
    <definedName name="Subactivos">#REF!</definedName>
    <definedName name="tablax">#REF!</definedName>
    <definedName name="team">#REF!</definedName>
    <definedName name="Termnegociacion">#REF!</definedName>
    <definedName name="Tipo">#REF!</definedName>
    <definedName name="TIPOCONTRIBNM">#REF!</definedName>
    <definedName name="Tipodearrendamiento">#REF!</definedName>
    <definedName name="TIPPUC">#REF!</definedName>
    <definedName name="TIPPUCNM">#REF!</definedName>
    <definedName name="VP">#REF!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99" i="5" l="1"/>
  <c r="AE309" i="5"/>
  <c r="AE313" i="5"/>
  <c r="AE317" i="5"/>
  <c r="AE324" i="5"/>
  <c r="AE328" i="5"/>
  <c r="AE338" i="5"/>
  <c r="M337" i="5"/>
  <c r="M338" i="5"/>
  <c r="M334" i="5"/>
  <c r="M335" i="5"/>
  <c r="M336" i="5"/>
  <c r="M339" i="5"/>
  <c r="C338" i="5"/>
  <c r="C339" i="5"/>
  <c r="L338" i="5"/>
  <c r="L339" i="5"/>
  <c r="O338" i="5"/>
  <c r="O339" i="5"/>
  <c r="P338" i="5"/>
  <c r="P339" i="5"/>
  <c r="Q338" i="5"/>
  <c r="Q339" i="5"/>
  <c r="R338" i="5"/>
  <c r="R339" i="5"/>
  <c r="S338" i="5"/>
  <c r="S339" i="5"/>
  <c r="T338" i="5"/>
  <c r="T339" i="5"/>
  <c r="U338" i="5"/>
  <c r="U339" i="5"/>
  <c r="V338" i="5"/>
  <c r="V339" i="5"/>
  <c r="W338" i="5"/>
  <c r="W339" i="5"/>
  <c r="X338" i="5"/>
  <c r="X339" i="5"/>
  <c r="Y338" i="5"/>
  <c r="Y339" i="5"/>
  <c r="Z338" i="5"/>
  <c r="Z339" i="5"/>
  <c r="AA338" i="5"/>
  <c r="AA339" i="5"/>
  <c r="AB338" i="5"/>
  <c r="AB339" i="5"/>
  <c r="AC338" i="5"/>
  <c r="AC339" i="5"/>
  <c r="AD338" i="5"/>
  <c r="AD339" i="5"/>
  <c r="AF338" i="5"/>
  <c r="AF339" i="5"/>
  <c r="AG338" i="5"/>
  <c r="AG339" i="5"/>
  <c r="C337" i="5"/>
  <c r="L337" i="5"/>
  <c r="O337" i="5"/>
  <c r="P337" i="5"/>
  <c r="Q337" i="5"/>
  <c r="R337" i="5"/>
  <c r="S337" i="5"/>
  <c r="T337" i="5"/>
  <c r="U337" i="5"/>
  <c r="V337" i="5"/>
  <c r="W337" i="5"/>
  <c r="X337" i="5"/>
  <c r="Y337" i="5"/>
  <c r="Z337" i="5"/>
  <c r="AA337" i="5"/>
  <c r="AB337" i="5"/>
  <c r="AC337" i="5"/>
  <c r="AD337" i="5"/>
  <c r="AE337" i="5"/>
  <c r="AF337" i="5"/>
  <c r="AG337" i="5"/>
  <c r="C336" i="5"/>
  <c r="L336" i="5"/>
  <c r="O336" i="5"/>
  <c r="P336" i="5"/>
  <c r="Q336" i="5"/>
  <c r="R336" i="5"/>
  <c r="S336" i="5"/>
  <c r="T336" i="5"/>
  <c r="U336" i="5"/>
  <c r="V336" i="5"/>
  <c r="W336" i="5"/>
  <c r="X336" i="5"/>
  <c r="Y336" i="5"/>
  <c r="Z336" i="5"/>
  <c r="AA336" i="5"/>
  <c r="AB336" i="5"/>
  <c r="AC336" i="5"/>
  <c r="AD336" i="5"/>
  <c r="AF336" i="5"/>
  <c r="AG336" i="5"/>
  <c r="C335" i="5"/>
  <c r="L335" i="5"/>
  <c r="O335" i="5"/>
  <c r="P335" i="5"/>
  <c r="Q335" i="5"/>
  <c r="R335" i="5"/>
  <c r="S335" i="5"/>
  <c r="T335" i="5"/>
  <c r="U335" i="5"/>
  <c r="V335" i="5"/>
  <c r="W335" i="5"/>
  <c r="X335" i="5"/>
  <c r="Y335" i="5"/>
  <c r="Z335" i="5"/>
  <c r="AA335" i="5"/>
  <c r="AB335" i="5"/>
  <c r="AC335" i="5"/>
  <c r="AD335" i="5"/>
  <c r="AF335" i="5"/>
  <c r="AG335" i="5"/>
  <c r="Z88" i="1"/>
  <c r="AA88" i="1"/>
  <c r="Z89" i="1"/>
  <c r="AA89" i="1"/>
  <c r="Z90" i="1"/>
  <c r="AA90" i="1"/>
  <c r="AA62" i="1"/>
  <c r="C324" i="5"/>
  <c r="L324" i="5"/>
  <c r="M324" i="5"/>
  <c r="O324" i="5"/>
  <c r="P324" i="5"/>
  <c r="Q324" i="5"/>
  <c r="R324" i="5"/>
  <c r="S324" i="5"/>
  <c r="T324" i="5"/>
  <c r="U324" i="5"/>
  <c r="V324" i="5"/>
  <c r="W324" i="5"/>
  <c r="X324" i="5"/>
  <c r="Y324" i="5"/>
  <c r="Z324" i="5"/>
  <c r="AA324" i="5"/>
  <c r="AB324" i="5"/>
  <c r="AC324" i="5"/>
  <c r="AD324" i="5"/>
  <c r="AF324" i="5"/>
  <c r="AG324" i="5"/>
  <c r="C320" i="5"/>
  <c r="L320" i="5"/>
  <c r="M320" i="5"/>
  <c r="O320" i="5"/>
  <c r="P320" i="5"/>
  <c r="Q320" i="5"/>
  <c r="R320" i="5"/>
  <c r="S320" i="5"/>
  <c r="T320" i="5"/>
  <c r="U320" i="5"/>
  <c r="V320" i="5"/>
  <c r="W320" i="5"/>
  <c r="X320" i="5"/>
  <c r="Y320" i="5"/>
  <c r="Z320" i="5"/>
  <c r="AA320" i="5"/>
  <c r="AB320" i="5"/>
  <c r="AC320" i="5"/>
  <c r="AD320" i="5"/>
  <c r="AF320" i="5"/>
  <c r="AG320" i="5"/>
  <c r="C321" i="5"/>
  <c r="L321" i="5"/>
  <c r="M321" i="5"/>
  <c r="O321" i="5"/>
  <c r="P321" i="5"/>
  <c r="Q321" i="5"/>
  <c r="R321" i="5"/>
  <c r="S321" i="5"/>
  <c r="T321" i="5"/>
  <c r="U321" i="5"/>
  <c r="V321" i="5"/>
  <c r="W321" i="5"/>
  <c r="X321" i="5"/>
  <c r="Y321" i="5"/>
  <c r="Z321" i="5"/>
  <c r="AA321" i="5"/>
  <c r="AB321" i="5"/>
  <c r="AC321" i="5"/>
  <c r="AD321" i="5"/>
  <c r="AF321" i="5"/>
  <c r="AG321" i="5"/>
  <c r="C322" i="5"/>
  <c r="L322" i="5"/>
  <c r="M322" i="5"/>
  <c r="O322" i="5"/>
  <c r="P322" i="5"/>
  <c r="Q322" i="5"/>
  <c r="R322" i="5"/>
  <c r="S322" i="5"/>
  <c r="T322" i="5"/>
  <c r="U322" i="5"/>
  <c r="V322" i="5"/>
  <c r="W322" i="5"/>
  <c r="X322" i="5"/>
  <c r="Y322" i="5"/>
  <c r="Z322" i="5"/>
  <c r="AA322" i="5"/>
  <c r="AB322" i="5"/>
  <c r="AC322" i="5"/>
  <c r="AD322" i="5"/>
  <c r="AF322" i="5"/>
  <c r="AG322" i="5"/>
  <c r="C323" i="5"/>
  <c r="L323" i="5"/>
  <c r="M323" i="5"/>
  <c r="O323" i="5"/>
  <c r="P323" i="5"/>
  <c r="Q323" i="5"/>
  <c r="R323" i="5"/>
  <c r="S323" i="5"/>
  <c r="T323" i="5"/>
  <c r="U323" i="5"/>
  <c r="V323" i="5"/>
  <c r="W323" i="5"/>
  <c r="X323" i="5"/>
  <c r="Y323" i="5"/>
  <c r="Z323" i="5"/>
  <c r="AA323" i="5"/>
  <c r="AB323" i="5"/>
  <c r="AC323" i="5"/>
  <c r="AD323" i="5"/>
  <c r="AF323" i="5"/>
  <c r="AG323" i="5"/>
  <c r="O325" i="5"/>
  <c r="P325" i="5"/>
  <c r="Q325" i="5"/>
  <c r="R325" i="5"/>
  <c r="S325" i="5"/>
  <c r="O326" i="5"/>
  <c r="P326" i="5"/>
  <c r="Q326" i="5"/>
  <c r="R326" i="5"/>
  <c r="S326" i="5"/>
  <c r="O327" i="5"/>
  <c r="P327" i="5"/>
  <c r="Q327" i="5"/>
  <c r="R327" i="5"/>
  <c r="S327" i="5"/>
  <c r="O328" i="5"/>
  <c r="P328" i="5"/>
  <c r="Q328" i="5"/>
  <c r="R328" i="5"/>
  <c r="S328" i="5"/>
  <c r="O329" i="5"/>
  <c r="P329" i="5"/>
  <c r="Q329" i="5"/>
  <c r="R329" i="5"/>
  <c r="S329" i="5"/>
  <c r="O330" i="5"/>
  <c r="P330" i="5"/>
  <c r="Q330" i="5"/>
  <c r="R330" i="5"/>
  <c r="S330" i="5"/>
  <c r="O331" i="5"/>
  <c r="P331" i="5"/>
  <c r="Q331" i="5"/>
  <c r="R331" i="5"/>
  <c r="S331" i="5"/>
  <c r="O332" i="5"/>
  <c r="P332" i="5"/>
  <c r="Q332" i="5"/>
  <c r="R332" i="5"/>
  <c r="S332" i="5"/>
  <c r="O333" i="5"/>
  <c r="P333" i="5"/>
  <c r="Q333" i="5"/>
  <c r="R333" i="5"/>
  <c r="S333" i="5"/>
  <c r="O334" i="5"/>
  <c r="P334" i="5"/>
  <c r="Q334" i="5"/>
  <c r="R334" i="5"/>
  <c r="S334" i="5"/>
  <c r="C326" i="5"/>
  <c r="C327" i="5"/>
  <c r="C328" i="5"/>
  <c r="C329" i="5"/>
  <c r="C330" i="5"/>
  <c r="C331" i="5"/>
  <c r="C332" i="5"/>
  <c r="C333" i="5"/>
  <c r="C334" i="5"/>
  <c r="L326" i="5"/>
  <c r="L327" i="5"/>
  <c r="L328" i="5"/>
  <c r="L329" i="5"/>
  <c r="L330" i="5"/>
  <c r="L331" i="5"/>
  <c r="L332" i="5"/>
  <c r="L333" i="5"/>
  <c r="L334" i="5"/>
  <c r="M326" i="5"/>
  <c r="M327" i="5"/>
  <c r="M328" i="5"/>
  <c r="M329" i="5"/>
  <c r="M330" i="5"/>
  <c r="M331" i="5"/>
  <c r="M332" i="5"/>
  <c r="M333" i="5"/>
  <c r="T326" i="5"/>
  <c r="T327" i="5"/>
  <c r="T328" i="5"/>
  <c r="T329" i="5"/>
  <c r="T330" i="5"/>
  <c r="T331" i="5"/>
  <c r="T332" i="5"/>
  <c r="T333" i="5"/>
  <c r="T334" i="5"/>
  <c r="U326" i="5"/>
  <c r="U327" i="5"/>
  <c r="U328" i="5"/>
  <c r="U329" i="5"/>
  <c r="U330" i="5"/>
  <c r="U331" i="5"/>
  <c r="U332" i="5"/>
  <c r="U333" i="5"/>
  <c r="U334" i="5"/>
  <c r="V326" i="5"/>
  <c r="V327" i="5"/>
  <c r="V328" i="5"/>
  <c r="V329" i="5"/>
  <c r="V330" i="5"/>
  <c r="V331" i="5"/>
  <c r="V332" i="5"/>
  <c r="V333" i="5"/>
  <c r="V334" i="5"/>
  <c r="W326" i="5"/>
  <c r="W327" i="5"/>
  <c r="W328" i="5"/>
  <c r="W329" i="5"/>
  <c r="W330" i="5"/>
  <c r="W331" i="5"/>
  <c r="W332" i="5"/>
  <c r="W333" i="5"/>
  <c r="W334" i="5"/>
  <c r="X326" i="5"/>
  <c r="X327" i="5"/>
  <c r="X328" i="5"/>
  <c r="X329" i="5"/>
  <c r="X330" i="5"/>
  <c r="X331" i="5"/>
  <c r="X332" i="5"/>
  <c r="X333" i="5"/>
  <c r="X334" i="5"/>
  <c r="Y326" i="5"/>
  <c r="Y327" i="5"/>
  <c r="Y328" i="5"/>
  <c r="Y329" i="5"/>
  <c r="Y330" i="5"/>
  <c r="Y331" i="5"/>
  <c r="Y332" i="5"/>
  <c r="Y333" i="5"/>
  <c r="Y334" i="5"/>
  <c r="Z326" i="5"/>
  <c r="Z327" i="5"/>
  <c r="Z328" i="5"/>
  <c r="Z329" i="5"/>
  <c r="Z330" i="5"/>
  <c r="Z331" i="5"/>
  <c r="Z332" i="5"/>
  <c r="Z333" i="5"/>
  <c r="Z334" i="5"/>
  <c r="AA326" i="5"/>
  <c r="AA327" i="5"/>
  <c r="AA328" i="5"/>
  <c r="AA329" i="5"/>
  <c r="AA330" i="5"/>
  <c r="AA331" i="5"/>
  <c r="AA332" i="5"/>
  <c r="AA333" i="5"/>
  <c r="AA334" i="5"/>
  <c r="AB326" i="5"/>
  <c r="AB327" i="5"/>
  <c r="AB328" i="5"/>
  <c r="AB329" i="5"/>
  <c r="AB330" i="5"/>
  <c r="AB331" i="5"/>
  <c r="AB332" i="5"/>
  <c r="AB333" i="5"/>
  <c r="AB334" i="5"/>
  <c r="AC326" i="5"/>
  <c r="AC327" i="5"/>
  <c r="AC328" i="5"/>
  <c r="AC329" i="5"/>
  <c r="AC330" i="5"/>
  <c r="AC331" i="5"/>
  <c r="AC332" i="5"/>
  <c r="AC333" i="5"/>
  <c r="AC334" i="5"/>
  <c r="AD326" i="5"/>
  <c r="AD327" i="5"/>
  <c r="AD328" i="5"/>
  <c r="AD329" i="5"/>
  <c r="AD330" i="5"/>
  <c r="AD331" i="5"/>
  <c r="AD332" i="5"/>
  <c r="AD333" i="5"/>
  <c r="AD334" i="5"/>
  <c r="AF326" i="5"/>
  <c r="AF327" i="5"/>
  <c r="AF328" i="5"/>
  <c r="AF329" i="5"/>
  <c r="AF330" i="5"/>
  <c r="AF331" i="5"/>
  <c r="AF332" i="5"/>
  <c r="AF333" i="5"/>
  <c r="AF334" i="5"/>
  <c r="AG326" i="5"/>
  <c r="AG327" i="5"/>
  <c r="AG328" i="5"/>
  <c r="AG329" i="5"/>
  <c r="AG330" i="5"/>
  <c r="AG331" i="5"/>
  <c r="AG332" i="5"/>
  <c r="AG333" i="5"/>
  <c r="AG334" i="5"/>
  <c r="C325" i="5"/>
  <c r="L325" i="5"/>
  <c r="M325" i="5"/>
  <c r="T325" i="5"/>
  <c r="U325" i="5"/>
  <c r="V325" i="5"/>
  <c r="W325" i="5"/>
  <c r="X325" i="5"/>
  <c r="Y325" i="5"/>
  <c r="Z325" i="5"/>
  <c r="AA325" i="5"/>
  <c r="AB325" i="5"/>
  <c r="AC325" i="5"/>
  <c r="AD325" i="5"/>
  <c r="AF325" i="5"/>
  <c r="AG325" i="5"/>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3" i="1"/>
  <c r="AA64" i="1"/>
  <c r="AA65" i="1"/>
  <c r="AA66" i="1"/>
  <c r="AA67" i="1"/>
  <c r="AA68" i="1"/>
  <c r="AA70" i="1"/>
  <c r="AA71" i="1"/>
  <c r="AA72" i="1"/>
  <c r="AA73" i="1"/>
  <c r="AA74" i="1"/>
  <c r="AA75" i="1"/>
  <c r="AA76" i="1"/>
  <c r="AA77" i="1"/>
  <c r="AA78" i="1"/>
  <c r="AA79" i="1"/>
  <c r="AA80" i="1"/>
  <c r="AA81" i="1"/>
  <c r="AA82" i="1"/>
  <c r="AA83" i="1"/>
  <c r="AA84" i="1"/>
  <c r="AA85" i="1"/>
  <c r="AA86" i="1"/>
  <c r="AA87" i="1"/>
  <c r="C319" i="5"/>
  <c r="L319" i="5"/>
  <c r="M319" i="5"/>
  <c r="O319" i="5"/>
  <c r="P319" i="5"/>
  <c r="Q319" i="5"/>
  <c r="R319" i="5"/>
  <c r="S319" i="5"/>
  <c r="T319" i="5"/>
  <c r="U319" i="5"/>
  <c r="V319" i="5"/>
  <c r="W319" i="5"/>
  <c r="X319" i="5"/>
  <c r="Y319" i="5"/>
  <c r="Z319" i="5"/>
  <c r="AA319" i="5"/>
  <c r="AB319" i="5"/>
  <c r="AC319" i="5"/>
  <c r="AD319" i="5"/>
  <c r="AE319" i="5"/>
  <c r="AF319" i="5"/>
  <c r="AG319" i="5"/>
  <c r="C318" i="5"/>
  <c r="L318" i="5"/>
  <c r="M318" i="5"/>
  <c r="O318" i="5"/>
  <c r="P318" i="5"/>
  <c r="Q318" i="5"/>
  <c r="R318" i="5"/>
  <c r="S318" i="5"/>
  <c r="T318" i="5"/>
  <c r="U318" i="5"/>
  <c r="V318" i="5"/>
  <c r="W318" i="5"/>
  <c r="X318" i="5"/>
  <c r="Y318" i="5"/>
  <c r="Z318" i="5"/>
  <c r="AA318" i="5"/>
  <c r="AB318" i="5"/>
  <c r="AC318" i="5"/>
  <c r="AD318" i="5"/>
  <c r="AF318" i="5"/>
  <c r="AG318" i="5"/>
  <c r="C317" i="5"/>
  <c r="L317" i="5"/>
  <c r="M317" i="5"/>
  <c r="O317" i="5"/>
  <c r="P317" i="5"/>
  <c r="Q317" i="5"/>
  <c r="R317" i="5"/>
  <c r="S317" i="5"/>
  <c r="T317" i="5"/>
  <c r="U317" i="5"/>
  <c r="V317" i="5"/>
  <c r="W317" i="5"/>
  <c r="X317" i="5"/>
  <c r="Y317" i="5"/>
  <c r="Z317" i="5"/>
  <c r="AA317" i="5"/>
  <c r="AB317" i="5"/>
  <c r="AC317" i="5"/>
  <c r="AD317" i="5"/>
  <c r="AF317" i="5"/>
  <c r="AG317" i="5"/>
  <c r="C316" i="5"/>
  <c r="L316" i="5"/>
  <c r="M316" i="5"/>
  <c r="O316" i="5"/>
  <c r="P316" i="5"/>
  <c r="Q316" i="5"/>
  <c r="R316" i="5"/>
  <c r="S316" i="5"/>
  <c r="T316" i="5"/>
  <c r="U316" i="5"/>
  <c r="V316" i="5"/>
  <c r="W316" i="5"/>
  <c r="X316" i="5"/>
  <c r="Y316" i="5"/>
  <c r="Z316" i="5"/>
  <c r="AA316" i="5"/>
  <c r="AB316" i="5"/>
  <c r="AC316" i="5"/>
  <c r="AD316" i="5"/>
  <c r="AF316" i="5"/>
  <c r="AG316" i="5"/>
  <c r="C315" i="5"/>
  <c r="L315" i="5"/>
  <c r="M315" i="5"/>
  <c r="O315" i="5"/>
  <c r="P315" i="5"/>
  <c r="Q315" i="5"/>
  <c r="R315" i="5"/>
  <c r="S315" i="5"/>
  <c r="T315" i="5"/>
  <c r="U315" i="5"/>
  <c r="V315" i="5"/>
  <c r="W315" i="5"/>
  <c r="X315" i="5"/>
  <c r="Y315" i="5"/>
  <c r="Z315" i="5"/>
  <c r="AA315" i="5"/>
  <c r="AB315" i="5"/>
  <c r="AC315" i="5"/>
  <c r="AD315" i="5"/>
  <c r="AF315" i="5"/>
  <c r="AG315" i="5"/>
  <c r="C313" i="5"/>
  <c r="L313" i="5"/>
  <c r="M313" i="5"/>
  <c r="O313" i="5"/>
  <c r="P313" i="5"/>
  <c r="Q313" i="5"/>
  <c r="R313" i="5"/>
  <c r="S313" i="5"/>
  <c r="T313" i="5"/>
  <c r="U313" i="5"/>
  <c r="V313" i="5"/>
  <c r="W313" i="5"/>
  <c r="X313" i="5"/>
  <c r="Y313" i="5"/>
  <c r="Z313" i="5"/>
  <c r="AA313" i="5"/>
  <c r="AB313" i="5"/>
  <c r="AC313" i="5"/>
  <c r="AD313" i="5"/>
  <c r="AF313" i="5"/>
  <c r="AG313" i="5"/>
  <c r="Z87" i="1"/>
  <c r="C309" i="5"/>
  <c r="L309" i="5"/>
  <c r="M309" i="5"/>
  <c r="O309" i="5"/>
  <c r="P309" i="5"/>
  <c r="Q309" i="5"/>
  <c r="R309" i="5"/>
  <c r="S309" i="5"/>
  <c r="T309" i="5"/>
  <c r="U309" i="5"/>
  <c r="V309" i="5"/>
  <c r="W309" i="5"/>
  <c r="X309" i="5"/>
  <c r="Y309" i="5"/>
  <c r="Z309" i="5"/>
  <c r="AA309" i="5"/>
  <c r="AB309" i="5"/>
  <c r="AC309" i="5"/>
  <c r="AD309" i="5"/>
  <c r="AF309" i="5"/>
  <c r="AG309" i="5"/>
  <c r="C298" i="5"/>
  <c r="L298" i="5"/>
  <c r="M298" i="5"/>
  <c r="O298" i="5"/>
  <c r="P298" i="5"/>
  <c r="Q298" i="5"/>
  <c r="R298" i="5"/>
  <c r="S298" i="5"/>
  <c r="T298" i="5"/>
  <c r="U298" i="5"/>
  <c r="V298" i="5"/>
  <c r="W298" i="5"/>
  <c r="X298" i="5"/>
  <c r="Y298" i="5"/>
  <c r="Z298" i="5"/>
  <c r="AA298" i="5"/>
  <c r="AB298" i="5"/>
  <c r="AC298" i="5"/>
  <c r="AD298" i="5"/>
  <c r="AE298" i="5"/>
  <c r="AF298" i="5"/>
  <c r="AG298" i="5"/>
  <c r="C297" i="5"/>
  <c r="L297" i="5"/>
  <c r="M297" i="5"/>
  <c r="O297" i="5"/>
  <c r="P297" i="5"/>
  <c r="Q297" i="5"/>
  <c r="R297" i="5"/>
  <c r="S297" i="5"/>
  <c r="T297" i="5"/>
  <c r="U297" i="5"/>
  <c r="V297" i="5"/>
  <c r="W297" i="5"/>
  <c r="X297" i="5"/>
  <c r="Y297" i="5"/>
  <c r="Z297" i="5"/>
  <c r="AA297" i="5"/>
  <c r="AB297" i="5"/>
  <c r="AC297" i="5"/>
  <c r="AD297" i="5"/>
  <c r="AF297" i="5"/>
  <c r="AG297" i="5"/>
  <c r="C299" i="5"/>
  <c r="L299" i="5"/>
  <c r="M299" i="5"/>
  <c r="O299" i="5"/>
  <c r="P299" i="5"/>
  <c r="Q299" i="5"/>
  <c r="R299" i="5"/>
  <c r="S299" i="5"/>
  <c r="T299" i="5"/>
  <c r="U299" i="5"/>
  <c r="V299" i="5"/>
  <c r="W299" i="5"/>
  <c r="X299" i="5"/>
  <c r="Y299" i="5"/>
  <c r="Z299" i="5"/>
  <c r="AA299" i="5"/>
  <c r="AB299" i="5"/>
  <c r="AC299" i="5"/>
  <c r="AD299" i="5"/>
  <c r="AF299" i="5"/>
  <c r="AG299" i="5"/>
  <c r="AE323" i="5" l="1"/>
  <c r="AE320" i="5"/>
  <c r="AE315" i="5"/>
  <c r="AE318" i="5"/>
  <c r="AE333" i="5"/>
  <c r="AE332" i="5"/>
  <c r="AE331" i="5"/>
  <c r="AE336" i="5"/>
  <c r="AE329" i="5"/>
  <c r="AE327" i="5"/>
  <c r="AE326" i="5"/>
  <c r="AE335" i="5"/>
  <c r="AE316" i="5"/>
  <c r="AE325" i="5"/>
  <c r="AE334" i="5"/>
  <c r="AE297" i="5"/>
  <c r="AE330" i="5"/>
  <c r="AE321" i="5"/>
  <c r="AE322" i="5"/>
  <c r="AE339" i="5"/>
  <c r="C289" i="5"/>
  <c r="L289" i="5"/>
  <c r="M289" i="5"/>
  <c r="O289" i="5"/>
  <c r="P289" i="5"/>
  <c r="Q289" i="5"/>
  <c r="R289" i="5"/>
  <c r="S289" i="5"/>
  <c r="T289" i="5"/>
  <c r="U289" i="5"/>
  <c r="V289" i="5"/>
  <c r="W289" i="5"/>
  <c r="X289" i="5"/>
  <c r="Y289" i="5"/>
  <c r="Z289" i="5"/>
  <c r="AA289" i="5"/>
  <c r="AB289" i="5"/>
  <c r="AC289" i="5"/>
  <c r="AD289" i="5"/>
  <c r="AE289" i="5"/>
  <c r="AF289" i="5"/>
  <c r="AG289" i="5"/>
  <c r="C314" i="5" l="1"/>
  <c r="L314" i="5"/>
  <c r="M314" i="5"/>
  <c r="O314" i="5"/>
  <c r="P314" i="5"/>
  <c r="Q314" i="5"/>
  <c r="R314" i="5"/>
  <c r="S314" i="5"/>
  <c r="T314" i="5"/>
  <c r="U314" i="5"/>
  <c r="V314" i="5"/>
  <c r="W314" i="5"/>
  <c r="X314" i="5"/>
  <c r="Y314" i="5"/>
  <c r="Z314" i="5"/>
  <c r="AA314" i="5"/>
  <c r="AB314" i="5"/>
  <c r="AC314" i="5"/>
  <c r="AD314" i="5"/>
  <c r="AE314" i="5"/>
  <c r="AF314" i="5"/>
  <c r="AG314" i="5"/>
  <c r="C312" i="5"/>
  <c r="L312" i="5"/>
  <c r="M312" i="5"/>
  <c r="O312" i="5"/>
  <c r="P312" i="5"/>
  <c r="Q312" i="5"/>
  <c r="R312" i="5"/>
  <c r="S312" i="5"/>
  <c r="T312" i="5"/>
  <c r="U312" i="5"/>
  <c r="V312" i="5"/>
  <c r="W312" i="5"/>
  <c r="X312" i="5"/>
  <c r="Y312" i="5"/>
  <c r="Z312" i="5"/>
  <c r="AA312" i="5"/>
  <c r="AB312" i="5"/>
  <c r="AC312" i="5"/>
  <c r="AD312" i="5"/>
  <c r="AE312" i="5"/>
  <c r="AF312" i="5"/>
  <c r="AG312" i="5"/>
  <c r="C311" i="5"/>
  <c r="L311" i="5"/>
  <c r="M311" i="5"/>
  <c r="O311" i="5"/>
  <c r="P311" i="5"/>
  <c r="Q311" i="5"/>
  <c r="R311" i="5"/>
  <c r="S311" i="5"/>
  <c r="T311" i="5"/>
  <c r="U311" i="5"/>
  <c r="V311" i="5"/>
  <c r="W311" i="5"/>
  <c r="X311" i="5"/>
  <c r="Y311" i="5"/>
  <c r="Z311" i="5"/>
  <c r="AA311" i="5"/>
  <c r="AB311" i="5"/>
  <c r="AC311" i="5"/>
  <c r="AD311" i="5"/>
  <c r="AE311" i="5"/>
  <c r="AF311" i="5"/>
  <c r="AG311" i="5"/>
  <c r="C310" i="5"/>
  <c r="L310" i="5"/>
  <c r="M310" i="5"/>
  <c r="O310" i="5"/>
  <c r="P310" i="5"/>
  <c r="Q310" i="5"/>
  <c r="R310" i="5"/>
  <c r="S310" i="5"/>
  <c r="T310" i="5"/>
  <c r="U310" i="5"/>
  <c r="V310" i="5"/>
  <c r="W310" i="5"/>
  <c r="X310" i="5"/>
  <c r="Y310" i="5"/>
  <c r="Z310" i="5"/>
  <c r="AA310" i="5"/>
  <c r="AB310" i="5"/>
  <c r="AC310" i="5"/>
  <c r="AD310" i="5"/>
  <c r="AE310" i="5"/>
  <c r="AF310" i="5"/>
  <c r="AG310" i="5"/>
  <c r="C306" i="5"/>
  <c r="C307" i="5"/>
  <c r="C308" i="5"/>
  <c r="L306" i="5"/>
  <c r="L307" i="5"/>
  <c r="L308" i="5"/>
  <c r="M306" i="5"/>
  <c r="M307" i="5"/>
  <c r="M308" i="5"/>
  <c r="O306" i="5"/>
  <c r="O307" i="5"/>
  <c r="O308" i="5"/>
  <c r="P306" i="5"/>
  <c r="P307" i="5"/>
  <c r="P308" i="5"/>
  <c r="Q306" i="5"/>
  <c r="Q307" i="5"/>
  <c r="Q308" i="5"/>
  <c r="R306" i="5"/>
  <c r="R307" i="5"/>
  <c r="R308" i="5"/>
  <c r="S306" i="5"/>
  <c r="S307" i="5"/>
  <c r="S308" i="5"/>
  <c r="T306" i="5"/>
  <c r="T307" i="5"/>
  <c r="T308" i="5"/>
  <c r="U306" i="5"/>
  <c r="U307" i="5"/>
  <c r="U308" i="5"/>
  <c r="V306" i="5"/>
  <c r="V307" i="5"/>
  <c r="V308" i="5"/>
  <c r="W306" i="5"/>
  <c r="W307" i="5"/>
  <c r="W308" i="5"/>
  <c r="X306" i="5"/>
  <c r="X307" i="5"/>
  <c r="X308" i="5"/>
  <c r="Y306" i="5"/>
  <c r="Y307" i="5"/>
  <c r="Y308" i="5"/>
  <c r="Z306" i="5"/>
  <c r="Z307" i="5"/>
  <c r="Z308" i="5"/>
  <c r="AA306" i="5"/>
  <c r="AA307" i="5"/>
  <c r="AA308" i="5"/>
  <c r="AB306" i="5"/>
  <c r="AB307" i="5"/>
  <c r="AB308" i="5"/>
  <c r="AC306" i="5"/>
  <c r="AC307" i="5"/>
  <c r="AC308" i="5"/>
  <c r="AD306" i="5"/>
  <c r="AD307" i="5"/>
  <c r="AD308" i="5"/>
  <c r="AE306" i="5"/>
  <c r="AE307" i="5"/>
  <c r="AE308" i="5"/>
  <c r="AF306" i="5"/>
  <c r="AF307" i="5"/>
  <c r="AF308" i="5"/>
  <c r="AG306" i="5"/>
  <c r="AG307" i="5"/>
  <c r="AG308" i="5"/>
  <c r="Z86" i="1"/>
  <c r="C305" i="5"/>
  <c r="L305" i="5"/>
  <c r="M305" i="5"/>
  <c r="O305" i="5"/>
  <c r="P305" i="5"/>
  <c r="Q305" i="5"/>
  <c r="R305" i="5"/>
  <c r="S305" i="5"/>
  <c r="T305" i="5"/>
  <c r="U305" i="5"/>
  <c r="V305" i="5"/>
  <c r="W305" i="5"/>
  <c r="X305" i="5"/>
  <c r="Y305" i="5"/>
  <c r="Z305" i="5"/>
  <c r="AA305" i="5"/>
  <c r="AB305" i="5"/>
  <c r="AC305" i="5"/>
  <c r="AD305" i="5"/>
  <c r="AE305" i="5"/>
  <c r="AF305" i="5"/>
  <c r="AG305" i="5"/>
  <c r="C301" i="5" l="1"/>
  <c r="C302" i="5"/>
  <c r="C303" i="5"/>
  <c r="C304" i="5"/>
  <c r="L301" i="5"/>
  <c r="L302" i="5"/>
  <c r="L303" i="5"/>
  <c r="L304" i="5"/>
  <c r="M301" i="5"/>
  <c r="M302" i="5"/>
  <c r="M303" i="5"/>
  <c r="M304" i="5"/>
  <c r="O301" i="5"/>
  <c r="O302" i="5"/>
  <c r="O303" i="5"/>
  <c r="O304" i="5"/>
  <c r="P301" i="5"/>
  <c r="P302" i="5"/>
  <c r="P303" i="5"/>
  <c r="P304" i="5"/>
  <c r="Q301" i="5"/>
  <c r="Q302" i="5"/>
  <c r="Q303" i="5"/>
  <c r="Q304" i="5"/>
  <c r="R301" i="5"/>
  <c r="R302" i="5"/>
  <c r="R303" i="5"/>
  <c r="R304" i="5"/>
  <c r="S301" i="5"/>
  <c r="S302" i="5"/>
  <c r="S303" i="5"/>
  <c r="S304" i="5"/>
  <c r="T301" i="5"/>
  <c r="T302" i="5"/>
  <c r="T303" i="5"/>
  <c r="T304" i="5"/>
  <c r="U301" i="5"/>
  <c r="U302" i="5"/>
  <c r="U303" i="5"/>
  <c r="U304" i="5"/>
  <c r="V301" i="5"/>
  <c r="V302" i="5"/>
  <c r="V303" i="5"/>
  <c r="V304" i="5"/>
  <c r="W301" i="5"/>
  <c r="W302" i="5"/>
  <c r="W303" i="5"/>
  <c r="W304" i="5"/>
  <c r="X301" i="5"/>
  <c r="X302" i="5"/>
  <c r="X303" i="5"/>
  <c r="X304" i="5"/>
  <c r="Y301" i="5"/>
  <c r="Y302" i="5"/>
  <c r="Y303" i="5"/>
  <c r="Y304" i="5"/>
  <c r="Z301" i="5"/>
  <c r="Z302" i="5"/>
  <c r="Z303" i="5"/>
  <c r="Z304" i="5"/>
  <c r="AA301" i="5"/>
  <c r="AA302" i="5"/>
  <c r="AA303" i="5"/>
  <c r="AA304" i="5"/>
  <c r="AB301" i="5"/>
  <c r="AB302" i="5"/>
  <c r="AB303" i="5"/>
  <c r="AB304" i="5"/>
  <c r="AC301" i="5"/>
  <c r="AC302" i="5"/>
  <c r="AC303" i="5"/>
  <c r="AC304" i="5"/>
  <c r="AD301" i="5"/>
  <c r="AD302" i="5"/>
  <c r="AD303" i="5"/>
  <c r="AD304" i="5"/>
  <c r="AE301" i="5"/>
  <c r="AE302" i="5"/>
  <c r="AE303" i="5"/>
  <c r="AE304" i="5"/>
  <c r="AF301" i="5"/>
  <c r="AF302" i="5"/>
  <c r="AF303" i="5"/>
  <c r="AF304" i="5"/>
  <c r="AG301" i="5"/>
  <c r="AG302" i="5"/>
  <c r="AG303" i="5"/>
  <c r="AG304" i="5"/>
  <c r="C300" i="5" l="1"/>
  <c r="L300" i="5"/>
  <c r="M300" i="5"/>
  <c r="O300" i="5"/>
  <c r="P300" i="5"/>
  <c r="Q300" i="5"/>
  <c r="R300" i="5"/>
  <c r="S300" i="5"/>
  <c r="T300" i="5"/>
  <c r="U300" i="5"/>
  <c r="V300" i="5"/>
  <c r="W300" i="5"/>
  <c r="X300" i="5"/>
  <c r="Y300" i="5"/>
  <c r="Z300" i="5"/>
  <c r="AA300" i="5"/>
  <c r="AB300" i="5"/>
  <c r="AC300" i="5"/>
  <c r="AD300" i="5"/>
  <c r="AE300" i="5"/>
  <c r="AF300" i="5"/>
  <c r="AG300" i="5"/>
  <c r="C291" i="5"/>
  <c r="C292" i="5"/>
  <c r="C293" i="5"/>
  <c r="C294" i="5"/>
  <c r="C295" i="5"/>
  <c r="C296" i="5"/>
  <c r="L291" i="5"/>
  <c r="L292" i="5"/>
  <c r="L293" i="5"/>
  <c r="L294" i="5"/>
  <c r="L295" i="5"/>
  <c r="L296" i="5"/>
  <c r="M291" i="5"/>
  <c r="M292" i="5"/>
  <c r="M293" i="5"/>
  <c r="M294" i="5"/>
  <c r="M295" i="5"/>
  <c r="M296" i="5"/>
  <c r="O291" i="5"/>
  <c r="O292" i="5"/>
  <c r="O293" i="5"/>
  <c r="O294" i="5"/>
  <c r="O295" i="5"/>
  <c r="O296" i="5"/>
  <c r="P291" i="5"/>
  <c r="P292" i="5"/>
  <c r="P293" i="5"/>
  <c r="P294" i="5"/>
  <c r="P295" i="5"/>
  <c r="P296" i="5"/>
  <c r="Q291" i="5"/>
  <c r="Q292" i="5"/>
  <c r="Q293" i="5"/>
  <c r="Q294" i="5"/>
  <c r="Q295" i="5"/>
  <c r="Q296" i="5"/>
  <c r="R291" i="5"/>
  <c r="R292" i="5"/>
  <c r="R293" i="5"/>
  <c r="R294" i="5"/>
  <c r="R295" i="5"/>
  <c r="R296" i="5"/>
  <c r="S291" i="5"/>
  <c r="S292" i="5"/>
  <c r="S293" i="5"/>
  <c r="S294" i="5"/>
  <c r="S295" i="5"/>
  <c r="S296" i="5"/>
  <c r="T291" i="5"/>
  <c r="T292" i="5"/>
  <c r="T293" i="5"/>
  <c r="T294" i="5"/>
  <c r="T295" i="5"/>
  <c r="T296" i="5"/>
  <c r="U291" i="5"/>
  <c r="U292" i="5"/>
  <c r="U293" i="5"/>
  <c r="U294" i="5"/>
  <c r="U295" i="5"/>
  <c r="U296" i="5"/>
  <c r="V291" i="5"/>
  <c r="V292" i="5"/>
  <c r="V293" i="5"/>
  <c r="V294" i="5"/>
  <c r="V295" i="5"/>
  <c r="V296" i="5"/>
  <c r="W291" i="5"/>
  <c r="W292" i="5"/>
  <c r="W293" i="5"/>
  <c r="W294" i="5"/>
  <c r="W295" i="5"/>
  <c r="W296" i="5"/>
  <c r="X291" i="5"/>
  <c r="X292" i="5"/>
  <c r="X293" i="5"/>
  <c r="X294" i="5"/>
  <c r="X295" i="5"/>
  <c r="X296" i="5"/>
  <c r="Y291" i="5"/>
  <c r="Y292" i="5"/>
  <c r="Y293" i="5"/>
  <c r="Y294" i="5"/>
  <c r="Y295" i="5"/>
  <c r="Y296" i="5"/>
  <c r="Z291" i="5"/>
  <c r="Z292" i="5"/>
  <c r="Z293" i="5"/>
  <c r="Z294" i="5"/>
  <c r="Z295" i="5"/>
  <c r="Z296" i="5"/>
  <c r="AA291" i="5"/>
  <c r="AA292" i="5"/>
  <c r="AA293" i="5"/>
  <c r="AA294" i="5"/>
  <c r="AA295" i="5"/>
  <c r="AA296" i="5"/>
  <c r="AB291" i="5"/>
  <c r="AB292" i="5"/>
  <c r="AB293" i="5"/>
  <c r="AB294" i="5"/>
  <c r="AB295" i="5"/>
  <c r="AB296" i="5"/>
  <c r="AC291" i="5"/>
  <c r="AC292" i="5"/>
  <c r="AC293" i="5"/>
  <c r="AC294" i="5"/>
  <c r="AC295" i="5"/>
  <c r="AC296" i="5"/>
  <c r="AD291" i="5"/>
  <c r="AD292" i="5"/>
  <c r="AD293" i="5"/>
  <c r="AD294" i="5"/>
  <c r="AD295" i="5"/>
  <c r="AD296" i="5"/>
  <c r="AE291" i="5"/>
  <c r="AE292" i="5"/>
  <c r="AE293" i="5"/>
  <c r="AE294" i="5"/>
  <c r="AE295" i="5"/>
  <c r="AE296" i="5"/>
  <c r="AF291" i="5"/>
  <c r="AF292" i="5"/>
  <c r="AF293" i="5"/>
  <c r="AF294" i="5"/>
  <c r="AF295" i="5"/>
  <c r="AF296" i="5"/>
  <c r="AG291" i="5"/>
  <c r="AG292" i="5"/>
  <c r="AG293" i="5"/>
  <c r="AG294" i="5"/>
  <c r="AG295" i="5"/>
  <c r="AG296" i="5"/>
  <c r="C290" i="5"/>
  <c r="L290" i="5"/>
  <c r="M290" i="5"/>
  <c r="O290" i="5"/>
  <c r="P290" i="5"/>
  <c r="Q290" i="5"/>
  <c r="R290" i="5"/>
  <c r="S290" i="5"/>
  <c r="T290" i="5"/>
  <c r="U290" i="5"/>
  <c r="V290" i="5"/>
  <c r="W290" i="5"/>
  <c r="X290" i="5"/>
  <c r="Y290" i="5"/>
  <c r="Z290" i="5"/>
  <c r="AA290" i="5"/>
  <c r="AB290" i="5"/>
  <c r="AC290" i="5"/>
  <c r="AD290" i="5"/>
  <c r="AE290" i="5"/>
  <c r="AF290" i="5"/>
  <c r="AG290" i="5"/>
  <c r="C279" i="5"/>
  <c r="C280" i="5"/>
  <c r="C281" i="5"/>
  <c r="C282" i="5"/>
  <c r="C283" i="5"/>
  <c r="C284" i="5"/>
  <c r="C285" i="5"/>
  <c r="C286" i="5"/>
  <c r="C287" i="5"/>
  <c r="C288" i="5"/>
  <c r="L279" i="5"/>
  <c r="L280" i="5"/>
  <c r="L281" i="5"/>
  <c r="L282" i="5"/>
  <c r="L283" i="5"/>
  <c r="L284" i="5"/>
  <c r="L285" i="5"/>
  <c r="L286" i="5"/>
  <c r="L287" i="5"/>
  <c r="L288" i="5"/>
  <c r="M279" i="5"/>
  <c r="M280" i="5"/>
  <c r="M281" i="5"/>
  <c r="M282" i="5"/>
  <c r="M283" i="5"/>
  <c r="M284" i="5"/>
  <c r="M285" i="5"/>
  <c r="M286" i="5"/>
  <c r="M287" i="5"/>
  <c r="M288" i="5"/>
  <c r="O279" i="5"/>
  <c r="O280" i="5"/>
  <c r="O281" i="5"/>
  <c r="O282" i="5"/>
  <c r="O283" i="5"/>
  <c r="O284" i="5"/>
  <c r="O285" i="5"/>
  <c r="O286" i="5"/>
  <c r="O287" i="5"/>
  <c r="O288" i="5"/>
  <c r="P279" i="5"/>
  <c r="P280" i="5"/>
  <c r="P281" i="5"/>
  <c r="P282" i="5"/>
  <c r="P283" i="5"/>
  <c r="P284" i="5"/>
  <c r="P285" i="5"/>
  <c r="P286" i="5"/>
  <c r="P287" i="5"/>
  <c r="P288" i="5"/>
  <c r="Q279" i="5"/>
  <c r="Q280" i="5"/>
  <c r="Q281" i="5"/>
  <c r="Q282" i="5"/>
  <c r="Q283" i="5"/>
  <c r="Q284" i="5"/>
  <c r="Q285" i="5"/>
  <c r="Q286" i="5"/>
  <c r="Q287" i="5"/>
  <c r="Q288" i="5"/>
  <c r="R279" i="5"/>
  <c r="R280" i="5"/>
  <c r="R281" i="5"/>
  <c r="R282" i="5"/>
  <c r="R283" i="5"/>
  <c r="R284" i="5"/>
  <c r="R285" i="5"/>
  <c r="R286" i="5"/>
  <c r="R287" i="5"/>
  <c r="R288" i="5"/>
  <c r="S279" i="5"/>
  <c r="S280" i="5"/>
  <c r="S281" i="5"/>
  <c r="S282" i="5"/>
  <c r="S283" i="5"/>
  <c r="S284" i="5"/>
  <c r="S285" i="5"/>
  <c r="S286" i="5"/>
  <c r="S287" i="5"/>
  <c r="S288" i="5"/>
  <c r="T279" i="5"/>
  <c r="T280" i="5"/>
  <c r="T281" i="5"/>
  <c r="T282" i="5"/>
  <c r="T283" i="5"/>
  <c r="T284" i="5"/>
  <c r="T285" i="5"/>
  <c r="T286" i="5"/>
  <c r="T287" i="5"/>
  <c r="T288" i="5"/>
  <c r="U279" i="5"/>
  <c r="U280" i="5"/>
  <c r="U281" i="5"/>
  <c r="U282" i="5"/>
  <c r="U283" i="5"/>
  <c r="U284" i="5"/>
  <c r="U285" i="5"/>
  <c r="U286" i="5"/>
  <c r="U287" i="5"/>
  <c r="U288" i="5"/>
  <c r="V279" i="5"/>
  <c r="V280" i="5"/>
  <c r="V281" i="5"/>
  <c r="V282" i="5"/>
  <c r="V283" i="5"/>
  <c r="V284" i="5"/>
  <c r="V285" i="5"/>
  <c r="V286" i="5"/>
  <c r="V287" i="5"/>
  <c r="V288" i="5"/>
  <c r="W279" i="5"/>
  <c r="W280" i="5"/>
  <c r="W281" i="5"/>
  <c r="W282" i="5"/>
  <c r="W283" i="5"/>
  <c r="W284" i="5"/>
  <c r="W285" i="5"/>
  <c r="W286" i="5"/>
  <c r="W287" i="5"/>
  <c r="W288" i="5"/>
  <c r="X279" i="5"/>
  <c r="X280" i="5"/>
  <c r="X281" i="5"/>
  <c r="X282" i="5"/>
  <c r="X283" i="5"/>
  <c r="X284" i="5"/>
  <c r="X285" i="5"/>
  <c r="X286" i="5"/>
  <c r="X287" i="5"/>
  <c r="X288" i="5"/>
  <c r="Y279" i="5"/>
  <c r="Y280" i="5"/>
  <c r="Y281" i="5"/>
  <c r="Y282" i="5"/>
  <c r="Y283" i="5"/>
  <c r="Y284" i="5"/>
  <c r="Y285" i="5"/>
  <c r="Y286" i="5"/>
  <c r="Y287" i="5"/>
  <c r="Y288" i="5"/>
  <c r="Z279" i="5"/>
  <c r="Z280" i="5"/>
  <c r="Z281" i="5"/>
  <c r="Z282" i="5"/>
  <c r="Z283" i="5"/>
  <c r="Z284" i="5"/>
  <c r="Z285" i="5"/>
  <c r="Z286" i="5"/>
  <c r="Z287" i="5"/>
  <c r="Z288" i="5"/>
  <c r="AA279" i="5"/>
  <c r="AA280" i="5"/>
  <c r="AA281" i="5"/>
  <c r="AA282" i="5"/>
  <c r="AA283" i="5"/>
  <c r="AA284" i="5"/>
  <c r="AA285" i="5"/>
  <c r="AA286" i="5"/>
  <c r="AA287" i="5"/>
  <c r="AA288" i="5"/>
  <c r="AB279" i="5"/>
  <c r="AB280" i="5"/>
  <c r="AB281" i="5"/>
  <c r="AB282" i="5"/>
  <c r="AB283" i="5"/>
  <c r="AB284" i="5"/>
  <c r="AB285" i="5"/>
  <c r="AB286" i="5"/>
  <c r="AB287" i="5"/>
  <c r="AB288" i="5"/>
  <c r="AC279" i="5"/>
  <c r="AC280" i="5"/>
  <c r="AC281" i="5"/>
  <c r="AC282" i="5"/>
  <c r="AC283" i="5"/>
  <c r="AC284" i="5"/>
  <c r="AC285" i="5"/>
  <c r="AC286" i="5"/>
  <c r="AC287" i="5"/>
  <c r="AC288" i="5"/>
  <c r="AD279" i="5"/>
  <c r="AD280" i="5"/>
  <c r="AD281" i="5"/>
  <c r="AD282" i="5"/>
  <c r="AD283" i="5"/>
  <c r="AD284" i="5"/>
  <c r="AD285" i="5"/>
  <c r="AD286" i="5"/>
  <c r="AD287" i="5"/>
  <c r="AD288" i="5"/>
  <c r="AE279" i="5"/>
  <c r="AE280" i="5"/>
  <c r="AE281" i="5"/>
  <c r="AE282" i="5"/>
  <c r="AE283" i="5"/>
  <c r="AE284" i="5"/>
  <c r="AE285" i="5"/>
  <c r="AE286" i="5"/>
  <c r="AE287" i="5"/>
  <c r="AE288" i="5"/>
  <c r="AF279" i="5"/>
  <c r="AF280" i="5"/>
  <c r="AF281" i="5"/>
  <c r="AF282" i="5"/>
  <c r="AF283" i="5"/>
  <c r="AF284" i="5"/>
  <c r="AF285" i="5"/>
  <c r="AF286" i="5"/>
  <c r="AF287" i="5"/>
  <c r="AF288" i="5"/>
  <c r="AG279" i="5"/>
  <c r="AG280" i="5"/>
  <c r="AG281" i="5"/>
  <c r="AG282" i="5"/>
  <c r="AG283" i="5"/>
  <c r="AG284" i="5"/>
  <c r="AG285" i="5"/>
  <c r="AG286" i="5"/>
  <c r="AG287" i="5"/>
  <c r="AG288" i="5"/>
  <c r="C278" i="5"/>
  <c r="L278" i="5"/>
  <c r="M278" i="5"/>
  <c r="O278" i="5"/>
  <c r="P278" i="5"/>
  <c r="Q278" i="5"/>
  <c r="R278" i="5"/>
  <c r="S278" i="5"/>
  <c r="T278" i="5"/>
  <c r="U278" i="5"/>
  <c r="V278" i="5"/>
  <c r="W278" i="5"/>
  <c r="X278" i="5"/>
  <c r="Y278" i="5"/>
  <c r="Z278" i="5"/>
  <c r="AA278" i="5"/>
  <c r="AB278" i="5"/>
  <c r="AC278" i="5"/>
  <c r="AD278" i="5"/>
  <c r="AE278" i="5"/>
  <c r="AF278" i="5"/>
  <c r="AG278" i="5"/>
  <c r="Z85" i="1"/>
  <c r="Z84" i="1"/>
  <c r="Z83" i="1"/>
  <c r="Z82" i="1"/>
  <c r="C271" i="5"/>
  <c r="C272" i="5"/>
  <c r="C273" i="5"/>
  <c r="C274" i="5"/>
  <c r="C275" i="5"/>
  <c r="C276" i="5"/>
  <c r="C277" i="5"/>
  <c r="L271" i="5"/>
  <c r="L272" i="5"/>
  <c r="L273" i="5"/>
  <c r="L274" i="5"/>
  <c r="L275" i="5"/>
  <c r="L276" i="5"/>
  <c r="M271" i="5"/>
  <c r="M272" i="5"/>
  <c r="M273" i="5"/>
  <c r="M274" i="5"/>
  <c r="M275" i="5"/>
  <c r="M276" i="5"/>
  <c r="M277" i="5"/>
  <c r="O271" i="5"/>
  <c r="O272" i="5"/>
  <c r="O273" i="5"/>
  <c r="O274" i="5"/>
  <c r="O275" i="5"/>
  <c r="O276" i="5"/>
  <c r="O277" i="5"/>
  <c r="P271" i="5"/>
  <c r="P272" i="5"/>
  <c r="P273" i="5"/>
  <c r="P274" i="5"/>
  <c r="P275" i="5"/>
  <c r="P276" i="5"/>
  <c r="P277" i="5"/>
  <c r="Q271" i="5"/>
  <c r="Q272" i="5"/>
  <c r="Q273" i="5"/>
  <c r="Q274" i="5"/>
  <c r="Q275" i="5"/>
  <c r="Q276" i="5"/>
  <c r="Q277" i="5"/>
  <c r="R271" i="5"/>
  <c r="R272" i="5"/>
  <c r="R273" i="5"/>
  <c r="R274" i="5"/>
  <c r="R275" i="5"/>
  <c r="R276" i="5"/>
  <c r="R277" i="5"/>
  <c r="S271" i="5"/>
  <c r="S272" i="5"/>
  <c r="S273" i="5"/>
  <c r="S274" i="5"/>
  <c r="S275" i="5"/>
  <c r="S276" i="5"/>
  <c r="S277" i="5"/>
  <c r="T271" i="5"/>
  <c r="T272" i="5"/>
  <c r="T273" i="5"/>
  <c r="T274" i="5"/>
  <c r="T275" i="5"/>
  <c r="T276" i="5"/>
  <c r="T277" i="5"/>
  <c r="U271" i="5"/>
  <c r="U272" i="5"/>
  <c r="U273" i="5"/>
  <c r="U274" i="5"/>
  <c r="U275" i="5"/>
  <c r="U276" i="5"/>
  <c r="U277" i="5"/>
  <c r="V271" i="5"/>
  <c r="V272" i="5"/>
  <c r="V273" i="5"/>
  <c r="V274" i="5"/>
  <c r="V275" i="5"/>
  <c r="V276" i="5"/>
  <c r="V277" i="5"/>
  <c r="W271" i="5"/>
  <c r="W272" i="5"/>
  <c r="W273" i="5"/>
  <c r="W274" i="5"/>
  <c r="W275" i="5"/>
  <c r="W276" i="5"/>
  <c r="W277" i="5"/>
  <c r="X271" i="5"/>
  <c r="X272" i="5"/>
  <c r="X273" i="5"/>
  <c r="X274" i="5"/>
  <c r="X275" i="5"/>
  <c r="X276" i="5"/>
  <c r="X277" i="5"/>
  <c r="Y271" i="5"/>
  <c r="Y272" i="5"/>
  <c r="Y273" i="5"/>
  <c r="Y274" i="5"/>
  <c r="Y275" i="5"/>
  <c r="Y276" i="5"/>
  <c r="Y277" i="5"/>
  <c r="Z271" i="5"/>
  <c r="Z272" i="5"/>
  <c r="Z273" i="5"/>
  <c r="Z274" i="5"/>
  <c r="Z275" i="5"/>
  <c r="Z276" i="5"/>
  <c r="Z277" i="5"/>
  <c r="AA271" i="5"/>
  <c r="AA272" i="5"/>
  <c r="AA273" i="5"/>
  <c r="AA274" i="5"/>
  <c r="AA275" i="5"/>
  <c r="AA276" i="5"/>
  <c r="AA277" i="5"/>
  <c r="AB271" i="5"/>
  <c r="AB272" i="5"/>
  <c r="AB273" i="5"/>
  <c r="AB274" i="5"/>
  <c r="AB275" i="5"/>
  <c r="AB276" i="5"/>
  <c r="AB277" i="5"/>
  <c r="AC271" i="5"/>
  <c r="AC272" i="5"/>
  <c r="AC273" i="5"/>
  <c r="AC274" i="5"/>
  <c r="AC275" i="5"/>
  <c r="AC276" i="5"/>
  <c r="AC277" i="5"/>
  <c r="AD271" i="5"/>
  <c r="AD272" i="5"/>
  <c r="AD273" i="5"/>
  <c r="AD274" i="5"/>
  <c r="AD275" i="5"/>
  <c r="AD276" i="5"/>
  <c r="AD277" i="5"/>
  <c r="AE271" i="5"/>
  <c r="AE272" i="5"/>
  <c r="AE273" i="5"/>
  <c r="AE274" i="5"/>
  <c r="AE275" i="5"/>
  <c r="AE276" i="5"/>
  <c r="AE277" i="5"/>
  <c r="AF271" i="5"/>
  <c r="AF272" i="5"/>
  <c r="AF273" i="5"/>
  <c r="AF274" i="5"/>
  <c r="AF275" i="5"/>
  <c r="AF276" i="5"/>
  <c r="AF277" i="5"/>
  <c r="AG271" i="5"/>
  <c r="AG272" i="5"/>
  <c r="AG273" i="5"/>
  <c r="AG274" i="5"/>
  <c r="AG275" i="5"/>
  <c r="AG276" i="5"/>
  <c r="AG277" i="5"/>
  <c r="C270" i="5"/>
  <c r="L270" i="5"/>
  <c r="M270" i="5"/>
  <c r="O270" i="5"/>
  <c r="P270" i="5"/>
  <c r="Q270" i="5"/>
  <c r="R270" i="5"/>
  <c r="S270" i="5"/>
  <c r="T270" i="5"/>
  <c r="U270" i="5"/>
  <c r="V270" i="5"/>
  <c r="W270" i="5"/>
  <c r="X270" i="5"/>
  <c r="Y270" i="5"/>
  <c r="Z270" i="5"/>
  <c r="AA270" i="5"/>
  <c r="AB270" i="5"/>
  <c r="AC270" i="5"/>
  <c r="AD270" i="5"/>
  <c r="AE270" i="5"/>
  <c r="AF270" i="5"/>
  <c r="AG270" i="5"/>
  <c r="Z81" i="1"/>
  <c r="C116" i="5"/>
  <c r="C264" i="5"/>
  <c r="C265" i="5"/>
  <c r="C266" i="5"/>
  <c r="C267" i="5"/>
  <c r="C268" i="5"/>
  <c r="C269" i="5"/>
  <c r="L264" i="5"/>
  <c r="L265" i="5"/>
  <c r="L266" i="5"/>
  <c r="L268" i="5"/>
  <c r="L269" i="5"/>
  <c r="M264" i="5"/>
  <c r="M265" i="5"/>
  <c r="M266" i="5"/>
  <c r="M267" i="5"/>
  <c r="M268" i="5"/>
  <c r="M269" i="5"/>
  <c r="O264" i="5"/>
  <c r="O265" i="5"/>
  <c r="O266" i="5"/>
  <c r="O267" i="5"/>
  <c r="O268" i="5"/>
  <c r="O269" i="5"/>
  <c r="P264" i="5"/>
  <c r="P265" i="5"/>
  <c r="P266" i="5"/>
  <c r="P267" i="5"/>
  <c r="P268" i="5"/>
  <c r="P269" i="5"/>
  <c r="Q264" i="5"/>
  <c r="Q265" i="5"/>
  <c r="Q266" i="5"/>
  <c r="Q267" i="5"/>
  <c r="Q268" i="5"/>
  <c r="Q269" i="5"/>
  <c r="R264" i="5"/>
  <c r="R265" i="5"/>
  <c r="R266" i="5"/>
  <c r="R267" i="5"/>
  <c r="R268" i="5"/>
  <c r="R269" i="5"/>
  <c r="S264" i="5"/>
  <c r="S265" i="5"/>
  <c r="S266" i="5"/>
  <c r="S267" i="5"/>
  <c r="S268" i="5"/>
  <c r="S269" i="5"/>
  <c r="T264" i="5"/>
  <c r="T265" i="5"/>
  <c r="T266" i="5"/>
  <c r="T267" i="5"/>
  <c r="T268" i="5"/>
  <c r="T269" i="5"/>
  <c r="U264" i="5"/>
  <c r="U265" i="5"/>
  <c r="U266" i="5"/>
  <c r="U267" i="5"/>
  <c r="U268" i="5"/>
  <c r="U269" i="5"/>
  <c r="V264" i="5"/>
  <c r="V265" i="5"/>
  <c r="V266" i="5"/>
  <c r="V267" i="5"/>
  <c r="V268" i="5"/>
  <c r="V269" i="5"/>
  <c r="W264" i="5"/>
  <c r="W265" i="5"/>
  <c r="W266" i="5"/>
  <c r="W267" i="5"/>
  <c r="W268" i="5"/>
  <c r="W269" i="5"/>
  <c r="X264" i="5"/>
  <c r="X265" i="5"/>
  <c r="X266" i="5"/>
  <c r="X267" i="5"/>
  <c r="X268" i="5"/>
  <c r="X269" i="5"/>
  <c r="Y264" i="5"/>
  <c r="Y265" i="5"/>
  <c r="Y266" i="5"/>
  <c r="Y267" i="5"/>
  <c r="Y268" i="5"/>
  <c r="Y269" i="5"/>
  <c r="Z264" i="5"/>
  <c r="Z265" i="5"/>
  <c r="Z266" i="5"/>
  <c r="Z267" i="5"/>
  <c r="Z268" i="5"/>
  <c r="Z269" i="5"/>
  <c r="AA264" i="5"/>
  <c r="AA265" i="5"/>
  <c r="AA266" i="5"/>
  <c r="AA267" i="5"/>
  <c r="AA268" i="5"/>
  <c r="AA269" i="5"/>
  <c r="AB264" i="5"/>
  <c r="AB265" i="5"/>
  <c r="AB266" i="5"/>
  <c r="AB267" i="5"/>
  <c r="AB268" i="5"/>
  <c r="AB269" i="5"/>
  <c r="AC264" i="5"/>
  <c r="AC265" i="5"/>
  <c r="AC266" i="5"/>
  <c r="AC267" i="5"/>
  <c r="AC268" i="5"/>
  <c r="AC269" i="5"/>
  <c r="AD264" i="5"/>
  <c r="AD265" i="5"/>
  <c r="AD266" i="5"/>
  <c r="AD267" i="5"/>
  <c r="AD268" i="5"/>
  <c r="AD269" i="5"/>
  <c r="AE264" i="5"/>
  <c r="AE265" i="5"/>
  <c r="AE266" i="5"/>
  <c r="AE267" i="5"/>
  <c r="AE268" i="5"/>
  <c r="AE269" i="5"/>
  <c r="AF264" i="5"/>
  <c r="AF265" i="5"/>
  <c r="AF266" i="5"/>
  <c r="AF267" i="5"/>
  <c r="AF268" i="5"/>
  <c r="AF269" i="5"/>
  <c r="AG264" i="5"/>
  <c r="AG265" i="5"/>
  <c r="AG266" i="5"/>
  <c r="AG267" i="5"/>
  <c r="AG268" i="5"/>
  <c r="AG269" i="5"/>
  <c r="C263" i="5"/>
  <c r="L263" i="5"/>
  <c r="M263" i="5"/>
  <c r="O263" i="5"/>
  <c r="P263" i="5"/>
  <c r="Q263" i="5"/>
  <c r="R263" i="5"/>
  <c r="S263" i="5"/>
  <c r="T263" i="5"/>
  <c r="U263" i="5"/>
  <c r="V263" i="5"/>
  <c r="W263" i="5"/>
  <c r="X263" i="5"/>
  <c r="Y263" i="5"/>
  <c r="Z263" i="5"/>
  <c r="AA263" i="5"/>
  <c r="AB263" i="5"/>
  <c r="AC263" i="5"/>
  <c r="AD263" i="5"/>
  <c r="AE263" i="5"/>
  <c r="AF263" i="5"/>
  <c r="AG263" i="5"/>
  <c r="C262" i="5"/>
  <c r="L262" i="5"/>
  <c r="M262" i="5"/>
  <c r="O262" i="5"/>
  <c r="P262" i="5"/>
  <c r="Q262" i="5"/>
  <c r="R262" i="5"/>
  <c r="S262" i="5"/>
  <c r="T262" i="5"/>
  <c r="U262" i="5"/>
  <c r="V262" i="5"/>
  <c r="W262" i="5"/>
  <c r="X262" i="5"/>
  <c r="Y262" i="5"/>
  <c r="Z262" i="5"/>
  <c r="AA262" i="5"/>
  <c r="AB262" i="5"/>
  <c r="AC262" i="5"/>
  <c r="AD262" i="5"/>
  <c r="AE262" i="5"/>
  <c r="AF262" i="5"/>
  <c r="AG262" i="5"/>
  <c r="C261" i="5"/>
  <c r="L261" i="5"/>
  <c r="M261" i="5"/>
  <c r="O261" i="5"/>
  <c r="P261" i="5"/>
  <c r="Q261" i="5"/>
  <c r="R261" i="5"/>
  <c r="S261" i="5"/>
  <c r="T261" i="5"/>
  <c r="U261" i="5"/>
  <c r="V261" i="5"/>
  <c r="W261" i="5"/>
  <c r="X261" i="5"/>
  <c r="Y261" i="5"/>
  <c r="Z261" i="5"/>
  <c r="AA261" i="5"/>
  <c r="AB261" i="5"/>
  <c r="AC261" i="5"/>
  <c r="AD261" i="5"/>
  <c r="AE261" i="5"/>
  <c r="AF261" i="5"/>
  <c r="AG261" i="5"/>
  <c r="C260" i="5"/>
  <c r="L260" i="5"/>
  <c r="M260" i="5"/>
  <c r="O260" i="5"/>
  <c r="P260" i="5"/>
  <c r="Q260" i="5"/>
  <c r="R260" i="5"/>
  <c r="S260" i="5"/>
  <c r="T260" i="5"/>
  <c r="U260" i="5"/>
  <c r="V260" i="5"/>
  <c r="W260" i="5"/>
  <c r="X260" i="5"/>
  <c r="Y260" i="5"/>
  <c r="Z260" i="5"/>
  <c r="AA260" i="5"/>
  <c r="AB260" i="5"/>
  <c r="AC260" i="5"/>
  <c r="AD260" i="5"/>
  <c r="AE260" i="5"/>
  <c r="AF260" i="5"/>
  <c r="AG260" i="5"/>
  <c r="C259" i="5"/>
  <c r="L259" i="5"/>
  <c r="M259" i="5"/>
  <c r="O259" i="5"/>
  <c r="P259" i="5"/>
  <c r="Q259" i="5"/>
  <c r="R259" i="5"/>
  <c r="S259" i="5"/>
  <c r="T259" i="5"/>
  <c r="U259" i="5"/>
  <c r="V259" i="5"/>
  <c r="W259" i="5"/>
  <c r="X259" i="5"/>
  <c r="Y259" i="5"/>
  <c r="Z259" i="5"/>
  <c r="AA259" i="5"/>
  <c r="AB259" i="5"/>
  <c r="AC259" i="5"/>
  <c r="AD259" i="5"/>
  <c r="AE259" i="5"/>
  <c r="AF259" i="5"/>
  <c r="AG259" i="5"/>
  <c r="C258" i="5"/>
  <c r="L258" i="5"/>
  <c r="M258" i="5"/>
  <c r="O258" i="5"/>
  <c r="P258" i="5"/>
  <c r="Q258" i="5"/>
  <c r="R258" i="5"/>
  <c r="S258" i="5"/>
  <c r="T258" i="5"/>
  <c r="U258" i="5"/>
  <c r="V258" i="5"/>
  <c r="W258" i="5"/>
  <c r="X258" i="5"/>
  <c r="Y258" i="5"/>
  <c r="Z258" i="5"/>
  <c r="AA258" i="5"/>
  <c r="AB258" i="5"/>
  <c r="AC258" i="5"/>
  <c r="AD258" i="5"/>
  <c r="AE258" i="5"/>
  <c r="AF258" i="5"/>
  <c r="AG258" i="5"/>
  <c r="C257" i="5"/>
  <c r="L257" i="5"/>
  <c r="M257" i="5"/>
  <c r="O257" i="5"/>
  <c r="P257" i="5"/>
  <c r="Q257" i="5"/>
  <c r="R257" i="5"/>
  <c r="S257" i="5"/>
  <c r="T257" i="5"/>
  <c r="U257" i="5"/>
  <c r="V257" i="5"/>
  <c r="W257" i="5"/>
  <c r="X257" i="5"/>
  <c r="Y257" i="5"/>
  <c r="Z257" i="5"/>
  <c r="AA257" i="5"/>
  <c r="AB257" i="5"/>
  <c r="AC257" i="5"/>
  <c r="AD257" i="5"/>
  <c r="AE257" i="5"/>
  <c r="AF257" i="5"/>
  <c r="AG257" i="5"/>
  <c r="C256" i="5"/>
  <c r="L256" i="5"/>
  <c r="M256" i="5"/>
  <c r="O256" i="5"/>
  <c r="P256" i="5"/>
  <c r="Q256" i="5"/>
  <c r="R256" i="5"/>
  <c r="S256" i="5"/>
  <c r="T256" i="5"/>
  <c r="U256" i="5"/>
  <c r="V256" i="5"/>
  <c r="W256" i="5"/>
  <c r="X256" i="5"/>
  <c r="Y256" i="5"/>
  <c r="Z256" i="5"/>
  <c r="AA256" i="5"/>
  <c r="AB256" i="5"/>
  <c r="AC256" i="5"/>
  <c r="AD256" i="5"/>
  <c r="AE256" i="5"/>
  <c r="AF256" i="5"/>
  <c r="AG256" i="5"/>
  <c r="C255" i="5"/>
  <c r="L255" i="5"/>
  <c r="M255" i="5"/>
  <c r="O255" i="5"/>
  <c r="P255" i="5"/>
  <c r="Q255" i="5"/>
  <c r="R255" i="5"/>
  <c r="S255" i="5"/>
  <c r="T255" i="5"/>
  <c r="U255" i="5"/>
  <c r="V255" i="5"/>
  <c r="W255" i="5"/>
  <c r="X255" i="5"/>
  <c r="Y255" i="5"/>
  <c r="Z255" i="5"/>
  <c r="AA255" i="5"/>
  <c r="AB255" i="5"/>
  <c r="AC255" i="5"/>
  <c r="AD255" i="5"/>
  <c r="AE255" i="5"/>
  <c r="AF255" i="5"/>
  <c r="AG255" i="5"/>
  <c r="C254" i="5"/>
  <c r="L254" i="5"/>
  <c r="M254" i="5"/>
  <c r="O254" i="5"/>
  <c r="P254" i="5"/>
  <c r="Q254" i="5"/>
  <c r="R254" i="5"/>
  <c r="S254" i="5"/>
  <c r="T254" i="5"/>
  <c r="U254" i="5"/>
  <c r="V254" i="5"/>
  <c r="W254" i="5"/>
  <c r="X254" i="5"/>
  <c r="Y254" i="5"/>
  <c r="Z254" i="5"/>
  <c r="AA254" i="5"/>
  <c r="AB254" i="5"/>
  <c r="AC254" i="5"/>
  <c r="AD254" i="5"/>
  <c r="AE254" i="5"/>
  <c r="AF254" i="5"/>
  <c r="AG254" i="5"/>
  <c r="C253" i="5"/>
  <c r="L253" i="5"/>
  <c r="M253" i="5"/>
  <c r="O253" i="5"/>
  <c r="P253" i="5"/>
  <c r="Q253" i="5"/>
  <c r="R253" i="5"/>
  <c r="S253" i="5"/>
  <c r="T253" i="5"/>
  <c r="U253" i="5"/>
  <c r="V253" i="5"/>
  <c r="W253" i="5"/>
  <c r="X253" i="5"/>
  <c r="Y253" i="5"/>
  <c r="Z253" i="5"/>
  <c r="AA253" i="5"/>
  <c r="AB253" i="5"/>
  <c r="AC253" i="5"/>
  <c r="AD253" i="5"/>
  <c r="AE253" i="5"/>
  <c r="AF253" i="5"/>
  <c r="AG253" i="5"/>
  <c r="C252" i="5"/>
  <c r="L252" i="5"/>
  <c r="M252" i="5"/>
  <c r="O252" i="5"/>
  <c r="P252" i="5"/>
  <c r="Q252" i="5"/>
  <c r="R252" i="5"/>
  <c r="S252" i="5"/>
  <c r="T252" i="5"/>
  <c r="U252" i="5"/>
  <c r="V252" i="5"/>
  <c r="W252" i="5"/>
  <c r="X252" i="5"/>
  <c r="Y252" i="5"/>
  <c r="Z252" i="5"/>
  <c r="AA252" i="5"/>
  <c r="AB252" i="5"/>
  <c r="AC252" i="5"/>
  <c r="AD252" i="5"/>
  <c r="AE252" i="5"/>
  <c r="AF252" i="5"/>
  <c r="AG252" i="5"/>
  <c r="C251" i="5"/>
  <c r="L251" i="5"/>
  <c r="M251" i="5"/>
  <c r="O251" i="5"/>
  <c r="P251" i="5"/>
  <c r="Q251" i="5"/>
  <c r="R251" i="5"/>
  <c r="S251" i="5"/>
  <c r="T251" i="5"/>
  <c r="U251" i="5"/>
  <c r="V251" i="5"/>
  <c r="W251" i="5"/>
  <c r="X251" i="5"/>
  <c r="Y251" i="5"/>
  <c r="Z251" i="5"/>
  <c r="AA251" i="5"/>
  <c r="AB251" i="5"/>
  <c r="AC251" i="5"/>
  <c r="AD251" i="5"/>
  <c r="AE251" i="5"/>
  <c r="AF251" i="5"/>
  <c r="AG251" i="5"/>
  <c r="C250" i="5"/>
  <c r="L250" i="5"/>
  <c r="M250" i="5"/>
  <c r="O250" i="5"/>
  <c r="P250" i="5"/>
  <c r="Q250" i="5"/>
  <c r="R250" i="5"/>
  <c r="S250" i="5"/>
  <c r="T250" i="5"/>
  <c r="U250" i="5"/>
  <c r="V250" i="5"/>
  <c r="W250" i="5"/>
  <c r="X250" i="5"/>
  <c r="Y250" i="5"/>
  <c r="Z250" i="5"/>
  <c r="AA250" i="5"/>
  <c r="AB250" i="5"/>
  <c r="AC250" i="5"/>
  <c r="AD250" i="5"/>
  <c r="AE250" i="5"/>
  <c r="AF250" i="5"/>
  <c r="AG250"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9" i="5"/>
  <c r="L23" i="5"/>
  <c r="C249" i="5"/>
  <c r="M249" i="5"/>
  <c r="O249" i="5"/>
  <c r="P249" i="5"/>
  <c r="Q249" i="5"/>
  <c r="R249" i="5"/>
  <c r="S249" i="5"/>
  <c r="T249" i="5"/>
  <c r="U249" i="5"/>
  <c r="V249" i="5"/>
  <c r="W249" i="5"/>
  <c r="X249" i="5"/>
  <c r="Y249" i="5"/>
  <c r="Z249" i="5"/>
  <c r="AA249" i="5"/>
  <c r="AB249" i="5"/>
  <c r="AC249" i="5"/>
  <c r="AD249" i="5"/>
  <c r="AE249" i="5"/>
  <c r="AF249" i="5"/>
  <c r="AG249" i="5"/>
  <c r="C248" i="5"/>
  <c r="M248" i="5"/>
  <c r="O248" i="5"/>
  <c r="P248" i="5"/>
  <c r="Q248" i="5"/>
  <c r="R248" i="5"/>
  <c r="S248" i="5"/>
  <c r="T248" i="5"/>
  <c r="U248" i="5"/>
  <c r="V248" i="5"/>
  <c r="W248" i="5"/>
  <c r="X248" i="5"/>
  <c r="Y248" i="5"/>
  <c r="Z248" i="5"/>
  <c r="AA248" i="5"/>
  <c r="AB248" i="5"/>
  <c r="AC248" i="5"/>
  <c r="AD248" i="5"/>
  <c r="AE248" i="5"/>
  <c r="AF248" i="5"/>
  <c r="AG248" i="5"/>
  <c r="C247" i="5"/>
  <c r="M247" i="5"/>
  <c r="O247" i="5"/>
  <c r="P247" i="5"/>
  <c r="Q247" i="5"/>
  <c r="R247" i="5"/>
  <c r="S247" i="5"/>
  <c r="T247" i="5"/>
  <c r="U247" i="5"/>
  <c r="V247" i="5"/>
  <c r="W247" i="5"/>
  <c r="X247" i="5"/>
  <c r="Y247" i="5"/>
  <c r="Z247" i="5"/>
  <c r="AA247" i="5"/>
  <c r="AB247" i="5"/>
  <c r="AC247" i="5"/>
  <c r="AD247" i="5"/>
  <c r="AE247" i="5"/>
  <c r="AF247" i="5"/>
  <c r="AG247" i="5"/>
  <c r="C246" i="5"/>
  <c r="M246" i="5"/>
  <c r="O246" i="5"/>
  <c r="P246" i="5"/>
  <c r="Q246" i="5"/>
  <c r="R246" i="5"/>
  <c r="S246" i="5"/>
  <c r="T246" i="5"/>
  <c r="U246" i="5"/>
  <c r="V246" i="5"/>
  <c r="W246" i="5"/>
  <c r="X246" i="5"/>
  <c r="Y246" i="5"/>
  <c r="Z246" i="5"/>
  <c r="AA246" i="5"/>
  <c r="AB246" i="5"/>
  <c r="AC246" i="5"/>
  <c r="AD246" i="5"/>
  <c r="AE246" i="5"/>
  <c r="AF246" i="5"/>
  <c r="AG246" i="5"/>
  <c r="C245" i="5"/>
  <c r="M245" i="5"/>
  <c r="O245" i="5"/>
  <c r="P245" i="5"/>
  <c r="Q245" i="5"/>
  <c r="R245" i="5"/>
  <c r="S245" i="5"/>
  <c r="T245" i="5"/>
  <c r="U245" i="5"/>
  <c r="V245" i="5"/>
  <c r="W245" i="5"/>
  <c r="X245" i="5"/>
  <c r="Y245" i="5"/>
  <c r="Z245" i="5"/>
  <c r="AA245" i="5"/>
  <c r="AB245" i="5"/>
  <c r="AC245" i="5"/>
  <c r="AD245" i="5"/>
  <c r="AE245" i="5"/>
  <c r="AF245" i="5"/>
  <c r="AG245" i="5"/>
  <c r="C244" i="5"/>
  <c r="M244" i="5"/>
  <c r="O244" i="5"/>
  <c r="P244" i="5"/>
  <c r="Q244" i="5"/>
  <c r="R244" i="5"/>
  <c r="S244" i="5"/>
  <c r="T244" i="5"/>
  <c r="U244" i="5"/>
  <c r="V244" i="5"/>
  <c r="W244" i="5"/>
  <c r="X244" i="5"/>
  <c r="Y244" i="5"/>
  <c r="Z244" i="5"/>
  <c r="AA244" i="5"/>
  <c r="AB244" i="5"/>
  <c r="AC244" i="5"/>
  <c r="AD244" i="5"/>
  <c r="AE244" i="5"/>
  <c r="AF244" i="5"/>
  <c r="AG244" i="5"/>
  <c r="C243" i="5"/>
  <c r="M243" i="5"/>
  <c r="O243" i="5"/>
  <c r="P243" i="5"/>
  <c r="Q243" i="5"/>
  <c r="R243" i="5"/>
  <c r="S243" i="5"/>
  <c r="T243" i="5"/>
  <c r="U243" i="5"/>
  <c r="V243" i="5"/>
  <c r="W243" i="5"/>
  <c r="X243" i="5"/>
  <c r="Y243" i="5"/>
  <c r="Z243" i="5"/>
  <c r="AA243" i="5"/>
  <c r="AB243" i="5"/>
  <c r="AC243" i="5"/>
  <c r="AD243" i="5"/>
  <c r="AE243" i="5"/>
  <c r="AF243" i="5"/>
  <c r="AG243" i="5"/>
  <c r="C242" i="5"/>
  <c r="M242" i="5"/>
  <c r="O242" i="5"/>
  <c r="P242" i="5"/>
  <c r="Q242" i="5"/>
  <c r="R242" i="5"/>
  <c r="S242" i="5"/>
  <c r="T242" i="5"/>
  <c r="U242" i="5"/>
  <c r="V242" i="5"/>
  <c r="W242" i="5"/>
  <c r="X242" i="5"/>
  <c r="Y242" i="5"/>
  <c r="Z242" i="5"/>
  <c r="AA242" i="5"/>
  <c r="AB242" i="5"/>
  <c r="AC242" i="5"/>
  <c r="AD242" i="5"/>
  <c r="AE242" i="5"/>
  <c r="AF242" i="5"/>
  <c r="AG242" i="5"/>
  <c r="C241" i="5"/>
  <c r="M241" i="5"/>
  <c r="O241" i="5"/>
  <c r="P241" i="5"/>
  <c r="Q241" i="5"/>
  <c r="R241" i="5"/>
  <c r="S241" i="5"/>
  <c r="T241" i="5"/>
  <c r="U241" i="5"/>
  <c r="V241" i="5"/>
  <c r="W241" i="5"/>
  <c r="X241" i="5"/>
  <c r="Y241" i="5"/>
  <c r="Z241" i="5"/>
  <c r="AA241" i="5"/>
  <c r="AB241" i="5"/>
  <c r="AC241" i="5"/>
  <c r="AD241" i="5"/>
  <c r="AE241" i="5"/>
  <c r="AF241" i="5"/>
  <c r="AG241" i="5"/>
  <c r="C240" i="5"/>
  <c r="M240" i="5"/>
  <c r="O240" i="5"/>
  <c r="P240" i="5"/>
  <c r="Q240" i="5"/>
  <c r="R240" i="5"/>
  <c r="S240" i="5"/>
  <c r="T240" i="5"/>
  <c r="U240" i="5"/>
  <c r="V240" i="5"/>
  <c r="W240" i="5"/>
  <c r="X240" i="5"/>
  <c r="Y240" i="5"/>
  <c r="Z240" i="5"/>
  <c r="AA240" i="5"/>
  <c r="AB240" i="5"/>
  <c r="AC240" i="5"/>
  <c r="AD240" i="5"/>
  <c r="AE240" i="5"/>
  <c r="AF240" i="5"/>
  <c r="AG240" i="5"/>
  <c r="Z78" i="1"/>
  <c r="Z79" i="1"/>
  <c r="Z80" i="1"/>
  <c r="C239" i="5"/>
  <c r="M239" i="5"/>
  <c r="O239" i="5"/>
  <c r="P239" i="5"/>
  <c r="Q239" i="5"/>
  <c r="R239" i="5"/>
  <c r="S239" i="5"/>
  <c r="T239" i="5"/>
  <c r="U239" i="5"/>
  <c r="V239" i="5"/>
  <c r="W239" i="5"/>
  <c r="X239" i="5"/>
  <c r="Y239" i="5"/>
  <c r="Z239" i="5"/>
  <c r="AA239" i="5"/>
  <c r="AB239" i="5"/>
  <c r="AC239" i="5"/>
  <c r="AD239" i="5"/>
  <c r="AE239" i="5"/>
  <c r="AF239" i="5"/>
  <c r="AG239" i="5"/>
  <c r="I69" i="1"/>
  <c r="AA69" i="1" s="1"/>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C235" i="5"/>
  <c r="M235" i="5"/>
  <c r="O235" i="5"/>
  <c r="P235" i="5"/>
  <c r="Q235" i="5"/>
  <c r="R235" i="5"/>
  <c r="S235" i="5"/>
  <c r="T235" i="5"/>
  <c r="U235" i="5"/>
  <c r="V235" i="5"/>
  <c r="W235" i="5"/>
  <c r="X235" i="5"/>
  <c r="Y235" i="5"/>
  <c r="Z235" i="5"/>
  <c r="AB235" i="5"/>
  <c r="AC235" i="5"/>
  <c r="AD235" i="5"/>
  <c r="AE235" i="5"/>
  <c r="AF235" i="5"/>
  <c r="AG235" i="5"/>
  <c r="C234" i="5"/>
  <c r="M234" i="5"/>
  <c r="O234" i="5"/>
  <c r="P234" i="5"/>
  <c r="Q234" i="5"/>
  <c r="R234" i="5"/>
  <c r="S234" i="5"/>
  <c r="T234" i="5"/>
  <c r="U234" i="5"/>
  <c r="V234" i="5"/>
  <c r="W234" i="5"/>
  <c r="X234" i="5"/>
  <c r="Y234" i="5"/>
  <c r="Z234" i="5"/>
  <c r="AB234" i="5"/>
  <c r="AC234" i="5"/>
  <c r="AD234" i="5"/>
  <c r="AE234" i="5"/>
  <c r="AF234" i="5"/>
  <c r="AG234" i="5"/>
  <c r="C230" i="5"/>
  <c r="M230" i="5"/>
  <c r="O230" i="5"/>
  <c r="P230" i="5"/>
  <c r="Q230" i="5"/>
  <c r="R230" i="5"/>
  <c r="S230" i="5"/>
  <c r="T230" i="5"/>
  <c r="U230" i="5"/>
  <c r="V230" i="5"/>
  <c r="W230" i="5"/>
  <c r="X230" i="5"/>
  <c r="Y230" i="5"/>
  <c r="Z230" i="5"/>
  <c r="AB230" i="5"/>
  <c r="AC230" i="5"/>
  <c r="AD230" i="5"/>
  <c r="AE230" i="5"/>
  <c r="AF230" i="5"/>
  <c r="AG230" i="5"/>
  <c r="C219" i="5"/>
  <c r="M219" i="5"/>
  <c r="O219" i="5"/>
  <c r="P219" i="5"/>
  <c r="Q219" i="5"/>
  <c r="R219" i="5"/>
  <c r="S219" i="5"/>
  <c r="T219" i="5"/>
  <c r="U219" i="5"/>
  <c r="V219" i="5"/>
  <c r="W219" i="5"/>
  <c r="X219" i="5"/>
  <c r="Y219" i="5"/>
  <c r="Z219" i="5"/>
  <c r="AB219" i="5"/>
  <c r="AC219" i="5"/>
  <c r="AD219" i="5"/>
  <c r="AE219" i="5"/>
  <c r="AF219" i="5"/>
  <c r="AG219" i="5"/>
  <c r="C220" i="5"/>
  <c r="M220" i="5"/>
  <c r="O220" i="5"/>
  <c r="P220" i="5"/>
  <c r="Q220" i="5"/>
  <c r="R220" i="5"/>
  <c r="S220" i="5"/>
  <c r="T220" i="5"/>
  <c r="U220" i="5"/>
  <c r="V220" i="5"/>
  <c r="W220" i="5"/>
  <c r="X220" i="5"/>
  <c r="Y220" i="5"/>
  <c r="Z220" i="5"/>
  <c r="AB220" i="5"/>
  <c r="AC220" i="5"/>
  <c r="AD220" i="5"/>
  <c r="AE220" i="5"/>
  <c r="AF220" i="5"/>
  <c r="AG220" i="5"/>
  <c r="C221" i="5"/>
  <c r="M221" i="5"/>
  <c r="O221" i="5"/>
  <c r="P221" i="5"/>
  <c r="Q221" i="5"/>
  <c r="R221" i="5"/>
  <c r="S221" i="5"/>
  <c r="T221" i="5"/>
  <c r="U221" i="5"/>
  <c r="V221" i="5"/>
  <c r="W221" i="5"/>
  <c r="X221" i="5"/>
  <c r="Y221" i="5"/>
  <c r="Z221" i="5"/>
  <c r="AB221" i="5"/>
  <c r="AC221" i="5"/>
  <c r="AD221" i="5"/>
  <c r="AE221" i="5"/>
  <c r="AF221" i="5"/>
  <c r="AG221" i="5"/>
  <c r="C222" i="5"/>
  <c r="M222" i="5"/>
  <c r="O222" i="5"/>
  <c r="P222" i="5"/>
  <c r="Q222" i="5"/>
  <c r="R222" i="5"/>
  <c r="S222" i="5"/>
  <c r="T222" i="5"/>
  <c r="U222" i="5"/>
  <c r="V222" i="5"/>
  <c r="W222" i="5"/>
  <c r="X222" i="5"/>
  <c r="Y222" i="5"/>
  <c r="Z222" i="5"/>
  <c r="AB222" i="5"/>
  <c r="AC222" i="5"/>
  <c r="AD222" i="5"/>
  <c r="AE222" i="5"/>
  <c r="AF222" i="5"/>
  <c r="AG222" i="5"/>
  <c r="C223" i="5"/>
  <c r="M223" i="5"/>
  <c r="O223" i="5"/>
  <c r="P223" i="5"/>
  <c r="Q223" i="5"/>
  <c r="R223" i="5"/>
  <c r="S223" i="5"/>
  <c r="T223" i="5"/>
  <c r="U223" i="5"/>
  <c r="V223" i="5"/>
  <c r="W223" i="5"/>
  <c r="X223" i="5"/>
  <c r="Y223" i="5"/>
  <c r="Z223" i="5"/>
  <c r="AB223" i="5"/>
  <c r="AC223" i="5"/>
  <c r="AD223" i="5"/>
  <c r="AE223" i="5"/>
  <c r="AF223" i="5"/>
  <c r="AG223" i="5"/>
  <c r="C216" i="5"/>
  <c r="M216" i="5"/>
  <c r="O216" i="5"/>
  <c r="P216" i="5"/>
  <c r="Q216" i="5"/>
  <c r="R216" i="5"/>
  <c r="S216" i="5"/>
  <c r="T216" i="5"/>
  <c r="U216" i="5"/>
  <c r="V216" i="5"/>
  <c r="W216" i="5"/>
  <c r="X216" i="5"/>
  <c r="Y216" i="5"/>
  <c r="Z216" i="5"/>
  <c r="AB216" i="5"/>
  <c r="AC216" i="5"/>
  <c r="AD216" i="5"/>
  <c r="AE216" i="5"/>
  <c r="AF216" i="5"/>
  <c r="AG216" i="5"/>
  <c r="C238" i="5"/>
  <c r="M238" i="5"/>
  <c r="O238" i="5"/>
  <c r="P238" i="5"/>
  <c r="Q238" i="5"/>
  <c r="R238" i="5"/>
  <c r="S238" i="5"/>
  <c r="T238" i="5"/>
  <c r="U238" i="5"/>
  <c r="V238" i="5"/>
  <c r="W238" i="5"/>
  <c r="X238" i="5"/>
  <c r="Y238" i="5"/>
  <c r="Z238" i="5"/>
  <c r="AB238" i="5"/>
  <c r="AC238" i="5"/>
  <c r="AD238" i="5"/>
  <c r="AE238" i="5"/>
  <c r="AF238" i="5"/>
  <c r="AG238" i="5"/>
  <c r="C237" i="5"/>
  <c r="M237" i="5"/>
  <c r="O237" i="5"/>
  <c r="P237" i="5"/>
  <c r="Q237" i="5"/>
  <c r="R237" i="5"/>
  <c r="S237" i="5"/>
  <c r="T237" i="5"/>
  <c r="U237" i="5"/>
  <c r="V237" i="5"/>
  <c r="W237" i="5"/>
  <c r="X237" i="5"/>
  <c r="Y237" i="5"/>
  <c r="Z237" i="5"/>
  <c r="AB237" i="5"/>
  <c r="AC237" i="5"/>
  <c r="AD237" i="5"/>
  <c r="AE237" i="5"/>
  <c r="AF237" i="5"/>
  <c r="AG237" i="5"/>
  <c r="C236" i="5"/>
  <c r="M236" i="5"/>
  <c r="O236" i="5"/>
  <c r="P236" i="5"/>
  <c r="Q236" i="5"/>
  <c r="R236" i="5"/>
  <c r="S236" i="5"/>
  <c r="T236" i="5"/>
  <c r="U236" i="5"/>
  <c r="V236" i="5"/>
  <c r="W236" i="5"/>
  <c r="X236" i="5"/>
  <c r="Y236" i="5"/>
  <c r="Z236" i="5"/>
  <c r="AB236" i="5"/>
  <c r="AC236" i="5"/>
  <c r="AD236" i="5"/>
  <c r="AE236" i="5"/>
  <c r="AF236" i="5"/>
  <c r="AG236" i="5"/>
  <c r="C233" i="5"/>
  <c r="M233" i="5"/>
  <c r="O233" i="5"/>
  <c r="P233" i="5"/>
  <c r="Q233" i="5"/>
  <c r="R233" i="5"/>
  <c r="S233" i="5"/>
  <c r="T233" i="5"/>
  <c r="U233" i="5"/>
  <c r="V233" i="5"/>
  <c r="W233" i="5"/>
  <c r="X233" i="5"/>
  <c r="Y233" i="5"/>
  <c r="Z233" i="5"/>
  <c r="AB233" i="5"/>
  <c r="AC233" i="5"/>
  <c r="AD233" i="5"/>
  <c r="AE233" i="5"/>
  <c r="AF233" i="5"/>
  <c r="AG233" i="5"/>
  <c r="C232" i="5"/>
  <c r="M232" i="5"/>
  <c r="O232" i="5"/>
  <c r="P232" i="5"/>
  <c r="Q232" i="5"/>
  <c r="R232" i="5"/>
  <c r="S232" i="5"/>
  <c r="T232" i="5"/>
  <c r="U232" i="5"/>
  <c r="V232" i="5"/>
  <c r="W232" i="5"/>
  <c r="X232" i="5"/>
  <c r="Y232" i="5"/>
  <c r="Z232" i="5"/>
  <c r="AB232" i="5"/>
  <c r="AC232" i="5"/>
  <c r="AD232" i="5"/>
  <c r="AE232" i="5"/>
  <c r="AF232" i="5"/>
  <c r="AG232" i="5"/>
  <c r="C231" i="5"/>
  <c r="M231" i="5"/>
  <c r="O231" i="5"/>
  <c r="P231" i="5"/>
  <c r="Q231" i="5"/>
  <c r="R231" i="5"/>
  <c r="S231" i="5"/>
  <c r="T231" i="5"/>
  <c r="U231" i="5"/>
  <c r="V231" i="5"/>
  <c r="W231" i="5"/>
  <c r="X231" i="5"/>
  <c r="Y231" i="5"/>
  <c r="Z231" i="5"/>
  <c r="AB231" i="5"/>
  <c r="AC231" i="5"/>
  <c r="AD231" i="5"/>
  <c r="AE231" i="5"/>
  <c r="AF231" i="5"/>
  <c r="AG231" i="5"/>
  <c r="C229" i="5"/>
  <c r="M229" i="5"/>
  <c r="O229" i="5"/>
  <c r="P229" i="5"/>
  <c r="Q229" i="5"/>
  <c r="R229" i="5"/>
  <c r="S229" i="5"/>
  <c r="T229" i="5"/>
  <c r="U229" i="5"/>
  <c r="V229" i="5"/>
  <c r="W229" i="5"/>
  <c r="X229" i="5"/>
  <c r="Y229" i="5"/>
  <c r="Z229" i="5"/>
  <c r="AB229" i="5"/>
  <c r="AC229" i="5"/>
  <c r="AD229" i="5"/>
  <c r="AE229" i="5"/>
  <c r="AF229" i="5"/>
  <c r="AG229" i="5"/>
  <c r="C228" i="5"/>
  <c r="M228" i="5"/>
  <c r="O228" i="5"/>
  <c r="P228" i="5"/>
  <c r="Q228" i="5"/>
  <c r="R228" i="5"/>
  <c r="S228" i="5"/>
  <c r="T228" i="5"/>
  <c r="U228" i="5"/>
  <c r="V228" i="5"/>
  <c r="W228" i="5"/>
  <c r="X228" i="5"/>
  <c r="Y228" i="5"/>
  <c r="Z228" i="5"/>
  <c r="AB228" i="5"/>
  <c r="AC228" i="5"/>
  <c r="AD228" i="5"/>
  <c r="AE228" i="5"/>
  <c r="AF228" i="5"/>
  <c r="AG228" i="5"/>
  <c r="C227" i="5"/>
  <c r="M227" i="5"/>
  <c r="O227" i="5"/>
  <c r="P227" i="5"/>
  <c r="Q227" i="5"/>
  <c r="R227" i="5"/>
  <c r="S227" i="5"/>
  <c r="T227" i="5"/>
  <c r="U227" i="5"/>
  <c r="V227" i="5"/>
  <c r="W227" i="5"/>
  <c r="X227" i="5"/>
  <c r="Y227" i="5"/>
  <c r="Z227" i="5"/>
  <c r="AB227" i="5"/>
  <c r="AC227" i="5"/>
  <c r="AD227" i="5"/>
  <c r="AE227" i="5"/>
  <c r="AF227" i="5"/>
  <c r="AG227" i="5"/>
  <c r="C226" i="5"/>
  <c r="M226" i="5"/>
  <c r="O226" i="5"/>
  <c r="P226" i="5"/>
  <c r="Q226" i="5"/>
  <c r="R226" i="5"/>
  <c r="S226" i="5"/>
  <c r="T226" i="5"/>
  <c r="U226" i="5"/>
  <c r="V226" i="5"/>
  <c r="W226" i="5"/>
  <c r="X226" i="5"/>
  <c r="Y226" i="5"/>
  <c r="Z226" i="5"/>
  <c r="AB226" i="5"/>
  <c r="AC226" i="5"/>
  <c r="AD226" i="5"/>
  <c r="AE226" i="5"/>
  <c r="AF226" i="5"/>
  <c r="AG226" i="5"/>
  <c r="C225" i="5"/>
  <c r="M225" i="5"/>
  <c r="O225" i="5"/>
  <c r="P225" i="5"/>
  <c r="Q225" i="5"/>
  <c r="R225" i="5"/>
  <c r="S225" i="5"/>
  <c r="T225" i="5"/>
  <c r="U225" i="5"/>
  <c r="V225" i="5"/>
  <c r="W225" i="5"/>
  <c r="X225" i="5"/>
  <c r="Y225" i="5"/>
  <c r="Z225" i="5"/>
  <c r="AB225" i="5"/>
  <c r="AC225" i="5"/>
  <c r="AD225" i="5"/>
  <c r="AE225" i="5"/>
  <c r="AF225" i="5"/>
  <c r="AG225" i="5"/>
  <c r="AG131" i="5" l="1"/>
  <c r="AF131" i="5"/>
  <c r="AE131" i="5"/>
  <c r="AD131" i="5"/>
  <c r="AC131" i="5"/>
  <c r="AB131" i="5"/>
  <c r="Z131" i="5"/>
  <c r="Y131" i="5"/>
  <c r="X131" i="5"/>
  <c r="W131" i="5"/>
  <c r="V131" i="5"/>
  <c r="U131" i="5"/>
  <c r="T131" i="5"/>
  <c r="S131" i="5"/>
  <c r="R131" i="5"/>
  <c r="Q131" i="5"/>
  <c r="P131" i="5"/>
  <c r="O131" i="5"/>
  <c r="M131" i="5"/>
  <c r="C131" i="5"/>
  <c r="C224" i="5"/>
  <c r="M224" i="5"/>
  <c r="O224" i="5"/>
  <c r="P224" i="5"/>
  <c r="Q224" i="5"/>
  <c r="R224" i="5"/>
  <c r="S224" i="5"/>
  <c r="T224" i="5"/>
  <c r="U224" i="5"/>
  <c r="V224" i="5"/>
  <c r="W224" i="5"/>
  <c r="X224" i="5"/>
  <c r="Y224" i="5"/>
  <c r="Z224" i="5"/>
  <c r="AB224" i="5"/>
  <c r="AC224" i="5"/>
  <c r="AD224" i="5"/>
  <c r="AE224" i="5"/>
  <c r="AF224" i="5"/>
  <c r="AG224" i="5"/>
  <c r="C218" i="5"/>
  <c r="M218" i="5"/>
  <c r="O218" i="5"/>
  <c r="P218" i="5"/>
  <c r="Q218" i="5"/>
  <c r="R218" i="5"/>
  <c r="S218" i="5"/>
  <c r="T218" i="5"/>
  <c r="U218" i="5"/>
  <c r="V218" i="5"/>
  <c r="W218" i="5"/>
  <c r="X218" i="5"/>
  <c r="Y218" i="5"/>
  <c r="Z218" i="5"/>
  <c r="AB218" i="5"/>
  <c r="AC218" i="5"/>
  <c r="AD218" i="5"/>
  <c r="AE218" i="5"/>
  <c r="AF218" i="5"/>
  <c r="AG218" i="5"/>
  <c r="C217" i="5"/>
  <c r="M217" i="5"/>
  <c r="O217" i="5"/>
  <c r="P217" i="5"/>
  <c r="Q217" i="5"/>
  <c r="R217" i="5"/>
  <c r="S217" i="5"/>
  <c r="T217" i="5"/>
  <c r="U217" i="5"/>
  <c r="V217" i="5"/>
  <c r="W217" i="5"/>
  <c r="X217" i="5"/>
  <c r="Y217" i="5"/>
  <c r="Z217" i="5"/>
  <c r="AB217" i="5"/>
  <c r="AC217" i="5"/>
  <c r="AD217" i="5"/>
  <c r="AE217" i="5"/>
  <c r="AF217" i="5"/>
  <c r="AG217" i="5"/>
  <c r="C215" i="5"/>
  <c r="M215" i="5"/>
  <c r="O215" i="5"/>
  <c r="P215" i="5"/>
  <c r="Q215" i="5"/>
  <c r="R215" i="5"/>
  <c r="S215" i="5"/>
  <c r="T215" i="5"/>
  <c r="U215" i="5"/>
  <c r="V215" i="5"/>
  <c r="W215" i="5"/>
  <c r="X215" i="5"/>
  <c r="Y215" i="5"/>
  <c r="Z215" i="5"/>
  <c r="AB215" i="5"/>
  <c r="AC215" i="5"/>
  <c r="AD215" i="5"/>
  <c r="AE215" i="5"/>
  <c r="AF215" i="5"/>
  <c r="AG215" i="5"/>
  <c r="C214" i="5"/>
  <c r="M214" i="5"/>
  <c r="O214" i="5"/>
  <c r="P214" i="5"/>
  <c r="Q214" i="5"/>
  <c r="R214" i="5"/>
  <c r="S214" i="5"/>
  <c r="T214" i="5"/>
  <c r="U214" i="5"/>
  <c r="V214" i="5"/>
  <c r="W214" i="5"/>
  <c r="X214" i="5"/>
  <c r="Y214" i="5"/>
  <c r="Z214" i="5"/>
  <c r="AB214" i="5"/>
  <c r="AC214" i="5"/>
  <c r="AD214" i="5"/>
  <c r="AE214" i="5"/>
  <c r="AF214" i="5"/>
  <c r="AG214" i="5"/>
  <c r="C213" i="5"/>
  <c r="M213" i="5"/>
  <c r="O213" i="5"/>
  <c r="P213" i="5"/>
  <c r="Q213" i="5"/>
  <c r="R213" i="5"/>
  <c r="S213" i="5"/>
  <c r="T213" i="5"/>
  <c r="U213" i="5"/>
  <c r="V213" i="5"/>
  <c r="W213" i="5"/>
  <c r="X213" i="5"/>
  <c r="Y213" i="5"/>
  <c r="Z213" i="5"/>
  <c r="AB213" i="5"/>
  <c r="AC213" i="5"/>
  <c r="AD213" i="5"/>
  <c r="AE213" i="5"/>
  <c r="AF213" i="5"/>
  <c r="AG213" i="5"/>
  <c r="C203" i="5"/>
  <c r="C204" i="5" l="1"/>
  <c r="M204" i="5"/>
  <c r="O204" i="5"/>
  <c r="P204" i="5"/>
  <c r="Q204" i="5"/>
  <c r="R204" i="5"/>
  <c r="S204" i="5"/>
  <c r="T204" i="5"/>
  <c r="U204" i="5"/>
  <c r="V204" i="5"/>
  <c r="W204" i="5"/>
  <c r="X204" i="5"/>
  <c r="Y204" i="5"/>
  <c r="Z204" i="5"/>
  <c r="AB204" i="5"/>
  <c r="AC204" i="5"/>
  <c r="AD204" i="5"/>
  <c r="AE204" i="5"/>
  <c r="AF204" i="5"/>
  <c r="AG204" i="5"/>
  <c r="M203" i="5"/>
  <c r="O203" i="5"/>
  <c r="P203" i="5"/>
  <c r="Q203" i="5"/>
  <c r="R203" i="5"/>
  <c r="S203" i="5"/>
  <c r="T203" i="5"/>
  <c r="U203" i="5"/>
  <c r="V203" i="5"/>
  <c r="W203" i="5"/>
  <c r="X203" i="5"/>
  <c r="Y203" i="5"/>
  <c r="Z203" i="5"/>
  <c r="AB203" i="5"/>
  <c r="AC203" i="5"/>
  <c r="AD203" i="5"/>
  <c r="AE203" i="5"/>
  <c r="AF203" i="5"/>
  <c r="AG203" i="5"/>
  <c r="C202" i="5"/>
  <c r="M202" i="5"/>
  <c r="O202" i="5"/>
  <c r="P202" i="5"/>
  <c r="Q202" i="5"/>
  <c r="R202" i="5"/>
  <c r="S202" i="5"/>
  <c r="T202" i="5"/>
  <c r="U202" i="5"/>
  <c r="V202" i="5"/>
  <c r="W202" i="5"/>
  <c r="X202" i="5"/>
  <c r="Y202" i="5"/>
  <c r="Z202" i="5"/>
  <c r="AB202" i="5"/>
  <c r="AC202" i="5"/>
  <c r="AD202" i="5"/>
  <c r="AE202" i="5"/>
  <c r="AF202" i="5"/>
  <c r="AG202" i="5"/>
  <c r="C201" i="5"/>
  <c r="M201" i="5"/>
  <c r="O201" i="5"/>
  <c r="P201" i="5"/>
  <c r="Q201" i="5"/>
  <c r="R201" i="5"/>
  <c r="S201" i="5"/>
  <c r="T201" i="5"/>
  <c r="U201" i="5"/>
  <c r="V201" i="5"/>
  <c r="W201" i="5"/>
  <c r="X201" i="5"/>
  <c r="Y201" i="5"/>
  <c r="Z201" i="5"/>
  <c r="AB201" i="5"/>
  <c r="AC201" i="5"/>
  <c r="AD201" i="5"/>
  <c r="AE201" i="5"/>
  <c r="AF201" i="5"/>
  <c r="AG201" i="5"/>
  <c r="C200" i="5"/>
  <c r="M200" i="5"/>
  <c r="O200" i="5"/>
  <c r="P200" i="5"/>
  <c r="Q200" i="5"/>
  <c r="R200" i="5"/>
  <c r="S200" i="5"/>
  <c r="T200" i="5"/>
  <c r="U200" i="5"/>
  <c r="V200" i="5"/>
  <c r="W200" i="5"/>
  <c r="X200" i="5"/>
  <c r="Y200" i="5"/>
  <c r="Z200" i="5"/>
  <c r="AB200" i="5"/>
  <c r="AC200" i="5"/>
  <c r="AD200" i="5"/>
  <c r="AE200" i="5"/>
  <c r="AF200" i="5"/>
  <c r="AG200" i="5"/>
  <c r="C212" i="5"/>
  <c r="M212" i="5"/>
  <c r="O212" i="5"/>
  <c r="P212" i="5"/>
  <c r="Q212" i="5"/>
  <c r="R212" i="5"/>
  <c r="S212" i="5"/>
  <c r="T212" i="5"/>
  <c r="U212" i="5"/>
  <c r="V212" i="5"/>
  <c r="W212" i="5"/>
  <c r="X212" i="5"/>
  <c r="Y212" i="5"/>
  <c r="Z212" i="5"/>
  <c r="AB212" i="5"/>
  <c r="AC212" i="5"/>
  <c r="AD212" i="5"/>
  <c r="AE212" i="5"/>
  <c r="AF212" i="5"/>
  <c r="AG212" i="5"/>
  <c r="C211" i="5"/>
  <c r="M211" i="5"/>
  <c r="O211" i="5"/>
  <c r="P211" i="5"/>
  <c r="Q211" i="5"/>
  <c r="R211" i="5"/>
  <c r="S211" i="5"/>
  <c r="T211" i="5"/>
  <c r="U211" i="5"/>
  <c r="V211" i="5"/>
  <c r="W211" i="5"/>
  <c r="X211" i="5"/>
  <c r="Y211" i="5"/>
  <c r="Z211" i="5"/>
  <c r="AB211" i="5"/>
  <c r="AC211" i="5"/>
  <c r="AD211" i="5"/>
  <c r="AE211" i="5"/>
  <c r="AF211" i="5"/>
  <c r="AG211" i="5"/>
  <c r="C199" i="5" l="1"/>
  <c r="M199" i="5"/>
  <c r="O199" i="5"/>
  <c r="P199" i="5"/>
  <c r="Q199" i="5"/>
  <c r="R199" i="5"/>
  <c r="S199" i="5"/>
  <c r="T199" i="5"/>
  <c r="U199" i="5"/>
  <c r="V199" i="5"/>
  <c r="W199" i="5"/>
  <c r="X199" i="5"/>
  <c r="Y199" i="5"/>
  <c r="Z199" i="5"/>
  <c r="AB199" i="5"/>
  <c r="AC199" i="5"/>
  <c r="AD199" i="5"/>
  <c r="AE199" i="5"/>
  <c r="AF199" i="5"/>
  <c r="AG199" i="5"/>
  <c r="C205" i="5"/>
  <c r="M205" i="5"/>
  <c r="O205" i="5"/>
  <c r="P205" i="5"/>
  <c r="Q205" i="5"/>
  <c r="R205" i="5"/>
  <c r="S205" i="5"/>
  <c r="T205" i="5"/>
  <c r="U205" i="5"/>
  <c r="V205" i="5"/>
  <c r="W205" i="5"/>
  <c r="X205" i="5"/>
  <c r="Y205" i="5"/>
  <c r="Z205" i="5"/>
  <c r="AB205" i="5"/>
  <c r="AC205" i="5"/>
  <c r="AD205" i="5"/>
  <c r="AE205" i="5"/>
  <c r="AF205" i="5"/>
  <c r="AG205" i="5"/>
  <c r="C207" i="5"/>
  <c r="M207" i="5"/>
  <c r="O207" i="5"/>
  <c r="P207" i="5"/>
  <c r="Q207" i="5"/>
  <c r="R207" i="5"/>
  <c r="S207" i="5"/>
  <c r="T207" i="5"/>
  <c r="U207" i="5"/>
  <c r="V207" i="5"/>
  <c r="W207" i="5"/>
  <c r="X207" i="5"/>
  <c r="Y207" i="5"/>
  <c r="Z207" i="5"/>
  <c r="AB207" i="5"/>
  <c r="AC207" i="5"/>
  <c r="AD207" i="5"/>
  <c r="AE207" i="5"/>
  <c r="AF207" i="5"/>
  <c r="AG207" i="5"/>
  <c r="C197" i="5"/>
  <c r="M197" i="5"/>
  <c r="O197" i="5"/>
  <c r="P197" i="5"/>
  <c r="Q197" i="5"/>
  <c r="R197" i="5"/>
  <c r="S197" i="5"/>
  <c r="T197" i="5"/>
  <c r="U197" i="5"/>
  <c r="V197" i="5"/>
  <c r="W197" i="5"/>
  <c r="X197" i="5"/>
  <c r="Y197" i="5"/>
  <c r="Z197" i="5"/>
  <c r="AB197" i="5"/>
  <c r="AC197" i="5"/>
  <c r="AD197" i="5"/>
  <c r="AE197" i="5"/>
  <c r="AF197" i="5"/>
  <c r="AG197" i="5"/>
  <c r="C198" i="5"/>
  <c r="M198" i="5"/>
  <c r="O198" i="5"/>
  <c r="P198" i="5"/>
  <c r="Q198" i="5"/>
  <c r="R198" i="5"/>
  <c r="S198" i="5"/>
  <c r="T198" i="5"/>
  <c r="U198" i="5"/>
  <c r="V198" i="5"/>
  <c r="W198" i="5"/>
  <c r="X198" i="5"/>
  <c r="Y198" i="5"/>
  <c r="Z198" i="5"/>
  <c r="AB198" i="5"/>
  <c r="AC198" i="5"/>
  <c r="AD198" i="5"/>
  <c r="AE198" i="5"/>
  <c r="AF198" i="5"/>
  <c r="AG198" i="5"/>
  <c r="C206" i="5"/>
  <c r="M206" i="5"/>
  <c r="O206" i="5"/>
  <c r="P206" i="5"/>
  <c r="Q206" i="5"/>
  <c r="R206" i="5"/>
  <c r="S206" i="5"/>
  <c r="T206" i="5"/>
  <c r="U206" i="5"/>
  <c r="V206" i="5"/>
  <c r="W206" i="5"/>
  <c r="X206" i="5"/>
  <c r="Y206" i="5"/>
  <c r="Z206" i="5"/>
  <c r="AB206" i="5"/>
  <c r="AC206" i="5"/>
  <c r="AD206" i="5"/>
  <c r="AE206" i="5"/>
  <c r="AF206" i="5"/>
  <c r="AG206" i="5"/>
  <c r="C210" i="5"/>
  <c r="M210" i="5"/>
  <c r="O210" i="5"/>
  <c r="P210" i="5"/>
  <c r="Q210" i="5"/>
  <c r="R210" i="5"/>
  <c r="S210" i="5"/>
  <c r="T210" i="5"/>
  <c r="U210" i="5"/>
  <c r="V210" i="5"/>
  <c r="W210" i="5"/>
  <c r="X210" i="5"/>
  <c r="Y210" i="5"/>
  <c r="Z210" i="5"/>
  <c r="AB210" i="5"/>
  <c r="AC210" i="5"/>
  <c r="AD210" i="5"/>
  <c r="AE210" i="5"/>
  <c r="AF210" i="5"/>
  <c r="AG210" i="5"/>
  <c r="C209" i="5"/>
  <c r="M209" i="5"/>
  <c r="O209" i="5"/>
  <c r="P209" i="5"/>
  <c r="Q209" i="5"/>
  <c r="R209" i="5"/>
  <c r="S209" i="5"/>
  <c r="T209" i="5"/>
  <c r="U209" i="5"/>
  <c r="V209" i="5"/>
  <c r="W209" i="5"/>
  <c r="X209" i="5"/>
  <c r="Y209" i="5"/>
  <c r="Z209" i="5"/>
  <c r="AB209" i="5"/>
  <c r="AC209" i="5"/>
  <c r="AD209" i="5"/>
  <c r="AE209" i="5"/>
  <c r="AF209" i="5"/>
  <c r="AG209" i="5"/>
  <c r="C182" i="5"/>
  <c r="M182" i="5"/>
  <c r="O182" i="5"/>
  <c r="P182" i="5"/>
  <c r="Q182" i="5"/>
  <c r="R182" i="5"/>
  <c r="S182" i="5"/>
  <c r="T182" i="5"/>
  <c r="U182" i="5"/>
  <c r="V182" i="5"/>
  <c r="W182" i="5"/>
  <c r="X182" i="5"/>
  <c r="Y182" i="5"/>
  <c r="Z182" i="5"/>
  <c r="AB182" i="5"/>
  <c r="AC182" i="5"/>
  <c r="AD182" i="5"/>
  <c r="AE182" i="5"/>
  <c r="AF182" i="5"/>
  <c r="AG182" i="5"/>
  <c r="C208" i="5" l="1"/>
  <c r="M208" i="5"/>
  <c r="O208" i="5"/>
  <c r="P208" i="5"/>
  <c r="Q208" i="5"/>
  <c r="R208" i="5"/>
  <c r="S208" i="5"/>
  <c r="T208" i="5"/>
  <c r="U208" i="5"/>
  <c r="V208" i="5"/>
  <c r="W208" i="5"/>
  <c r="X208" i="5"/>
  <c r="Y208" i="5"/>
  <c r="Z208" i="5"/>
  <c r="AB208" i="5"/>
  <c r="AC208" i="5"/>
  <c r="AD208" i="5"/>
  <c r="AE208" i="5"/>
  <c r="AF208" i="5"/>
  <c r="AG208" i="5"/>
  <c r="C193" i="5"/>
  <c r="M193" i="5"/>
  <c r="O193" i="5"/>
  <c r="P193" i="5"/>
  <c r="Q193" i="5"/>
  <c r="R193" i="5"/>
  <c r="S193" i="5"/>
  <c r="T193" i="5"/>
  <c r="U193" i="5"/>
  <c r="V193" i="5"/>
  <c r="W193" i="5"/>
  <c r="X193" i="5"/>
  <c r="Y193" i="5"/>
  <c r="Z193" i="5"/>
  <c r="AB193" i="5"/>
  <c r="AC193" i="5"/>
  <c r="AD193" i="5"/>
  <c r="AE193" i="5"/>
  <c r="AF193" i="5"/>
  <c r="AG193" i="5"/>
  <c r="C196" i="5"/>
  <c r="M196" i="5"/>
  <c r="O196" i="5"/>
  <c r="P196" i="5"/>
  <c r="Q196" i="5"/>
  <c r="R196" i="5"/>
  <c r="S196" i="5"/>
  <c r="T196" i="5"/>
  <c r="U196" i="5"/>
  <c r="V196" i="5"/>
  <c r="W196" i="5"/>
  <c r="X196" i="5"/>
  <c r="Y196" i="5"/>
  <c r="Z196" i="5"/>
  <c r="AB196" i="5"/>
  <c r="AC196" i="5"/>
  <c r="AD196" i="5"/>
  <c r="AE196" i="5"/>
  <c r="AF196" i="5"/>
  <c r="AG196" i="5"/>
  <c r="C195" i="5"/>
  <c r="M195" i="5"/>
  <c r="O195" i="5"/>
  <c r="P195" i="5"/>
  <c r="Q195" i="5"/>
  <c r="R195" i="5"/>
  <c r="S195" i="5"/>
  <c r="T195" i="5"/>
  <c r="U195" i="5"/>
  <c r="V195" i="5"/>
  <c r="W195" i="5"/>
  <c r="X195" i="5"/>
  <c r="Y195" i="5"/>
  <c r="Z195" i="5"/>
  <c r="AB195" i="5"/>
  <c r="AC195" i="5"/>
  <c r="AD195" i="5"/>
  <c r="AE195" i="5"/>
  <c r="AF195" i="5"/>
  <c r="AG195" i="5"/>
  <c r="C194" i="5"/>
  <c r="M194" i="5"/>
  <c r="O194" i="5"/>
  <c r="P194" i="5"/>
  <c r="Q194" i="5"/>
  <c r="R194" i="5"/>
  <c r="S194" i="5"/>
  <c r="T194" i="5"/>
  <c r="U194" i="5"/>
  <c r="V194" i="5"/>
  <c r="W194" i="5"/>
  <c r="X194" i="5"/>
  <c r="Y194" i="5"/>
  <c r="Z194" i="5"/>
  <c r="AB194" i="5"/>
  <c r="AC194" i="5"/>
  <c r="AD194" i="5"/>
  <c r="AE194" i="5"/>
  <c r="AF194" i="5"/>
  <c r="AG194" i="5"/>
  <c r="C192" i="5"/>
  <c r="M192" i="5"/>
  <c r="O192" i="5"/>
  <c r="P192" i="5"/>
  <c r="Q192" i="5"/>
  <c r="R192" i="5"/>
  <c r="S192" i="5"/>
  <c r="T192" i="5"/>
  <c r="U192" i="5"/>
  <c r="V192" i="5"/>
  <c r="W192" i="5"/>
  <c r="X192" i="5"/>
  <c r="Y192" i="5"/>
  <c r="Z192" i="5"/>
  <c r="AB192" i="5"/>
  <c r="AC192" i="5"/>
  <c r="AD192" i="5"/>
  <c r="AE192" i="5"/>
  <c r="AF192" i="5"/>
  <c r="AG192" i="5"/>
  <c r="C191" i="5"/>
  <c r="M191" i="5"/>
  <c r="O191" i="5"/>
  <c r="P191" i="5"/>
  <c r="Q191" i="5"/>
  <c r="R191" i="5"/>
  <c r="S191" i="5"/>
  <c r="T191" i="5"/>
  <c r="U191" i="5"/>
  <c r="V191" i="5"/>
  <c r="W191" i="5"/>
  <c r="X191" i="5"/>
  <c r="Y191" i="5"/>
  <c r="Z191" i="5"/>
  <c r="AB191" i="5"/>
  <c r="AC191" i="5"/>
  <c r="AD191" i="5"/>
  <c r="AE191" i="5"/>
  <c r="AF191" i="5"/>
  <c r="AG191" i="5"/>
  <c r="C190" i="5"/>
  <c r="M190" i="5"/>
  <c r="O190" i="5"/>
  <c r="P190" i="5"/>
  <c r="Q190" i="5"/>
  <c r="R190" i="5"/>
  <c r="S190" i="5"/>
  <c r="T190" i="5"/>
  <c r="U190" i="5"/>
  <c r="V190" i="5"/>
  <c r="W190" i="5"/>
  <c r="X190" i="5"/>
  <c r="Y190" i="5"/>
  <c r="Z190" i="5"/>
  <c r="AB190" i="5"/>
  <c r="AC190" i="5"/>
  <c r="AD190" i="5"/>
  <c r="AE190" i="5"/>
  <c r="AF190" i="5"/>
  <c r="AG190" i="5"/>
  <c r="C189" i="5"/>
  <c r="M189" i="5"/>
  <c r="O189" i="5"/>
  <c r="P189" i="5"/>
  <c r="Q189" i="5"/>
  <c r="R189" i="5"/>
  <c r="S189" i="5"/>
  <c r="T189" i="5"/>
  <c r="U189" i="5"/>
  <c r="V189" i="5"/>
  <c r="W189" i="5"/>
  <c r="X189" i="5"/>
  <c r="Y189" i="5"/>
  <c r="Z189" i="5"/>
  <c r="AB189" i="5"/>
  <c r="AC189" i="5"/>
  <c r="AD189" i="5"/>
  <c r="AE189" i="5"/>
  <c r="AF189" i="5"/>
  <c r="AG189" i="5"/>
  <c r="C188" i="5"/>
  <c r="M188" i="5"/>
  <c r="O188" i="5"/>
  <c r="P188" i="5"/>
  <c r="Q188" i="5"/>
  <c r="R188" i="5"/>
  <c r="S188" i="5"/>
  <c r="T188" i="5"/>
  <c r="U188" i="5"/>
  <c r="V188" i="5"/>
  <c r="W188" i="5"/>
  <c r="X188" i="5"/>
  <c r="Y188" i="5"/>
  <c r="Z188" i="5"/>
  <c r="AB188" i="5"/>
  <c r="AC188" i="5"/>
  <c r="AD188" i="5"/>
  <c r="AE188" i="5"/>
  <c r="AF188" i="5"/>
  <c r="AG188" i="5"/>
  <c r="C187" i="5"/>
  <c r="M187" i="5"/>
  <c r="O187" i="5"/>
  <c r="P187" i="5"/>
  <c r="Q187" i="5"/>
  <c r="R187" i="5"/>
  <c r="S187" i="5"/>
  <c r="T187" i="5"/>
  <c r="U187" i="5"/>
  <c r="V187" i="5"/>
  <c r="W187" i="5"/>
  <c r="X187" i="5"/>
  <c r="Y187" i="5"/>
  <c r="Z187" i="5"/>
  <c r="AB187" i="5"/>
  <c r="AC187" i="5"/>
  <c r="AD187" i="5"/>
  <c r="AE187" i="5"/>
  <c r="AF187" i="5"/>
  <c r="AG187" i="5"/>
  <c r="C174" i="5" l="1"/>
  <c r="M174" i="5"/>
  <c r="O174" i="5"/>
  <c r="P174" i="5"/>
  <c r="Q174" i="5"/>
  <c r="R174" i="5"/>
  <c r="S174" i="5"/>
  <c r="T174" i="5"/>
  <c r="U174" i="5"/>
  <c r="V174" i="5"/>
  <c r="W174" i="5"/>
  <c r="X174" i="5"/>
  <c r="Y174" i="5"/>
  <c r="Z174" i="5"/>
  <c r="AB174" i="5"/>
  <c r="AC174" i="5"/>
  <c r="AD174" i="5"/>
  <c r="AE174" i="5"/>
  <c r="AF174" i="5"/>
  <c r="AG174" i="5"/>
  <c r="C184" i="5"/>
  <c r="M184" i="5"/>
  <c r="O184" i="5"/>
  <c r="P184" i="5"/>
  <c r="Q184" i="5"/>
  <c r="R184" i="5"/>
  <c r="S184" i="5"/>
  <c r="T184" i="5"/>
  <c r="U184" i="5"/>
  <c r="V184" i="5"/>
  <c r="W184" i="5"/>
  <c r="X184" i="5"/>
  <c r="Y184" i="5"/>
  <c r="Z184" i="5"/>
  <c r="AB184" i="5"/>
  <c r="AC184" i="5"/>
  <c r="AD184" i="5"/>
  <c r="AE184" i="5"/>
  <c r="AF184" i="5"/>
  <c r="AG184" i="5"/>
  <c r="C186" i="5"/>
  <c r="M186" i="5"/>
  <c r="O186" i="5"/>
  <c r="P186" i="5"/>
  <c r="Q186" i="5"/>
  <c r="R186" i="5"/>
  <c r="S186" i="5"/>
  <c r="T186" i="5"/>
  <c r="U186" i="5"/>
  <c r="V186" i="5"/>
  <c r="W186" i="5"/>
  <c r="X186" i="5"/>
  <c r="Y186" i="5"/>
  <c r="Z186" i="5"/>
  <c r="AB186" i="5"/>
  <c r="AC186" i="5"/>
  <c r="AD186" i="5"/>
  <c r="AE186" i="5"/>
  <c r="AF186" i="5"/>
  <c r="AG186" i="5"/>
  <c r="C185" i="5"/>
  <c r="M185" i="5"/>
  <c r="O185" i="5"/>
  <c r="P185" i="5"/>
  <c r="Q185" i="5"/>
  <c r="R185" i="5"/>
  <c r="S185" i="5"/>
  <c r="T185" i="5"/>
  <c r="U185" i="5"/>
  <c r="V185" i="5"/>
  <c r="W185" i="5"/>
  <c r="X185" i="5"/>
  <c r="Y185" i="5"/>
  <c r="Z185" i="5"/>
  <c r="AB185" i="5"/>
  <c r="AC185" i="5"/>
  <c r="AD185" i="5"/>
  <c r="AE185" i="5"/>
  <c r="AF185" i="5"/>
  <c r="AG185" i="5"/>
  <c r="C183" i="5"/>
  <c r="M183" i="5"/>
  <c r="O183" i="5"/>
  <c r="P183" i="5"/>
  <c r="Q183" i="5"/>
  <c r="R183" i="5"/>
  <c r="S183" i="5"/>
  <c r="T183" i="5"/>
  <c r="U183" i="5"/>
  <c r="V183" i="5"/>
  <c r="W183" i="5"/>
  <c r="X183" i="5"/>
  <c r="Y183" i="5"/>
  <c r="Z183" i="5"/>
  <c r="AB183" i="5"/>
  <c r="AC183" i="5"/>
  <c r="AD183" i="5"/>
  <c r="AE183" i="5"/>
  <c r="AF183" i="5"/>
  <c r="AG183" i="5"/>
  <c r="C181" i="5"/>
  <c r="M181" i="5"/>
  <c r="O181" i="5"/>
  <c r="P181" i="5"/>
  <c r="Q181" i="5"/>
  <c r="R181" i="5"/>
  <c r="S181" i="5"/>
  <c r="T181" i="5"/>
  <c r="U181" i="5"/>
  <c r="V181" i="5"/>
  <c r="W181" i="5"/>
  <c r="X181" i="5"/>
  <c r="Y181" i="5"/>
  <c r="Z181" i="5"/>
  <c r="AB181" i="5"/>
  <c r="AC181" i="5"/>
  <c r="AD181" i="5"/>
  <c r="AE181" i="5"/>
  <c r="AF181" i="5"/>
  <c r="AG181" i="5"/>
  <c r="C180" i="5"/>
  <c r="M180" i="5"/>
  <c r="O180" i="5"/>
  <c r="P180" i="5"/>
  <c r="Q180" i="5"/>
  <c r="R180" i="5"/>
  <c r="S180" i="5"/>
  <c r="T180" i="5"/>
  <c r="U180" i="5"/>
  <c r="V180" i="5"/>
  <c r="W180" i="5"/>
  <c r="X180" i="5"/>
  <c r="Y180" i="5"/>
  <c r="Z180" i="5"/>
  <c r="AB180" i="5"/>
  <c r="AC180" i="5"/>
  <c r="AD180" i="5"/>
  <c r="AE180" i="5"/>
  <c r="AF180" i="5"/>
  <c r="AG180" i="5"/>
  <c r="C179" i="5"/>
  <c r="M179" i="5"/>
  <c r="O179" i="5"/>
  <c r="P179" i="5"/>
  <c r="Q179" i="5"/>
  <c r="R179" i="5"/>
  <c r="S179" i="5"/>
  <c r="T179" i="5"/>
  <c r="U179" i="5"/>
  <c r="V179" i="5"/>
  <c r="W179" i="5"/>
  <c r="X179" i="5"/>
  <c r="Y179" i="5"/>
  <c r="Z179" i="5"/>
  <c r="AB179" i="5"/>
  <c r="AC179" i="5"/>
  <c r="AD179" i="5"/>
  <c r="AE179" i="5"/>
  <c r="AF179" i="5"/>
  <c r="AG179" i="5"/>
  <c r="C178" i="5"/>
  <c r="M178" i="5"/>
  <c r="O178" i="5"/>
  <c r="P178" i="5"/>
  <c r="Q178" i="5"/>
  <c r="R178" i="5"/>
  <c r="S178" i="5"/>
  <c r="T178" i="5"/>
  <c r="U178" i="5"/>
  <c r="V178" i="5"/>
  <c r="W178" i="5"/>
  <c r="X178" i="5"/>
  <c r="Y178" i="5"/>
  <c r="Z178" i="5"/>
  <c r="AB178" i="5"/>
  <c r="AC178" i="5"/>
  <c r="AD178" i="5"/>
  <c r="AE178" i="5"/>
  <c r="AF178" i="5"/>
  <c r="AG178" i="5"/>
  <c r="C177" i="5"/>
  <c r="M177" i="5"/>
  <c r="O177" i="5"/>
  <c r="P177" i="5"/>
  <c r="Q177" i="5"/>
  <c r="R177" i="5"/>
  <c r="S177" i="5"/>
  <c r="T177" i="5"/>
  <c r="U177" i="5"/>
  <c r="V177" i="5"/>
  <c r="W177" i="5"/>
  <c r="X177" i="5"/>
  <c r="Y177" i="5"/>
  <c r="Z177" i="5"/>
  <c r="AB177" i="5"/>
  <c r="AC177" i="5"/>
  <c r="AD177" i="5"/>
  <c r="AE177" i="5"/>
  <c r="AF177" i="5"/>
  <c r="AG177" i="5"/>
  <c r="C176" i="5"/>
  <c r="M176" i="5"/>
  <c r="O176" i="5"/>
  <c r="P176" i="5"/>
  <c r="Q176" i="5"/>
  <c r="R176" i="5"/>
  <c r="S176" i="5"/>
  <c r="T176" i="5"/>
  <c r="U176" i="5"/>
  <c r="V176" i="5"/>
  <c r="W176" i="5"/>
  <c r="X176" i="5"/>
  <c r="Y176" i="5"/>
  <c r="Z176" i="5"/>
  <c r="AB176" i="5"/>
  <c r="AC176" i="5"/>
  <c r="AD176" i="5"/>
  <c r="AE176" i="5"/>
  <c r="AF176" i="5"/>
  <c r="AG176" i="5"/>
  <c r="C175" i="5"/>
  <c r="M175" i="5"/>
  <c r="O175" i="5"/>
  <c r="P175" i="5"/>
  <c r="Q175" i="5"/>
  <c r="R175" i="5"/>
  <c r="S175" i="5"/>
  <c r="T175" i="5"/>
  <c r="U175" i="5"/>
  <c r="V175" i="5"/>
  <c r="W175" i="5"/>
  <c r="X175" i="5"/>
  <c r="Y175" i="5"/>
  <c r="Z175" i="5"/>
  <c r="AB175" i="5"/>
  <c r="AC175" i="5"/>
  <c r="AD175" i="5"/>
  <c r="AE175" i="5"/>
  <c r="AF175" i="5"/>
  <c r="AG175" i="5"/>
  <c r="C173" i="5"/>
  <c r="M173" i="5"/>
  <c r="O173" i="5"/>
  <c r="P173" i="5"/>
  <c r="Q173" i="5"/>
  <c r="R173" i="5"/>
  <c r="S173" i="5"/>
  <c r="T173" i="5"/>
  <c r="U173" i="5"/>
  <c r="V173" i="5"/>
  <c r="W173" i="5"/>
  <c r="X173" i="5"/>
  <c r="Y173" i="5"/>
  <c r="Z173" i="5"/>
  <c r="AB173" i="5"/>
  <c r="AC173" i="5"/>
  <c r="AD173" i="5"/>
  <c r="AE173" i="5"/>
  <c r="AF173" i="5"/>
  <c r="AG173" i="5"/>
  <c r="C172" i="5"/>
  <c r="M172" i="5"/>
  <c r="O172" i="5"/>
  <c r="P172" i="5"/>
  <c r="Q172" i="5"/>
  <c r="R172" i="5"/>
  <c r="S172" i="5"/>
  <c r="T172" i="5"/>
  <c r="U172" i="5"/>
  <c r="V172" i="5"/>
  <c r="W172" i="5"/>
  <c r="X172" i="5"/>
  <c r="Y172" i="5"/>
  <c r="Z172" i="5"/>
  <c r="AB172" i="5"/>
  <c r="AC172" i="5"/>
  <c r="AD172" i="5"/>
  <c r="AE172" i="5"/>
  <c r="AF172" i="5"/>
  <c r="AG172" i="5"/>
  <c r="C171" i="5"/>
  <c r="M171" i="5"/>
  <c r="O171" i="5"/>
  <c r="P171" i="5"/>
  <c r="Q171" i="5"/>
  <c r="R171" i="5"/>
  <c r="S171" i="5"/>
  <c r="T171" i="5"/>
  <c r="U171" i="5"/>
  <c r="V171" i="5"/>
  <c r="W171" i="5"/>
  <c r="X171" i="5"/>
  <c r="Y171" i="5"/>
  <c r="Z171" i="5"/>
  <c r="AB171" i="5"/>
  <c r="AC171" i="5"/>
  <c r="AD171" i="5"/>
  <c r="AE171" i="5"/>
  <c r="AF171" i="5"/>
  <c r="AG171" i="5"/>
  <c r="C170" i="5"/>
  <c r="M170" i="5"/>
  <c r="O170" i="5"/>
  <c r="P170" i="5"/>
  <c r="Q170" i="5"/>
  <c r="R170" i="5"/>
  <c r="S170" i="5"/>
  <c r="T170" i="5"/>
  <c r="U170" i="5"/>
  <c r="V170" i="5"/>
  <c r="W170" i="5"/>
  <c r="X170" i="5"/>
  <c r="Y170" i="5"/>
  <c r="Z170" i="5"/>
  <c r="AB170" i="5"/>
  <c r="AC170" i="5"/>
  <c r="AD170" i="5"/>
  <c r="AE170" i="5"/>
  <c r="AF170" i="5"/>
  <c r="AG170" i="5"/>
  <c r="C167" i="5" l="1"/>
  <c r="C168" i="5"/>
  <c r="C169" i="5"/>
  <c r="M169" i="5"/>
  <c r="O169" i="5"/>
  <c r="P169" i="5"/>
  <c r="Q169" i="5"/>
  <c r="R169" i="5"/>
  <c r="S169" i="5"/>
  <c r="T169" i="5"/>
  <c r="U169" i="5"/>
  <c r="V169" i="5"/>
  <c r="W169" i="5"/>
  <c r="X169" i="5"/>
  <c r="Y169" i="5"/>
  <c r="Z169" i="5"/>
  <c r="AB169" i="5"/>
  <c r="AC169" i="5"/>
  <c r="AD169" i="5"/>
  <c r="AE169" i="5"/>
  <c r="AF169" i="5"/>
  <c r="AG169" i="5"/>
  <c r="M168" i="5"/>
  <c r="O168" i="5"/>
  <c r="P168" i="5"/>
  <c r="Q168" i="5"/>
  <c r="R168" i="5"/>
  <c r="S168" i="5"/>
  <c r="T168" i="5"/>
  <c r="U168" i="5"/>
  <c r="V168" i="5"/>
  <c r="W168" i="5"/>
  <c r="X168" i="5"/>
  <c r="Y168" i="5"/>
  <c r="Z168" i="5"/>
  <c r="AB168" i="5"/>
  <c r="AC168" i="5"/>
  <c r="AD168" i="5"/>
  <c r="AE168" i="5"/>
  <c r="AF168" i="5"/>
  <c r="AG168" i="5"/>
  <c r="M167" i="5"/>
  <c r="O167" i="5"/>
  <c r="P167" i="5"/>
  <c r="Q167" i="5"/>
  <c r="R167" i="5"/>
  <c r="S167" i="5"/>
  <c r="T167" i="5"/>
  <c r="U167" i="5"/>
  <c r="V167" i="5"/>
  <c r="W167" i="5"/>
  <c r="X167" i="5"/>
  <c r="Y167" i="5"/>
  <c r="Z167" i="5"/>
  <c r="AB167" i="5"/>
  <c r="AC167" i="5"/>
  <c r="AD167" i="5"/>
  <c r="AE167" i="5"/>
  <c r="AF167" i="5"/>
  <c r="AG167" i="5"/>
  <c r="C164" i="5"/>
  <c r="C165" i="5"/>
  <c r="C166" i="5"/>
  <c r="M166" i="5"/>
  <c r="O166" i="5"/>
  <c r="P166" i="5"/>
  <c r="Q166" i="5"/>
  <c r="R166" i="5"/>
  <c r="S166" i="5"/>
  <c r="T166" i="5"/>
  <c r="U166" i="5"/>
  <c r="V166" i="5"/>
  <c r="W166" i="5"/>
  <c r="X166" i="5"/>
  <c r="Y166" i="5"/>
  <c r="Z166" i="5"/>
  <c r="AB166" i="5"/>
  <c r="AC166" i="5"/>
  <c r="AD166" i="5"/>
  <c r="AE166" i="5"/>
  <c r="AF166" i="5"/>
  <c r="AG166" i="5"/>
  <c r="M165" i="5"/>
  <c r="O165" i="5"/>
  <c r="P165" i="5"/>
  <c r="Q165" i="5"/>
  <c r="R165" i="5"/>
  <c r="S165" i="5"/>
  <c r="T165" i="5"/>
  <c r="U165" i="5"/>
  <c r="V165" i="5"/>
  <c r="W165" i="5"/>
  <c r="X165" i="5"/>
  <c r="Y165" i="5"/>
  <c r="Z165" i="5"/>
  <c r="AB165" i="5"/>
  <c r="AC165" i="5"/>
  <c r="AD165" i="5"/>
  <c r="AE165" i="5"/>
  <c r="AF165" i="5"/>
  <c r="AG165" i="5"/>
  <c r="C159" i="5"/>
  <c r="C160" i="5"/>
  <c r="C161" i="5"/>
  <c r="C162" i="5"/>
  <c r="C163" i="5"/>
  <c r="M164" i="5"/>
  <c r="O164" i="5"/>
  <c r="P164" i="5"/>
  <c r="Q164" i="5"/>
  <c r="R164" i="5"/>
  <c r="S164" i="5"/>
  <c r="T164" i="5"/>
  <c r="U164" i="5"/>
  <c r="V164" i="5"/>
  <c r="W164" i="5"/>
  <c r="X164" i="5"/>
  <c r="Y164" i="5"/>
  <c r="Z164" i="5"/>
  <c r="AB164" i="5"/>
  <c r="AC164" i="5"/>
  <c r="AD164" i="5"/>
  <c r="AE164" i="5"/>
  <c r="AF164" i="5"/>
  <c r="AG164" i="5"/>
  <c r="M163" i="5"/>
  <c r="O163" i="5"/>
  <c r="P163" i="5"/>
  <c r="Q163" i="5"/>
  <c r="R163" i="5"/>
  <c r="S163" i="5"/>
  <c r="T163" i="5"/>
  <c r="U163" i="5"/>
  <c r="V163" i="5"/>
  <c r="W163" i="5"/>
  <c r="X163" i="5"/>
  <c r="Y163" i="5"/>
  <c r="Z163" i="5"/>
  <c r="AB163" i="5"/>
  <c r="AC163" i="5"/>
  <c r="AD163" i="5"/>
  <c r="AE163" i="5"/>
  <c r="AF163" i="5"/>
  <c r="AG163" i="5"/>
  <c r="M162" i="5"/>
  <c r="O162" i="5"/>
  <c r="P162" i="5"/>
  <c r="Q162" i="5"/>
  <c r="R162" i="5"/>
  <c r="S162" i="5"/>
  <c r="T162" i="5"/>
  <c r="U162" i="5"/>
  <c r="V162" i="5"/>
  <c r="W162" i="5"/>
  <c r="X162" i="5"/>
  <c r="Y162" i="5"/>
  <c r="Z162" i="5"/>
  <c r="AB162" i="5"/>
  <c r="AC162" i="5"/>
  <c r="AD162" i="5"/>
  <c r="AE162" i="5"/>
  <c r="AF162" i="5"/>
  <c r="AG162" i="5"/>
  <c r="M161" i="5"/>
  <c r="O161" i="5"/>
  <c r="P161" i="5"/>
  <c r="Q161" i="5"/>
  <c r="R161" i="5"/>
  <c r="S161" i="5"/>
  <c r="T161" i="5"/>
  <c r="U161" i="5"/>
  <c r="V161" i="5"/>
  <c r="W161" i="5"/>
  <c r="X161" i="5"/>
  <c r="Y161" i="5"/>
  <c r="Z161" i="5"/>
  <c r="AB161" i="5"/>
  <c r="AC161" i="5"/>
  <c r="AD161" i="5"/>
  <c r="AE161" i="5"/>
  <c r="AF161" i="5"/>
  <c r="AG161" i="5"/>
  <c r="M160" i="5"/>
  <c r="O160" i="5"/>
  <c r="P160" i="5"/>
  <c r="Q160" i="5"/>
  <c r="R160" i="5"/>
  <c r="S160" i="5"/>
  <c r="T160" i="5"/>
  <c r="U160" i="5"/>
  <c r="V160" i="5"/>
  <c r="W160" i="5"/>
  <c r="X160" i="5"/>
  <c r="Y160" i="5"/>
  <c r="Z160" i="5"/>
  <c r="AB160" i="5"/>
  <c r="AC160" i="5"/>
  <c r="AD160" i="5"/>
  <c r="AE160" i="5"/>
  <c r="AF160" i="5"/>
  <c r="AG160" i="5"/>
  <c r="C157" i="5" l="1"/>
  <c r="C158" i="5"/>
  <c r="M157" i="5"/>
  <c r="M158" i="5"/>
  <c r="M159" i="5"/>
  <c r="O157" i="5"/>
  <c r="O158" i="5"/>
  <c r="O159" i="5"/>
  <c r="P157" i="5"/>
  <c r="P158" i="5"/>
  <c r="P159" i="5"/>
  <c r="Q157" i="5"/>
  <c r="Q158" i="5"/>
  <c r="Q159" i="5"/>
  <c r="R157" i="5"/>
  <c r="R158" i="5"/>
  <c r="R159" i="5"/>
  <c r="S157" i="5"/>
  <c r="S158" i="5"/>
  <c r="S159" i="5"/>
  <c r="T157" i="5"/>
  <c r="T158" i="5"/>
  <c r="T159" i="5"/>
  <c r="U157" i="5"/>
  <c r="U158" i="5"/>
  <c r="U159" i="5"/>
  <c r="V157" i="5"/>
  <c r="V158" i="5"/>
  <c r="V159" i="5"/>
  <c r="W157" i="5"/>
  <c r="W158" i="5"/>
  <c r="W159" i="5"/>
  <c r="X157" i="5"/>
  <c r="X158" i="5"/>
  <c r="X159" i="5"/>
  <c r="Y157" i="5"/>
  <c r="Y158" i="5"/>
  <c r="Y159" i="5"/>
  <c r="Z157" i="5"/>
  <c r="Z158" i="5"/>
  <c r="Z159" i="5"/>
  <c r="AB157" i="5"/>
  <c r="AB158" i="5"/>
  <c r="AB159" i="5"/>
  <c r="AC157" i="5"/>
  <c r="AC158" i="5"/>
  <c r="AC159" i="5"/>
  <c r="AD157" i="5"/>
  <c r="AD158" i="5"/>
  <c r="AD159" i="5"/>
  <c r="AE157" i="5"/>
  <c r="AE158" i="5"/>
  <c r="AE159" i="5"/>
  <c r="AF157" i="5"/>
  <c r="AF158" i="5"/>
  <c r="AF159" i="5"/>
  <c r="AG157" i="5"/>
  <c r="AG158" i="5"/>
  <c r="AG159" i="5"/>
  <c r="C156" i="5"/>
  <c r="M156" i="5"/>
  <c r="O156" i="5"/>
  <c r="P156" i="5"/>
  <c r="Q156" i="5"/>
  <c r="R156" i="5"/>
  <c r="S156" i="5"/>
  <c r="T156" i="5"/>
  <c r="U156" i="5"/>
  <c r="V156" i="5"/>
  <c r="W156" i="5"/>
  <c r="X156" i="5"/>
  <c r="Y156" i="5"/>
  <c r="Z156" i="5"/>
  <c r="AB156" i="5"/>
  <c r="AC156" i="5"/>
  <c r="AD156" i="5"/>
  <c r="AE156" i="5"/>
  <c r="AF156" i="5"/>
  <c r="AG156" i="5"/>
  <c r="C155" i="5"/>
  <c r="M155" i="5"/>
  <c r="O155" i="5"/>
  <c r="P155" i="5"/>
  <c r="Q155" i="5"/>
  <c r="R155" i="5"/>
  <c r="S155" i="5"/>
  <c r="T155" i="5"/>
  <c r="U155" i="5"/>
  <c r="V155" i="5"/>
  <c r="W155" i="5"/>
  <c r="X155" i="5"/>
  <c r="Y155" i="5"/>
  <c r="Z155" i="5"/>
  <c r="AB155" i="5"/>
  <c r="AC155" i="5"/>
  <c r="AD155" i="5"/>
  <c r="AE155" i="5"/>
  <c r="AF155" i="5"/>
  <c r="AG155" i="5"/>
  <c r="C154" i="5" l="1"/>
  <c r="M154" i="5"/>
  <c r="O154" i="5"/>
  <c r="P154" i="5"/>
  <c r="Q154" i="5"/>
  <c r="R154" i="5"/>
  <c r="S154" i="5"/>
  <c r="T154" i="5"/>
  <c r="U154" i="5"/>
  <c r="V154" i="5"/>
  <c r="W154" i="5"/>
  <c r="X154" i="5"/>
  <c r="Y154" i="5"/>
  <c r="Z154" i="5"/>
  <c r="AB154" i="5"/>
  <c r="AC154" i="5"/>
  <c r="AD154" i="5"/>
  <c r="AE154" i="5"/>
  <c r="AF154" i="5"/>
  <c r="AG154" i="5"/>
  <c r="C153" i="5"/>
  <c r="M153" i="5"/>
  <c r="O153" i="5"/>
  <c r="P153" i="5"/>
  <c r="Q153" i="5"/>
  <c r="R153" i="5"/>
  <c r="S153" i="5"/>
  <c r="T153" i="5"/>
  <c r="U153" i="5"/>
  <c r="V153" i="5"/>
  <c r="W153" i="5"/>
  <c r="X153" i="5"/>
  <c r="Y153" i="5"/>
  <c r="Z153" i="5"/>
  <c r="AB153" i="5"/>
  <c r="AC153" i="5"/>
  <c r="AD153" i="5"/>
  <c r="AE153" i="5"/>
  <c r="AF153" i="5"/>
  <c r="AG153" i="5"/>
  <c r="C152" i="5"/>
  <c r="M152" i="5"/>
  <c r="O152" i="5"/>
  <c r="P152" i="5"/>
  <c r="Q152" i="5"/>
  <c r="R152" i="5"/>
  <c r="S152" i="5"/>
  <c r="T152" i="5"/>
  <c r="U152" i="5"/>
  <c r="V152" i="5"/>
  <c r="W152" i="5"/>
  <c r="X152" i="5"/>
  <c r="Y152" i="5"/>
  <c r="Z152" i="5"/>
  <c r="AB152" i="5"/>
  <c r="AC152" i="5"/>
  <c r="AD152" i="5"/>
  <c r="AE152" i="5"/>
  <c r="AF152" i="5"/>
  <c r="AG152" i="5"/>
  <c r="C151" i="5"/>
  <c r="M151" i="5"/>
  <c r="O151" i="5"/>
  <c r="P151" i="5"/>
  <c r="Q151" i="5"/>
  <c r="R151" i="5"/>
  <c r="S151" i="5"/>
  <c r="T151" i="5"/>
  <c r="U151" i="5"/>
  <c r="V151" i="5"/>
  <c r="W151" i="5"/>
  <c r="X151" i="5"/>
  <c r="Y151" i="5"/>
  <c r="Z151" i="5"/>
  <c r="AB151" i="5"/>
  <c r="AC151" i="5"/>
  <c r="AD151" i="5"/>
  <c r="AE151" i="5"/>
  <c r="AF151" i="5"/>
  <c r="AG151" i="5"/>
  <c r="C150" i="5"/>
  <c r="M150" i="5"/>
  <c r="O150" i="5"/>
  <c r="P150" i="5"/>
  <c r="Q150" i="5"/>
  <c r="R150" i="5"/>
  <c r="S150" i="5"/>
  <c r="T150" i="5"/>
  <c r="U150" i="5"/>
  <c r="V150" i="5"/>
  <c r="W150" i="5"/>
  <c r="X150" i="5"/>
  <c r="Y150" i="5"/>
  <c r="Z150" i="5"/>
  <c r="AB150" i="5"/>
  <c r="AC150" i="5"/>
  <c r="AD150" i="5"/>
  <c r="AE150" i="5"/>
  <c r="AF150" i="5"/>
  <c r="AG150" i="5"/>
  <c r="C149" i="5"/>
  <c r="M149" i="5"/>
  <c r="O149" i="5"/>
  <c r="P149" i="5"/>
  <c r="Q149" i="5"/>
  <c r="R149" i="5"/>
  <c r="S149" i="5"/>
  <c r="T149" i="5"/>
  <c r="U149" i="5"/>
  <c r="V149" i="5"/>
  <c r="W149" i="5"/>
  <c r="X149" i="5"/>
  <c r="Y149" i="5"/>
  <c r="Z149" i="5"/>
  <c r="AB149" i="5"/>
  <c r="AC149" i="5"/>
  <c r="AD149" i="5"/>
  <c r="AE149" i="5"/>
  <c r="AF149" i="5"/>
  <c r="AG149" i="5"/>
  <c r="C148" i="5"/>
  <c r="M148" i="5"/>
  <c r="O148" i="5"/>
  <c r="P148" i="5"/>
  <c r="Q148" i="5"/>
  <c r="R148" i="5"/>
  <c r="S148" i="5"/>
  <c r="T148" i="5"/>
  <c r="U148" i="5"/>
  <c r="V148" i="5"/>
  <c r="W148" i="5"/>
  <c r="X148" i="5"/>
  <c r="Y148" i="5"/>
  <c r="Z148" i="5"/>
  <c r="AB148" i="5"/>
  <c r="AC148" i="5"/>
  <c r="AD148" i="5"/>
  <c r="AE148" i="5"/>
  <c r="AF148" i="5"/>
  <c r="AG148" i="5"/>
  <c r="C147" i="5"/>
  <c r="M147" i="5"/>
  <c r="O147" i="5"/>
  <c r="P147" i="5"/>
  <c r="Q147" i="5"/>
  <c r="R147" i="5"/>
  <c r="S147" i="5"/>
  <c r="T147" i="5"/>
  <c r="U147" i="5"/>
  <c r="V147" i="5"/>
  <c r="W147" i="5"/>
  <c r="X147" i="5"/>
  <c r="Y147" i="5"/>
  <c r="Z147" i="5"/>
  <c r="AB147" i="5"/>
  <c r="AC147" i="5"/>
  <c r="AD147" i="5"/>
  <c r="AE147" i="5"/>
  <c r="AF147" i="5"/>
  <c r="AG147" i="5"/>
  <c r="C146" i="5"/>
  <c r="M146" i="5"/>
  <c r="O146" i="5"/>
  <c r="P146" i="5"/>
  <c r="Q146" i="5"/>
  <c r="R146" i="5"/>
  <c r="S146" i="5"/>
  <c r="T146" i="5"/>
  <c r="U146" i="5"/>
  <c r="V146" i="5"/>
  <c r="W146" i="5"/>
  <c r="X146" i="5"/>
  <c r="Y146" i="5"/>
  <c r="Z146" i="5"/>
  <c r="AB146" i="5"/>
  <c r="AC146" i="5"/>
  <c r="AD146" i="5"/>
  <c r="AE146" i="5"/>
  <c r="AF146" i="5"/>
  <c r="AG146" i="5"/>
  <c r="C145" i="5"/>
  <c r="M145" i="5"/>
  <c r="O145" i="5"/>
  <c r="P145" i="5"/>
  <c r="Q145" i="5"/>
  <c r="R145" i="5"/>
  <c r="S145" i="5"/>
  <c r="T145" i="5"/>
  <c r="U145" i="5"/>
  <c r="V145" i="5"/>
  <c r="W145" i="5"/>
  <c r="X145" i="5"/>
  <c r="Y145" i="5"/>
  <c r="Z145" i="5"/>
  <c r="AB145" i="5"/>
  <c r="AC145" i="5"/>
  <c r="AD145" i="5"/>
  <c r="AE145" i="5"/>
  <c r="AF145" i="5"/>
  <c r="AG145" i="5"/>
  <c r="C144" i="5"/>
  <c r="M144" i="5"/>
  <c r="O144" i="5"/>
  <c r="P144" i="5"/>
  <c r="Q144" i="5"/>
  <c r="R144" i="5"/>
  <c r="S144" i="5"/>
  <c r="T144" i="5"/>
  <c r="U144" i="5"/>
  <c r="V144" i="5"/>
  <c r="W144" i="5"/>
  <c r="X144" i="5"/>
  <c r="Y144" i="5"/>
  <c r="Z144" i="5"/>
  <c r="AB144" i="5"/>
  <c r="AC144" i="5"/>
  <c r="AD144" i="5"/>
  <c r="AE144" i="5"/>
  <c r="AF144" i="5"/>
  <c r="AG144" i="5"/>
  <c r="C143" i="5"/>
  <c r="M143" i="5"/>
  <c r="O143" i="5"/>
  <c r="P143" i="5"/>
  <c r="Q143" i="5"/>
  <c r="R143" i="5"/>
  <c r="S143" i="5"/>
  <c r="T143" i="5"/>
  <c r="U143" i="5"/>
  <c r="V143" i="5"/>
  <c r="W143" i="5"/>
  <c r="X143" i="5"/>
  <c r="Y143" i="5"/>
  <c r="Z143" i="5"/>
  <c r="AB143" i="5"/>
  <c r="AC143" i="5"/>
  <c r="AD143" i="5"/>
  <c r="AE143" i="5"/>
  <c r="AF143" i="5"/>
  <c r="AG143" i="5"/>
  <c r="C142" i="5"/>
  <c r="M142" i="5"/>
  <c r="O142" i="5"/>
  <c r="P142" i="5"/>
  <c r="Q142" i="5"/>
  <c r="R142" i="5"/>
  <c r="S142" i="5"/>
  <c r="T142" i="5"/>
  <c r="U142" i="5"/>
  <c r="V142" i="5"/>
  <c r="W142" i="5"/>
  <c r="X142" i="5"/>
  <c r="Y142" i="5"/>
  <c r="Z142" i="5"/>
  <c r="AB142" i="5"/>
  <c r="AC142" i="5"/>
  <c r="AD142" i="5"/>
  <c r="AE142" i="5"/>
  <c r="AF142" i="5"/>
  <c r="AG142" i="5"/>
  <c r="C141" i="5"/>
  <c r="M141" i="5"/>
  <c r="O141" i="5"/>
  <c r="P141" i="5"/>
  <c r="Q141" i="5"/>
  <c r="R141" i="5"/>
  <c r="S141" i="5"/>
  <c r="T141" i="5"/>
  <c r="U141" i="5"/>
  <c r="V141" i="5"/>
  <c r="W141" i="5"/>
  <c r="X141" i="5"/>
  <c r="Y141" i="5"/>
  <c r="Z141" i="5"/>
  <c r="AB141" i="5"/>
  <c r="AC141" i="5"/>
  <c r="AD141" i="5"/>
  <c r="AE141" i="5"/>
  <c r="AF141" i="5"/>
  <c r="AG141" i="5"/>
  <c r="C140" i="5"/>
  <c r="M140" i="5"/>
  <c r="O140" i="5"/>
  <c r="P140" i="5"/>
  <c r="Q140" i="5"/>
  <c r="R140" i="5"/>
  <c r="S140" i="5"/>
  <c r="T140" i="5"/>
  <c r="U140" i="5"/>
  <c r="V140" i="5"/>
  <c r="W140" i="5"/>
  <c r="X140" i="5"/>
  <c r="Y140" i="5"/>
  <c r="Z140" i="5"/>
  <c r="AB140" i="5"/>
  <c r="AC140" i="5"/>
  <c r="AD140" i="5"/>
  <c r="AE140" i="5"/>
  <c r="AF140" i="5"/>
  <c r="AG140" i="5"/>
  <c r="C139" i="5"/>
  <c r="M139" i="5"/>
  <c r="O139" i="5"/>
  <c r="P139" i="5"/>
  <c r="Q139" i="5"/>
  <c r="R139" i="5"/>
  <c r="S139" i="5"/>
  <c r="T139" i="5"/>
  <c r="U139" i="5"/>
  <c r="V139" i="5"/>
  <c r="W139" i="5"/>
  <c r="X139" i="5"/>
  <c r="Y139" i="5"/>
  <c r="Z139" i="5"/>
  <c r="AB139" i="5"/>
  <c r="AC139" i="5"/>
  <c r="AD139" i="5"/>
  <c r="AE139" i="5"/>
  <c r="AF139" i="5"/>
  <c r="AG139" i="5"/>
  <c r="C138" i="5"/>
  <c r="M138" i="5"/>
  <c r="O138" i="5"/>
  <c r="P138" i="5"/>
  <c r="Q138" i="5"/>
  <c r="R138" i="5"/>
  <c r="S138" i="5"/>
  <c r="T138" i="5"/>
  <c r="U138" i="5"/>
  <c r="V138" i="5"/>
  <c r="W138" i="5"/>
  <c r="X138" i="5"/>
  <c r="Y138" i="5"/>
  <c r="Z138" i="5"/>
  <c r="AB138" i="5"/>
  <c r="AC138" i="5"/>
  <c r="AD138" i="5"/>
  <c r="AE138" i="5"/>
  <c r="AF138" i="5"/>
  <c r="AG138" i="5"/>
  <c r="C137" i="5"/>
  <c r="M137" i="5"/>
  <c r="O137" i="5"/>
  <c r="P137" i="5"/>
  <c r="Q137" i="5"/>
  <c r="R137" i="5"/>
  <c r="S137" i="5"/>
  <c r="T137" i="5"/>
  <c r="U137" i="5"/>
  <c r="V137" i="5"/>
  <c r="W137" i="5"/>
  <c r="X137" i="5"/>
  <c r="Y137" i="5"/>
  <c r="Z137" i="5"/>
  <c r="AB137" i="5"/>
  <c r="AC137" i="5"/>
  <c r="AD137" i="5"/>
  <c r="AE137" i="5"/>
  <c r="AF137" i="5"/>
  <c r="AG137" i="5"/>
  <c r="C136" i="5" l="1"/>
  <c r="M136" i="5"/>
  <c r="O136" i="5"/>
  <c r="P136" i="5"/>
  <c r="Q136" i="5"/>
  <c r="R136" i="5"/>
  <c r="S136" i="5"/>
  <c r="T136" i="5"/>
  <c r="U136" i="5"/>
  <c r="V136" i="5"/>
  <c r="W136" i="5"/>
  <c r="X136" i="5"/>
  <c r="Y136" i="5"/>
  <c r="Z136" i="5"/>
  <c r="AB136" i="5"/>
  <c r="AC136" i="5"/>
  <c r="AD136" i="5"/>
  <c r="AE136" i="5"/>
  <c r="AF136" i="5"/>
  <c r="AG136" i="5"/>
  <c r="C135" i="5"/>
  <c r="M135" i="5"/>
  <c r="O135" i="5"/>
  <c r="P135" i="5"/>
  <c r="Q135" i="5"/>
  <c r="R135" i="5"/>
  <c r="S135" i="5"/>
  <c r="T135" i="5"/>
  <c r="U135" i="5"/>
  <c r="V135" i="5"/>
  <c r="W135" i="5"/>
  <c r="X135" i="5"/>
  <c r="Y135" i="5"/>
  <c r="Z135" i="5"/>
  <c r="AB135" i="5"/>
  <c r="AC135" i="5"/>
  <c r="AD135" i="5"/>
  <c r="AE135" i="5"/>
  <c r="AF135" i="5"/>
  <c r="AG135" i="5"/>
  <c r="C134" i="5"/>
  <c r="M134" i="5"/>
  <c r="O134" i="5"/>
  <c r="P134" i="5"/>
  <c r="Q134" i="5"/>
  <c r="R134" i="5"/>
  <c r="S134" i="5"/>
  <c r="T134" i="5"/>
  <c r="U134" i="5"/>
  <c r="V134" i="5"/>
  <c r="W134" i="5"/>
  <c r="X134" i="5"/>
  <c r="Y134" i="5"/>
  <c r="Z134" i="5"/>
  <c r="AB134" i="5"/>
  <c r="AC134" i="5"/>
  <c r="AD134" i="5"/>
  <c r="AE134" i="5"/>
  <c r="AF134" i="5"/>
  <c r="AG134" i="5"/>
  <c r="C133" i="5"/>
  <c r="M133" i="5"/>
  <c r="O133" i="5"/>
  <c r="P133" i="5"/>
  <c r="Q133" i="5"/>
  <c r="R133" i="5"/>
  <c r="S133" i="5"/>
  <c r="T133" i="5"/>
  <c r="U133" i="5"/>
  <c r="V133" i="5"/>
  <c r="W133" i="5"/>
  <c r="X133" i="5"/>
  <c r="Y133" i="5"/>
  <c r="Z133" i="5"/>
  <c r="AB133" i="5"/>
  <c r="AC133" i="5"/>
  <c r="AD133" i="5"/>
  <c r="AE133" i="5"/>
  <c r="AF133" i="5"/>
  <c r="AG133" i="5"/>
  <c r="C132" i="5"/>
  <c r="M132" i="5"/>
  <c r="O132" i="5"/>
  <c r="P132" i="5"/>
  <c r="Q132" i="5"/>
  <c r="R132" i="5"/>
  <c r="S132" i="5"/>
  <c r="T132" i="5"/>
  <c r="U132" i="5"/>
  <c r="V132" i="5"/>
  <c r="W132" i="5"/>
  <c r="X132" i="5"/>
  <c r="Y132" i="5"/>
  <c r="Z132" i="5"/>
  <c r="AB132" i="5"/>
  <c r="AC132" i="5"/>
  <c r="AD132" i="5"/>
  <c r="AE132" i="5"/>
  <c r="AF132" i="5"/>
  <c r="AG132" i="5"/>
  <c r="T130" i="5"/>
  <c r="C130" i="5"/>
  <c r="M130" i="5"/>
  <c r="O130" i="5"/>
  <c r="P130" i="5"/>
  <c r="Q130" i="5"/>
  <c r="R130" i="5"/>
  <c r="S130" i="5"/>
  <c r="U130" i="5"/>
  <c r="V130" i="5"/>
  <c r="W130" i="5"/>
  <c r="X130" i="5"/>
  <c r="Y130" i="5"/>
  <c r="Z130" i="5"/>
  <c r="AB130" i="5"/>
  <c r="AC130" i="5"/>
  <c r="AD130" i="5"/>
  <c r="AE130" i="5"/>
  <c r="AF130" i="5"/>
  <c r="AG130" i="5"/>
  <c r="K11" i="5"/>
  <c r="C128" i="5"/>
  <c r="C129" i="5"/>
  <c r="M129" i="5"/>
  <c r="O129" i="5"/>
  <c r="P129" i="5"/>
  <c r="Q129" i="5"/>
  <c r="R129" i="5"/>
  <c r="S129" i="5"/>
  <c r="T129" i="5"/>
  <c r="U129" i="5"/>
  <c r="V129" i="5"/>
  <c r="W129" i="5"/>
  <c r="X129" i="5"/>
  <c r="Y129" i="5"/>
  <c r="Z129" i="5"/>
  <c r="AB129" i="5"/>
  <c r="AC129" i="5"/>
  <c r="AD129" i="5"/>
  <c r="AE129" i="5"/>
  <c r="AF129" i="5"/>
  <c r="AG129" i="5"/>
  <c r="M128" i="5"/>
  <c r="O128" i="5"/>
  <c r="P128" i="5"/>
  <c r="Q128" i="5"/>
  <c r="R128" i="5"/>
  <c r="S128" i="5"/>
  <c r="T128" i="5"/>
  <c r="U128" i="5"/>
  <c r="V128" i="5"/>
  <c r="W128" i="5"/>
  <c r="X128" i="5"/>
  <c r="Y128" i="5"/>
  <c r="Z128" i="5"/>
  <c r="AB128" i="5"/>
  <c r="AC128" i="5"/>
  <c r="AD128" i="5"/>
  <c r="AE128" i="5"/>
  <c r="AF128" i="5"/>
  <c r="AG128" i="5"/>
  <c r="C127" i="5"/>
  <c r="M127" i="5"/>
  <c r="O127" i="5"/>
  <c r="P127" i="5"/>
  <c r="Q127" i="5"/>
  <c r="R127" i="5"/>
  <c r="S127" i="5"/>
  <c r="T127" i="5"/>
  <c r="U127" i="5"/>
  <c r="V127" i="5"/>
  <c r="W127" i="5"/>
  <c r="X127" i="5"/>
  <c r="Y127" i="5"/>
  <c r="Z127" i="5"/>
  <c r="AB127" i="5"/>
  <c r="AC127" i="5"/>
  <c r="AD127" i="5"/>
  <c r="AE127" i="5"/>
  <c r="AF127" i="5"/>
  <c r="AG127" i="5"/>
  <c r="C126" i="5" l="1"/>
  <c r="M126" i="5"/>
  <c r="O126" i="5"/>
  <c r="P126" i="5"/>
  <c r="Q126" i="5"/>
  <c r="R126" i="5"/>
  <c r="S126" i="5"/>
  <c r="T126" i="5"/>
  <c r="U126" i="5"/>
  <c r="V126" i="5"/>
  <c r="W126" i="5"/>
  <c r="X126" i="5"/>
  <c r="Y126" i="5"/>
  <c r="Z126" i="5"/>
  <c r="AB126" i="5"/>
  <c r="AC126" i="5"/>
  <c r="AD126" i="5"/>
  <c r="AE126" i="5"/>
  <c r="AF126" i="5"/>
  <c r="AG126" i="5"/>
  <c r="C125" i="5"/>
  <c r="M125" i="5"/>
  <c r="O125" i="5"/>
  <c r="P125" i="5"/>
  <c r="Q125" i="5"/>
  <c r="R125" i="5"/>
  <c r="S125" i="5"/>
  <c r="T125" i="5"/>
  <c r="U125" i="5"/>
  <c r="V125" i="5"/>
  <c r="W125" i="5"/>
  <c r="X125" i="5"/>
  <c r="Y125" i="5"/>
  <c r="Z125" i="5"/>
  <c r="AB125" i="5"/>
  <c r="AC125" i="5"/>
  <c r="AD125" i="5"/>
  <c r="AE125" i="5"/>
  <c r="AF125" i="5"/>
  <c r="AG125" i="5"/>
  <c r="K12" i="5" l="1"/>
  <c r="C10" i="5" l="1"/>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F23" i="5"/>
  <c r="AF24" i="5"/>
  <c r="AF25" i="5"/>
  <c r="AF26" i="5"/>
  <c r="AF27" i="5"/>
  <c r="AF28" i="5"/>
  <c r="AF29" i="5"/>
  <c r="AF30" i="5"/>
  <c r="AF31" i="5"/>
  <c r="AF32" i="5"/>
  <c r="AF33" i="5"/>
  <c r="AF34" i="5"/>
  <c r="AF35" i="5"/>
  <c r="AF36" i="5"/>
  <c r="AF37" i="5"/>
  <c r="AF38" i="5"/>
  <c r="AF39" i="5"/>
  <c r="AF40" i="5"/>
  <c r="AF41" i="5"/>
  <c r="AF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M124" i="5"/>
  <c r="C124" i="5"/>
  <c r="M123" i="5"/>
  <c r="C123" i="5"/>
  <c r="M122" i="5"/>
  <c r="C122" i="5"/>
  <c r="M121" i="5"/>
  <c r="C121" i="5"/>
  <c r="M120" i="5"/>
  <c r="C120" i="5"/>
  <c r="M119" i="5"/>
  <c r="C119" i="5"/>
  <c r="M118" i="5"/>
  <c r="C118" i="5"/>
  <c r="M117" i="5"/>
  <c r="C117" i="5"/>
  <c r="M115" i="5"/>
  <c r="C115" i="5"/>
  <c r="M114" i="5"/>
  <c r="C114" i="5"/>
  <c r="M113" i="5"/>
  <c r="C113" i="5"/>
  <c r="M112" i="5"/>
  <c r="C112" i="5"/>
  <c r="M111" i="5"/>
  <c r="C111" i="5"/>
  <c r="M110" i="5"/>
  <c r="C110" i="5"/>
  <c r="M109" i="5"/>
  <c r="C109" i="5"/>
  <c r="M108" i="5"/>
  <c r="C108" i="5"/>
  <c r="M107" i="5"/>
  <c r="C107" i="5"/>
  <c r="M106" i="5"/>
  <c r="C106" i="5"/>
  <c r="M105" i="5"/>
  <c r="C105" i="5"/>
  <c r="M104" i="5"/>
  <c r="C104" i="5"/>
  <c r="M103" i="5"/>
  <c r="C103" i="5"/>
  <c r="M102" i="5"/>
  <c r="C102" i="5"/>
  <c r="M101" i="5"/>
  <c r="C101" i="5"/>
  <c r="M100" i="5"/>
  <c r="C100" i="5"/>
  <c r="M99" i="5"/>
  <c r="C99" i="5"/>
  <c r="M98" i="5"/>
  <c r="C98" i="5"/>
  <c r="M97" i="5"/>
  <c r="C97" i="5"/>
  <c r="M96" i="5"/>
  <c r="C96" i="5"/>
  <c r="M95" i="5"/>
  <c r="C95" i="5"/>
  <c r="M94" i="5"/>
  <c r="C94" i="5"/>
  <c r="M93" i="5"/>
  <c r="C93" i="5"/>
  <c r="M92" i="5"/>
  <c r="C92" i="5"/>
  <c r="M91" i="5"/>
  <c r="C91" i="5"/>
  <c r="M90" i="5"/>
  <c r="C90" i="5"/>
  <c r="M89" i="5"/>
  <c r="C89" i="5"/>
  <c r="M88" i="5"/>
  <c r="C88" i="5"/>
  <c r="M87" i="5"/>
  <c r="C87" i="5"/>
  <c r="M86" i="5"/>
  <c r="C86" i="5"/>
  <c r="M85" i="5"/>
  <c r="C85" i="5"/>
  <c r="M84" i="5"/>
  <c r="C84" i="5"/>
  <c r="M83" i="5"/>
  <c r="C83" i="5"/>
  <c r="M82" i="5"/>
  <c r="C82" i="5"/>
  <c r="M81" i="5"/>
  <c r="C81" i="5"/>
  <c r="M80" i="5"/>
  <c r="C80" i="5"/>
  <c r="M79" i="5"/>
  <c r="C79" i="5"/>
  <c r="M78" i="5"/>
  <c r="C78" i="5"/>
  <c r="M77" i="5"/>
  <c r="C77" i="5"/>
  <c r="M76" i="5"/>
  <c r="C76" i="5"/>
  <c r="M75" i="5"/>
  <c r="C75" i="5"/>
  <c r="M74" i="5"/>
  <c r="C74" i="5"/>
  <c r="M73" i="5"/>
  <c r="C73" i="5"/>
  <c r="M72" i="5"/>
  <c r="C72" i="5"/>
  <c r="M71" i="5"/>
  <c r="C71" i="5"/>
  <c r="M70" i="5"/>
  <c r="C70" i="5"/>
  <c r="M69" i="5"/>
  <c r="C69" i="5"/>
  <c r="M68" i="5"/>
  <c r="C68" i="5"/>
  <c r="M67" i="5"/>
  <c r="C67" i="5"/>
  <c r="M66" i="5"/>
  <c r="C66" i="5"/>
  <c r="M65" i="5"/>
  <c r="C65" i="5"/>
  <c r="M64" i="5"/>
  <c r="C64" i="5"/>
  <c r="M63" i="5"/>
  <c r="C63" i="5"/>
  <c r="M62" i="5"/>
  <c r="C62" i="5"/>
  <c r="M61" i="5"/>
  <c r="C61" i="5"/>
  <c r="M60" i="5"/>
  <c r="C60" i="5"/>
  <c r="M59" i="5"/>
  <c r="C59" i="5"/>
  <c r="M58" i="5"/>
  <c r="C58" i="5"/>
  <c r="M57" i="5"/>
  <c r="C57" i="5"/>
  <c r="M56" i="5"/>
  <c r="C56" i="5"/>
  <c r="M55" i="5"/>
  <c r="C55" i="5"/>
  <c r="M54" i="5"/>
  <c r="C54" i="5"/>
  <c r="M53" i="5"/>
  <c r="C53" i="5"/>
  <c r="M52" i="5"/>
  <c r="C52" i="5"/>
  <c r="M51" i="5"/>
  <c r="C51" i="5"/>
  <c r="M50" i="5"/>
  <c r="C50" i="5"/>
  <c r="M49" i="5"/>
  <c r="C49" i="5"/>
  <c r="M48" i="5"/>
  <c r="C48" i="5"/>
  <c r="M47" i="5"/>
  <c r="C47" i="5"/>
  <c r="M46" i="5"/>
  <c r="C46" i="5"/>
  <c r="M45" i="5"/>
  <c r="C45" i="5"/>
  <c r="M44" i="5"/>
  <c r="C44" i="5"/>
  <c r="M43" i="5"/>
  <c r="C43" i="5"/>
  <c r="M42" i="5"/>
  <c r="C42" i="5"/>
  <c r="M41" i="5"/>
  <c r="C41" i="5"/>
  <c r="M40" i="5"/>
  <c r="C40" i="5"/>
  <c r="M39" i="5"/>
  <c r="C39" i="5"/>
  <c r="M38" i="5"/>
  <c r="C38" i="5"/>
  <c r="M37" i="5"/>
  <c r="C37" i="5"/>
  <c r="M36" i="5"/>
  <c r="C36" i="5"/>
  <c r="M35" i="5"/>
  <c r="C35" i="5"/>
  <c r="M34" i="5"/>
  <c r="C34" i="5"/>
  <c r="M33" i="5"/>
  <c r="C33" i="5"/>
  <c r="M32" i="5"/>
  <c r="C32" i="5"/>
  <c r="M31" i="5"/>
  <c r="C31" i="5"/>
  <c r="M30" i="5"/>
  <c r="C30" i="5"/>
  <c r="M29" i="5"/>
  <c r="C29" i="5"/>
  <c r="M28" i="5"/>
  <c r="C28" i="5"/>
  <c r="M27" i="5"/>
  <c r="C27" i="5"/>
  <c r="M26" i="5"/>
  <c r="C26" i="5"/>
  <c r="M25" i="5"/>
  <c r="C25" i="5"/>
  <c r="M24" i="5"/>
  <c r="C24" i="5"/>
  <c r="M23" i="5"/>
  <c r="C23" i="5"/>
  <c r="C15" i="5"/>
  <c r="C14" i="5"/>
  <c r="C13" i="5"/>
  <c r="C12" i="5"/>
  <c r="C1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<sst xmlns="http://schemas.openxmlformats.org/spreadsheetml/2006/main" count="3064" uniqueCount="1482">
  <si>
    <t>Año</t>
  </si>
  <si>
    <t>Mes</t>
  </si>
  <si>
    <t>REFERENCIA</t>
  </si>
  <si>
    <t>FECHA INICIO</t>
  </si>
  <si>
    <t>FECHA FINALIZACION</t>
  </si>
  <si>
    <t>FECHA DESCUBRIMIENTO</t>
  </si>
  <si>
    <t>DESCRIPCION EVENTO</t>
  </si>
  <si>
    <t>CUANTIA</t>
  </si>
  <si>
    <t>CUANTIA TOTAL RECUPERADA</t>
  </si>
  <si>
    <t>CUANTIA RECUPERADA SEGUROS</t>
  </si>
  <si>
    <t>CLASE EVENTO NIVEL 1</t>
  </si>
  <si>
    <t>CLASE EVENTO NIVEL 2</t>
  </si>
  <si>
    <t>CLASE EVENTO NIVEL 3</t>
  </si>
  <si>
    <t>CUENTA CONTABLE</t>
  </si>
  <si>
    <t>FECHA CONTABILIZACION</t>
  </si>
  <si>
    <t>SERVICIO / PRODUCTO</t>
  </si>
  <si>
    <t>CANAL ATENCION CLIENTE</t>
  </si>
  <si>
    <t>NIT FUNCIONARIO REPORTE EVENTO</t>
  </si>
  <si>
    <t>NOMBRE FUNCIONARIO REPORTE EVENTO</t>
  </si>
  <si>
    <t>EMAIL FUNCIONARIO REPORTE EVENTO</t>
  </si>
  <si>
    <t>ESTADO EVENTO</t>
  </si>
  <si>
    <t>REVISION EVENTO</t>
  </si>
  <si>
    <t>CATEGORÍA 4 (Interna)</t>
  </si>
  <si>
    <t xml:space="preserve">Caso
Febor tiene contratado los servicios de Visionamos para operaciones electrónicas. El pasado 1 de septiembre de 2020, Visionamos ejecutó un proceso en cola de aplicación de nomina erróneamente, este proceso se ejecutó más de una vez debido a desconexiones tecnológicas donde no se evidenció la corrida del proceso inicial y se procedió a correrlo 2 veces mas, ocasionando aumento en los saldos y obligando a reprocesar con reversiones de saldos.
En este proceso se afectó 137 asociados por un valor total de $ 344.885.519, no hubo pérdidas económicas ya que los dineros abonados no habían sido retirados de las cuentas por parte de los asociados. Desde Febor se operó un reintegro masivo para recuperar los dineros, sin embargo, siendo Visionamos el responsable material, se observó que no intervino en el reproceso y que por otro lado se identificó la falla hasta diciembre de 2021 por parte del área operativa (1 año y 3 meses después), esto genera alertas tales como: Riesgo operativo de terceros, fallas en la comunicación y flujos operativos con terceros, reputación y credibilidad de la Cooperativa.
Acciones
Reversión de saldos
Realizar reversión de las operaciones erradas. Monitoreo permanente de las operaciones electrónicas, puede que las desconexiones de interface se repitan pero la Cooperativa debe conocerlo inmediatamente. Es necesario soporte permanente también desde visionamos. Jefe de Operaciones
</t>
  </si>
  <si>
    <t>76 - Proveedores</t>
  </si>
  <si>
    <t>763 - Incumplimiento de las Actividades Contratadas</t>
  </si>
  <si>
    <t>Ninguna</t>
  </si>
  <si>
    <t>Ahorros voluntarios</t>
  </si>
  <si>
    <t>Ingrid Yamile Polo Caita</t>
  </si>
  <si>
    <t>operaciones@febor.coop</t>
  </si>
  <si>
    <t>Aprobado</t>
  </si>
  <si>
    <t>16/02/2022 20:08:19: Riesgo. Pérdidas económicas por fallas operativas que implica la relación e intervención con proveedores y/o terceros y pérdida de imagen y confianza de los asociados si se ven afectados sus productos financieros a causa de actividades erradas desde la Cooperativa.</t>
  </si>
  <si>
    <t>Caso
Sobre los primeros días de marzo de 2021, 35 asociados hicieron operaciones con su tarjeta débito que en total sumó $7.943.416. Se presentó fallas tecnológicas, desconexión entre los aplicativos y dichas operaciones nunca fueron descontadas de los ahorros voluntarios de los asociados.
Por otro lado, se añade que al momento de realizar conciliaciones, no se verificó estas operaciones y en el mes de octubre cuando se detectó la falla, varios  asociados ya no tenían este dinero es sus cuentas de ahorro para realizar el cobro correspondiente.
Acciones
De los  $7.943.416 que sumó el total de las transacciones, se recuperó $4.365.767 quedando un valor  por recuperar de $3.607.649. 
Revisar las operaciones  de los asociados afectados, conciliar y recuperar los dineros de las cuentas de ahorro voluntario y para quienes ya no contaban con el recurso ir recuperando de manera paulatina.</t>
  </si>
  <si>
    <t>6 - Fallas Tecnologicas</t>
  </si>
  <si>
    <t>61 - Sistemas</t>
  </si>
  <si>
    <t>614 - Interrupción en el Suministro de un Servicio Público que Ocasiones Falla en los Sistemas</t>
  </si>
  <si>
    <t>INGRID YAMILE POLO CAITA</t>
  </si>
  <si>
    <t>18/02/2022 15:52:17: Riesgo identificado - Pérdidas económicas por fallas tecnológicas entra los aplicativos que conectan la operación de la Cooperativa.</t>
  </si>
  <si>
    <t>Caso
El 29 de noviembre, el área de operaciones ejecutó el proceso acostumbrado de aplicación de nominas de Colpensiones, tomando la plantilla oficial publicada en la página Web de Colpensiones.
El 3 de diciembre, cuando el área de operaciones verificó el proceso  junto con el área contable se hallaron diferencias con el reporte aplicado
Se evidenció  que la plantilla utilizada para dicha operación  era errada, (error que reconoció Colpensiones y posteriormente publicó la plantilla corregida) y que faltaba información por suministrar. En este proceso se procedió a realizar el cargue nuevamente y no se generaron pérdidas económicas para la Cooperativa.
Acciones
Corregir las operaciones ejecutadas de manera errónea, de forma urgente.
Medida de autocontrol por parte del analista, debe revisar plantillas y versiones oficiales antes de los cargues</t>
  </si>
  <si>
    <t>71 - Recepción, Ejecución y Mantenimiento de Operaciones</t>
  </si>
  <si>
    <t>717 - Problema en el Mantenimiento de Datos de Referencia</t>
  </si>
  <si>
    <t>Varios tipos de crédito</t>
  </si>
  <si>
    <t>18/02/2022 15:59:23: Identificación de riesgo- Pérdidas económicas por operaciones erradas en la aplicación de nomina.</t>
  </si>
  <si>
    <t>Prueba eliminada por verificación en proceso de implementación SARO SIAR</t>
  </si>
  <si>
    <t>Caso
Personas inescrupulosas crearon una página web www.coopfebor.com falsa para ofrecer préstamos de libre inversión, aprovechándose del buen nombre de Febor. Realizaron publicidad de oferta de servicios mediante cartas dirigidas y por la línea de WhatsApp 3123312790 donde solicitan envío de información al correo de gerencia@coopfebor.com con el fin de obtener tal servicio. En dicha pagina web se publicó la dirección real de Febor para crear confianza, Febor acudió inmediatamente a la publicación oficial de la novedad por los canales oficiales dirigida a los asociados y tramitó las denuncias correspondientes.
El proceso de suplantación no surgió efecto, no se identifican asociados víctimas de fraude en este evento.
Acciones
Comunicación y alerta inmediata a través de los canales oficiales de la Cooperativa para prevenir a los asociados de ser victimas de fraude.
Verificación permanente de sitios web sospechosos con información básica de Febor.</t>
  </si>
  <si>
    <t>2 - Fraude Externo</t>
  </si>
  <si>
    <t>22 - Hurto y Fraude</t>
  </si>
  <si>
    <t>222 - Falsificación</t>
  </si>
  <si>
    <t>Canales de comunicación virtual</t>
  </si>
  <si>
    <t>Diana Maribel Fonseca Gómez</t>
  </si>
  <si>
    <t>direccion.riesgos@febor.coop</t>
  </si>
  <si>
    <t xml:space="preserve">
18/02/2022 16:14:05: Transacción de riesgo- Pérdida de imagen y reputación debido a suplantaciones realizadas por personas inescrupulosas.</t>
  </si>
  <si>
    <t>Suplantación de página web de Febor</t>
  </si>
  <si>
    <t>Caso
El 09 de febrero de 2022 se presentaron fallas en la conexión de internet y en el PBX a partir de las 6:00pm, ocasionado por un daño en el switch (un dispositivo de interconexión utilizado para conectar equipos en red). Se realizó el proceso de restablecimiento del sistema y opera con normalidad a partir de las 8:30 am del 10 de febrero 2022. Para garantizar continuidad de la operación, se reemplazará el dispositivo de interconexión con los recursos presupuestados para el mantenimiento preventivo y/o correctivo de equipos e infraestructura tecnológica.
No se registran pérdidas económicas que deba asumir la Cooperativa.
Acciones
Reemplazar el switch dañado para garantizar nuevamente la conectividad.</t>
  </si>
  <si>
    <t>613 - Pérdida por Fallas en Telecomunicaciones</t>
  </si>
  <si>
    <t>Comunicación por PBX</t>
  </si>
  <si>
    <t>Johana Paola Cortés Gómez</t>
  </si>
  <si>
    <t>direccion.sas@febor.coop</t>
  </si>
  <si>
    <t>18/02/2022 16:53:31: Transacción de riesgo - Insatisfacción de los asociados por no prestar oportunamente los servicios mediante los canales telefónicos dado que las fallas tecnológicas interrumpen este medio de comunicación.</t>
  </si>
  <si>
    <t xml:space="preserve">Caso
El día 14 de febrero 2022 el asociado José Neira Ochoa identificado con CC 170562291 reportó sobre las 4:30 pm a Febor que intentaban extraer dinero de su cuenta de ahorros voluntarios sin su consentimiento. Al indagar y averiguar la situación expuesta por el asociado, se logró identificar dos personas que intentaban extraer $12 millones de pesos, y se bloqueó la aplicación del retiro inmediatamente, de igual al día siguiente, el asociado reportó que en la madrugada del 15 de febrero también tuvo intento de robo por $20 millones por uno de las personas identificadas.
El Asociado José Neira argumenta que esta persona es un asesor de una empresa de telefonía donde solicitó un servicio, y él confiado entregó su celular, por tal motivo este asesor tuvo acceso a su App móvil transaccional e inicio sus intentos de fraude. Febor hizo los bloqueos correspondientes sobre los productos del asociado para evitar este hurto y brindó la información pertinente para que pudiera iniciar un proceso de denuncia formal ante las autoridades competentes.
Acciones
Realizar el bloqueo inmediato de las cuentas y productos del asociado, asesorar al asociado para el restablecimiento de contraseñas
Comunicar y alertar de manera preventiva a los asociados para que cuiden su información y equipos de uso personal.
Brindar información al asociado con respecto de los intentos de fraude y asesoramiento para que presente la denuncia correspondiente.
</t>
  </si>
  <si>
    <t>221 - Robo o Hurto</t>
  </si>
  <si>
    <t>JOHAN SANTIAGO CRUZ MARTÍN</t>
  </si>
  <si>
    <t>Analista.operativo2@febor.coop</t>
  </si>
  <si>
    <t>18/02/2022 16:58:10: Transacción de riesgo- Pérdida de imagen y credibilidad con respecto de la seguridad de nuestros mecanismos de seguridad tecnológica y oportunidad de respuesta ante situaciones de posible fraude.</t>
  </si>
  <si>
    <t>Caso
No se programó el débito automático de la asociada Olaine Salas Fuentes de su producto Línea temporal con un saldo e $6.500.000 y una cuota de $110.500, debido a que el proceso de programación de débitos automáticos no está automatizado, se realiza de forma manual agregando un listado oficial en Excel y por olvido del analista que administra dicha información, no se incorporó la programación del débito para esta obligación.
La obligación vencía el 26 de diciembre /21 y se aplicó el débito hasta el día 3 de enero/22.
Acciones
Programar y ejecutar de manera inmediata el débito automático.
Auditoría a los procesos de gestión de operaciones para identificar oportunidades de mejora en los diferentes procesos.</t>
  </si>
  <si>
    <t>711 - Exceso de Manualidad</t>
  </si>
  <si>
    <t>Crédito de consumo</t>
  </si>
  <si>
    <t>18/02/2022 16:48:20: Transacción de riesgo- Aumento de la cartera en mora por no aplicar oportunamente los descuentos de recaudo autorizados
18/02/2022 16:58:57: Transacción de riesgo- Aumento de la cartera en mora por no aplicar oportunamente los descuentos de recaudo autorizados</t>
  </si>
  <si>
    <t>Caso
Se sobregiraron las cuentas de ahorros de aproximadamente 30 asociados por un total de $41.000.000 debido a que se realizaron operaciones de retiro el domingo 5 de diciembre/21 y la conexión entre Wog-Visionamos -Empacto no reflejó oportunamente aquellos giros efectuados. 
Las actualizaciones no quedan inmediatamente, se hacen 3 veces al día, pero el día del evento era fin de semana y el día siguiente, lunes 6 de diciembre/21  al realizar dichas actualizaciones se detecto el sobregiro.
No se registra pérdidas económicas asumidas por la Cooperativa, se toman acciones inmediatas para la recuperación del dinero.
Acciones
Identificar los asociados con sobregiro para proceder a la recuperación de la operación o solicitud de la devolución del dinero.</t>
  </si>
  <si>
    <t>18/02/2022 16:43:37: Transacción de riesgo - Pérdidas económicas, de imagen y credibilidad en la ejecución de operaciones y transacciones, originado por fallas tecnológicas entre los aplicativos que conectan la operación de la Cooperativa.
18/02/2022 16:59:46: Transacción de riesgo- Pérdidas económicas, de imagen y credibilidad en la ejecución de operaciones y transacciones, originado por fallas tecnológicas entre los aplicativos que conectan la operación de la Cooperativa.</t>
  </si>
  <si>
    <t>Sobregiro de cuentas de ahorro voluntario</t>
  </si>
  <si>
    <t>Caso
El asociado WULFRAN ENRIQUE LOPEZ OJEDA identificado con cédula de ciudadanía 3726870, realizó un proceso de compra de cartera con la entidad Excelcredit, valiéndose de un paz y salvo valiéndose de la falsificación de un paz y salvo a nombre de Febor sobre los productos de crédito 1192902 y 111977 firmado por una persona que no trabaja en la Cooperativa (Beatriz Elene Henao Quintero).
El jue, 17 feb 2022 a las 16:50, Ángela Carrillo (&lt;acarrillo@excelcredit.co&gt;) escribió a Febor:
Cordial Saludo,
Solicito su amable colaboración, procediendo con la suspensión o baja de descuento, del cliente en relación; teniendo en cuenta que le generamos compra de cartera.
*Se adjunta soporte de pago y paz y salvo
Cliente:
WULFRAN ENRIQUE LOPEZ OJEDA
C.c :3726870
Pagaduría: COLPENSIONES
Febor responde lo siguiente:
Buenas tardes Por medio de la presente nos permitimos informar que:
1.El paz y salvo adjunto no fue emitido por esta entidad cooperativa, ya que el asociado Wulfran Enrique lopez c.c. 3726870 tiene vigente el crédito Nª1192902
2.La persona que firma el certificado no es funcionario de Febor entidad cooperativa
Por lo anterior no es procedente la solicitud en mención
Acciones de la Cooperativa
La Cooperativa mediante la jefatura jurídica  inicia el  debido proceso disciplinario con el asociado mencionado y se comunica a los funcionarios algunas recomendaciones importantes:
1 Recordemos que toda información de nuestros asociados es privada por tanto a ninguna persona, entidad, alto funcionario o quien quiera que solicite copias de cédulas, información de saldos, números de teléfono o demás NO es posible que lo brindemos incurrimos en una grave violación al deber de cuidado que tenemos con la autorización que nos brindan para proteger sus datos personales
2 Recordemos que las únicas firmas autorizadas para expedir certificaciones, paz y salvos y demás de este tipo son la dela Directora de Servicio al Asociado y el Gerente, por tanto generemos alerta inmediata cuando reciban llamadas para corroborar datos de este tipo de preguntar: fecha de la certificación, y quien la firma. Para control de todos considero importante que puedan incluir en pie de firma quien elaboró la certificación.
3 Proceso disciplinario - llamado de atención evaluado por la Junta de Vigilancia y el Consejo de Administración.
4 El Consejo  de Administración decidió hacerle proceso de exclusión una vez que esté en firme el embargo de la mesada pensional. Sesión de Consejo 26 de noviembre 2022</t>
  </si>
  <si>
    <t>1 - Fraude Interno</t>
  </si>
  <si>
    <t xml:space="preserve">	125 Falsificación</t>
  </si>
  <si>
    <t>Laura Nataly Arévalo Agredo</t>
  </si>
  <si>
    <t>asesor.sas9@febor.coop</t>
  </si>
  <si>
    <t>21/02/2022 14:24:58: Es importante en cada gestión que se realice en casos similares, tener las precauciones de revisar detalladamente la información y documentación recibida, confirmar hasta estar completamente seguro de que el proceso es real y transparente, dado que podrían existir métodos de falsificación de mayor nivel con dificultad de detección.</t>
  </si>
  <si>
    <t>Falsificación de documentos por parte de un asociado</t>
  </si>
  <si>
    <t>Caso
El día 4 de abril se detectaron errores en el sistema transaccional y en general de varios módulos de operación en Wog, debido a que este sistema tuvo cambio de versión el fin de semana (2 y 3 de abril) por la incorporación del modelo de originación en la fabrica de créditos.
No se presentaron pérdidas económicas, ni se afectaron productos de los asociados ya que durante la ocurrencia se daba solución a las novedades por parte del área de tecnología y operaciones.
Acciones
Comunicación inmediata con el proveedor para la corrección de reportes y módulos afectados. 
El proveedor debe informar las actualizaciones y cambios de versión antes y prevenir a la entidad de los posibles daños.</t>
  </si>
  <si>
    <t>611 - Pérdida por Problemas en Software</t>
  </si>
  <si>
    <t>05/04/2022 09:47:50: Evento registrado desde el área de riesgos</t>
  </si>
  <si>
    <t xml:space="preserve">Caso
Se presenta un caso de inconformidad por fallas en el proceso de consignación por cheque y tiempo de espera en la liberación de canje el 6 de mayo 2022.
Mensaje del asociado Marco a la Gerencia:
El pasado lunes, aproximadamente a la una de la tarde, consigné en la oficina de Febor del edificio anexo un cheque de gerencia para ser abonado a la cuenta de ahorros voluntarios, por valor de 82 millones. Considerando que el canje debe tardar, a lo sumo, 3 días, ayer jueves en la tarde le solicité vía WhatsApp a Jorge Lievano que del producto de esa consignación me hiciera el favor de hacer un pago por $80 millones a capital del crédito de reestructuración solidaria, Jorge me contesta después de unos minutos que el cheque todavía no ha sido confirmado el canje, yo le hice la observación en el sentido que consideraba que desde el lunes no era razonable que el canje no se hubiera dado, cuando se sabe que el canje normalmente demora 2 días. Hoy viernes alrededor de medio día volví a preguntarle a Jorge sobre la operación,  me comentó que él estaba pendiente, pero que contabilidad, u operaciones todavía no le daba conformidad sobre el canje del cheque, a lo que volví a hacerle la observación sobre que no encontraba razonable tanta demora en el canje. Ante esta nueva situación, decidí llamar a Teresita y pedirle que me colaborara, hasta que finalmente hace un rato Jorge me confirmó que la operación de pago al crédito se hizo. 
El caso es que si yo no estoy pendiente e indagando, la plata queda depositada en la cuenta de Febor por varios días, sin aplicar ni a mi cuenta de ahorros voluntarios, ni para hacer el pago al crédito y por supuesto al no darse ese pago se causan intereses sobre mi crédito sin tener en cuenta que la plata ya está en poder de Febor desde hace varios días; sino hubiera estado yo pendiente la operación hubiera quedado para la semana entrante. 
En mi caso, porque tengo la posibilidad de llamar a Teresita y solicitarle colaboración, veo que Jorge no tiene culpa, porque el fué diligente cuando yo le hice la solicitud, simplemente él no podía hacer la operación mientras no le dieran la conformidad del canje.
________________
Se evalúa con el área de operaciones si el canje lo libera automáticamente el sistema, y si tiene un funcionario responsable de su verificación, además de definir el tiempo que debe durar en canje el cheque, que sea estrictamente lo necesario (máx. 3 días)
Acciones
El sistema tiene programados los días de liberar los cheques de canje (3 días), se ordena por parte de Gerencia disminuir los días a (1) en el sistema
</t>
  </si>
  <si>
    <t>713 - Incumplimiento de Plazos o Responsabilidades</t>
  </si>
  <si>
    <t>07/05/2022 21:38:37: Información tomada de la presentación del caso por el grupo de dirección en WhatsApp por parte de la Gerencia</t>
  </si>
  <si>
    <t>Demoras en canje de cheques de asociados</t>
  </si>
  <si>
    <t>Caso
El señor Luis Eduardo Rosales, ciudadano no asociado a la Cooperativa presento una queja ante la SES , inconforme por recibir correos con extractos bancarios que no le corresponden, pero que si le corresponden al asociado Luis Eduardo Rosales. La confusión consiste en envio de correo errado a luiseduardorosales@gmail.com y el correcto es luiseduardorosales08@gmail.com.
Acciones 
A.   La funcionaria Rina Herrera se comunicó con el asociado Luis Eduardo Rosales y efectivamente el correo de él es luiseduardorosales08@gmail.com, adicional contactará al señor Luis Rosales y se le indicará que no va a volver a recibir estos correos por parte de Febor Entidad Cooperativa.
Se verifica sistema de encriptación frente a Base social, para que el problema sea solucionado de raíz, actualizándolo en el sistema Wog.
Se verifica uno a uno los asociados a los que se les envío extractos de tarjeta crédito, para constatar que no hubo más inconsistencias, lo cual solo se presentó con este asociado.
Se dio respuesta a la queja del ciudadano con conocimiento de la Junta de vigilancia y con copia a la Superintendencia de Economía Solidaria.</t>
  </si>
  <si>
    <t>719 - Seguridad de la Información</t>
  </si>
  <si>
    <t>Tarjeta crédito</t>
  </si>
  <si>
    <t>Buzón Quejas y Reclamos</t>
  </si>
  <si>
    <t>24/05/2022 17:21:30: La queja respuesta se proyecta, se traslada a junta de vigilancia para ser respondida al ciudadano con copia a la SES</t>
  </si>
  <si>
    <t>Caso
Se presenta desconexión del servicio entre visionamos - Empacto - WOG el día 21 de mayo de 2022, que produce que las operaciones que los asociados realizaron con su tarjeta debito, su cuenta de ahorro, o sus cupos rotativos y avance no fueran registradas en el producto pero si fueron ejecutadas correctamente por visionamos y compensadas a Febor un total de 42 asociados. Diariamente se validan que las operaciones del día anterior sean ejecutadas en su totalidad en los productos correspondientes, el día Lunes 23 de mayo de 2022 se evidencian operaciones que presentan diferencias por lo cual se procede a remitir la información a contabilidad para validar si estas fueron compensadas por visionamos a febor. por parte de wog el 24 solicitan el envió el archivo AUT por medio del cual registran las operaciones que reporta visionamos y son cargados a los productos en WOG, una vez identifican las diferencias proceden a aplicarlas en producto con fecha 24 al cierre del día y en la descripción se diligencia que corresponden al 21 de mayo de 2022. Se debe validar la forma como monitorear en linea las desconexiones entre visionamos - Empacto - WOG, con el fin de realizar las acciones correctivas con mayor prontitud.
Acciones
Identifican las diferencias en los saldos y aplicar correcciones en el producto.</t>
  </si>
  <si>
    <t>Nataly Malagón</t>
  </si>
  <si>
    <t>25/05/2022 15:55:14: Reporte Evento SARO link
26/05/2022 12:36:41: Caso recibido, revisado por Dirección Riesgos</t>
  </si>
  <si>
    <t>Caso
El pasado lunes 23 de mayo, nuestra cajera de Mazuren Laura Nataly Arevalo tuvo un descuadre en cajera por $1.100.000- el mismo día al cierre luego de haber hecho todos los cruces respectivos informo del faltante y aseguro saber a que asociada le habia dado el dinero de mas, así mismo, informo que la llamo y la sra informo no tener el dinero de sobra.
El martes 24 nuestra asociada se acerco a la oficina del centro y entrego un millón de pesos.
Al revisar el video del momento de la atención en caja de la asociada, no se evidencia cual pudo haber sido la falla puntual, sin embargo considero que pudo darse por que la asesora tenia dinero en la maquina contadora.
Valga le pena mencionar que es la primera vez que se presenta un descuadre en cabeza de nuestra asesora Laura Nataly Arevalo quien es la encargada de la caja desde 01 de septiembre en nuestra extensión de caja de Mazuren.
Acciones
Recuperación y devolución del dinero a la caja. Esta tarea la debe realizar la asesora Nataly Arévalo.</t>
  </si>
  <si>
    <t>718 - Error en Otras Tareas, Falla en la Entrega</t>
  </si>
  <si>
    <t>Johana Cortés</t>
  </si>
  <si>
    <t>31/05/2022 07:37:29: Reporte Evento SARO link
01/06/2022 10:24:23: Se sugiere que el cajero tenga claro su procedimiento de operación en caja: 1. Se atiende un asociado a la vez 2. Se ingresa el dinero , se cuenta se guarda y se realiza la operación ( no dejar dinero en la maquina contadora) 3. Si se entrega dinero, grabar la operación, tomar el dinero, contarlo en la maquina, entregarlo y solicitar al asociado que confirme la cantidad entregada 4. Evitar distracciones durante las operaciones en caja (celulares, hablar con compañeros o demás visitantes etc.)</t>
  </si>
  <si>
    <t xml:space="preserve">Caso
Fallas en los sistemas retrasan la operación por casi dos horas, esto se debe a que se ejecutaron varios procesos masivos al tiempo y dado que los dos apuntan directamente a la base de datos, se  estaban cargando créditos al mismo tiempo y adicionalmente se estaban procesando los archivos de Tarjeta de Crédito (que provienen de ASNET) los cuales generaron conflicto con el procesamiento del servidor. Al contactar con urgencia al proveedor WOG para solucionar el conflicto se tuvo los siguientes inconvenientes:
Falta de soporte y prontitud del proveedor en las respuestas de solución. 
Burocracia en la toma de decisiones por parte del proveedor para la solución inmediata del problema.
Esta afectación se evidencia por falta de monitoreo por parte del proveedor WOG, dado que ellos son los que administran la aplicación y determinan los procesos que afectan en gran escala al sistema.
Acciones
Comunicación inmediata con el proveedor para la corrección de reportes y módulos afectados
Verificar la capacidad del servidor, evaluar lo que se requiere para que el rendimiento del sistema no disminuya por la ejecución de varios procesos.
</t>
  </si>
  <si>
    <t>Jasson Cepeda</t>
  </si>
  <si>
    <t>coordinador.informatica@febor.coop</t>
  </si>
  <si>
    <t>03/06/2022 12:24:42: Reporte Evento SARO link
05/06/2022 15:35:27: Desde el área de tecnología, se debe verificar la capacidad del servidor, evaluar lo que se requiere para que el rendimiento del sistema no disminuya por la ejecución de varios procesos. Se deben generar las recomendaciones preventivas para el buen manejo del sistema a los funcionarios con acceso a operaciones delicadas.</t>
  </si>
  <si>
    <t>Caso
El gerente Juan Pablo Vélez reporta como evento de riesgo la carencia y debilidad en el proceso de reporte de eventos de riesgo por parte de los funcionarios, a pesar de llevar a cabo capacitación al respecto, es necesario promover e intensificar el esfuerzo al respecto.
Es necesario y obligatorio que todos los funcionarios conozcan el proceso y los medios para reportar eventos de riesgo y hacerlo de manera oportuna.
Acciones
Sensibilización a los funcionarios sobre el reporte de eventos de riesgo mediante cápsulas de conocimiento, reuniones con el personal y guía en la elaboración de reportes directamente a los jefes de área.</t>
  </si>
  <si>
    <t>72 - Seguimiento y Presentación de Informes</t>
  </si>
  <si>
    <t>721 - Incumplimiento de la Obligación de Informar</t>
  </si>
  <si>
    <t>Juan Pablo Vélez</t>
  </si>
  <si>
    <t>gerencia@febor.coop</t>
  </si>
  <si>
    <t>06/06/2022 14:19:46: El área de riesgos debe continuar fortaleciendo la cultura institucional basada en los procesos de riesgos.</t>
  </si>
  <si>
    <t xml:space="preserve">Caso
El día 19 de mayo el asociado Fredy Niño Rodríguez solicita un cheque por el monto de $ 283.000.000 el cual le fue entregado bajo el requerimiento de retiro de sus recursos, estos corresponden a fondos en sus ahorros voluntario y cancelación de CDAT;  el día 27 de mayo el asociado se acerca a las instalaciones de Febor en la Calle 42 y nos manifiesta que le informaron en el Fondo De Inversiones Colectivas Abierto Rentar que  el cheque había sido devuelto por la causal 2(fondos insuficientes), el asociado en ese momento no tiene el cheque físico  y el tercero le indica que puede re consignarlo solo hasta cuando sea reclamarlo igualmente le indican que este se lo estarán devolviendo hasta el día 31 de mayo en la tarde.
El asociado aun no sabe que desea hacer , si Re consignar el cheque , cambiarlo por un cheque de gerencia o si desea una transferencia directa a su cuenta, quedamos de hablar hasta el día 31 cuando el recogiera el cheque.
EL día 31 yo lo llame y el quedo de pasar a Febor en horas de la tarde cuando recogiera el cheque, en tarde el asociado trae el cheque y solicitar realizarle una transferencia a su cuenta de Davivienda por el monto de $ 284.132.000 la cual se le realiza el día 1 de junio de 2022 igualmente se le envía correo avisándole junto con el soporte de haberle realizado ya el giro.
Desde el día 27 de mayo cuando se supo de este inconveniente se reporto ante Banco Coopcentral ya que este cheque no aparece registrado en el movimiento de la cuenta y tampoco fue reportada su devolución; por parte de Coopcentral me confirman que después de haber revisado el tema pudieron detectar que se había presenta un error al momento de visar ese cheque y no lo revisaron con la cuenta de Febor si no con otro cliente del Banco, por tal motivo no fue pago ni reportado a Febor.
Acciones
Comunicarse con el asociado y brindarle otra alternativa de pago de su dinero mientras soluciona el reporte del cheque sin fondos. Transferencia a cuentas de ahorro. (Tesorería)
Tramitar la queja e inconformidad con el Banco Coopcentral (Tesorería)
</t>
  </si>
  <si>
    <t>712 - Errores en Digitación de Datos, Mantenimiento o Descarga</t>
  </si>
  <si>
    <t>Diana Giovanna Escobar</t>
  </si>
  <si>
    <t>tesoreria@febor.coop</t>
  </si>
  <si>
    <t>06/06/2022 09:55:34: Reporte Evento SARO link
06/06/2022 15:16:35: Es importante tener en cuenta el cupo de sobregiro en dado que se agote el fondo en la cuenta, que la retroalimentación entre el banco y Febor sea activa de tal manera que no se afecte el servicio de los asociados.</t>
  </si>
  <si>
    <t>Caso
A cierre del mes de junio 2022 se evidenció afectación en el IRL (segunda banda) luego de ejecutar el cierre de productos debido a un incremento de aproximadamente $3,000 millones en la partida de créditos aprobados no desembolsado. La falla fue observada sobre las tarjetas de crédito ya que el saldo reflejado era negativo en aproximadamente $4,000 millones por imprecisiones e inconvenientes con Ascard. El área de operaciones y el área financiera realizaron las correcciones al saldo quedando positivo en más de $3,000 millones y pese a las depuraciones propias sobre otras cuentas de créditos aprobados no desembolsados por su tiempo de inutilidad, el saldo total de esta partida (cuenta 9115) se vio afectado de manera importante dejando como consecuencia una cobertura por debajo de 1 en la segunda banda del IRL.
Este tipo novedades obligan a la Cooperativa en crear acciones y alternativas que permitan subsanar el incumplimiento de límites, lo cual es informado a la Gerencia por parte de la Dirección de Riesgos y permanece en constante seguimiento.
Acciones
Revisión de la conciliación de cupos de las tarjetas
Revisar los escenarios de estrés del IRL para verificar si se presenta o no incumplimiento, evaluar los ALN e inversiones que dan cobertura al aumento del saldo de cupos de TC</t>
  </si>
  <si>
    <t>714 - Ejecución Errónea de Modelos o de Sistemas</t>
  </si>
  <si>
    <t>23/07/2022 00:31:49: Caso evaluado con la jefatura de operaciones y la coordinación de contabilidad</t>
  </si>
  <si>
    <t>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t>
  </si>
  <si>
    <t>Convenio de servicio de telefonía</t>
  </si>
  <si>
    <t>JOHANA PAOLA CORTÉS GÓMEZ</t>
  </si>
  <si>
    <t>10/08/2022 08:22:25: Pérdida de imagen y reputación por mala prestación se servicios no financieros en convenio con terceros</t>
  </si>
  <si>
    <t>Caso
El área de tesorería reporta que ha tenido que elaborar los cheques de forma manual debido a que el módulo del sistema en Wog para la generación de cheques está fallando y no salen bien configurados. Este inconveniente fue escalado a Wog mediante el área de sistemas para su corrección, con el fin de evitar tener que acudir a procesos manuales que retrasan la operación y que puedan ocasionar pérdida de trazabilidad de procesos delicados.
Acciones
Documentar incidencia al proveedor Wog especificando el daño y el módulo afectado (Tesorería)
Seguimiento del daño o desconfiguración del módulo para impresión de cheques (Director TI)</t>
  </si>
  <si>
    <t>DIANA GIOVANNA ESCOBAR SARMIENTO</t>
  </si>
  <si>
    <t>25/08/2022 10:06:45: Revisado tesorería</t>
  </si>
  <si>
    <t>Caso
El 22 de agosto no funcionó la conexión entre Wog y Experian para las consultas en centrales de riesgo durante el proceso de originación de crédito generando retraso en las etapas de verificación y del flujo del proceso. Fue reportada la incidencia al área e tecnología y Wog, la cual fue solucionado el día siguiente.
No fue reportado el motivo del daño ni las acciones sugeridas para alertar o prevenir su ocurrencia nuevamente.
Acciones
Reportar incidencia a Wog sobre las fallas de desconexión con Experian (Jefe Operaciones)
Seguimiento a la incidencia para solución inmediata por Wog (Coordinador TI).</t>
  </si>
  <si>
    <t>DIANA MARIBEL FONSECA GÓMEZ</t>
  </si>
  <si>
    <t>31/08/2022 17:25:36: Es importante conocer oportunamente los cambios que genere el proveedor y que puedan alterar el funcionamiento del sistema y planes de prevención y contingencia</t>
  </si>
  <si>
    <t>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t>
  </si>
  <si>
    <t>31/08/2022 17:35:27: En monitoreo hasta solución definitiva del arreglo de las ponderaciones en el sistema</t>
  </si>
  <si>
    <t>Imprecisiones en cálculos del sistema Wog</t>
  </si>
  <si>
    <t>Caso
La Directora de Servicio al Asociado reporta que constantemente la plataforma de Cooperativa Digital presenta fallas al momento de cargar un crédito, situación que retrasa el proceso de otorgamiento y genera pérdida de credibilidad con los asociados que usualmente prefieren este medio para sus solicitudes.
El área de tecnología debe monitorear permanentemente la funcionalidad de las plataformas tecnológicas, en especial las de prestación de servicio.
Acciones
Reportar incidencia a Wog sobre las fallas presentadas en la Cooperativa Digital (Jefe Operaciones)
Seguimiento a la incidencia hasta comprobar que funcione correctamente la Cooperativa Digital (Coordinador TI)</t>
  </si>
  <si>
    <t>10/10/2022 10:02:50: Pendiente agregar canal Cooperativa Digital
10/10/2022 10:06:42: Agregado canal</t>
  </si>
  <si>
    <t>Caso
Al hacer la reclamación del siniestro 10259252 ante La Equidad Seguros, la aseguradora objetó la petición para el pago de 38 millones de pesos que corresponden al crédito No. 1248815 otorgado al señor Excelino Herrera (QEPD), quien se identificaba en vida con CC 17133827. 
De acuerdo con la aseguradora, el crédito se desembolsó el 9 de agosto del 2022, fecha en la que también falleció el asociado. Una vez se hizo la trazabilidad de la operación, se detectó que él desembolsó neto del crédito se hizo a la cuenta de ahorro voluntario del fallecido, pero los  recursos ya no figuraban ahí, es decir, fueron retirados el 11 de agosto del 2022 (2 días posteriores al deceso) en la extensión de caja ubicada en Mazuren, mediante la presentación de un poder general suscrito por el señor Herrera en vida a su esposa.
A la fecha tiene $ 15 millones han Aportes y Daes pero no han presentado la reclamación formal para cruce de cuentas.
Acciones
Hacer el respectivo proceso e recuperación y cruce de cuentas (Jefe Jurídico)</t>
  </si>
  <si>
    <t>Andrés Camilo Forero García</t>
  </si>
  <si>
    <t>juridica@febor.coop</t>
  </si>
  <si>
    <t>10/10/2022 10:47:51: Hacer el respectivo proceso e recuperación y cruce de cuentas</t>
  </si>
  <si>
    <t>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t>
  </si>
  <si>
    <t>26/10/2022 09:43:38: Creación del evento - pendiente corrección de proceso relacionado (en mesa de ayuda AppsCloud)</t>
  </si>
  <si>
    <t xml:space="preserve">Caso
El 25 de Octubre 2022 se envió mensajes masivos de cobro de cartera a los asociados de manera errónea, fue enviado a la totalidad de la base social incluyendo asociados que se encontraban al día con sus obligaciones. Esto generó molestias y quejas por parte de los asociados, las acciones tomadas de manera inmediata fue enviar nuevamente un mensaje indicando el error humano.
(tabla)
Las oportunidades de mejora están orientadas al autocontrol, revisar adecuadamente la segmentación de las bases de datos que se van a cargar a las plataformas para envío de mensajería.
Costo de cada mensaje: 5,702,270.17 valor de un paquete de 1000,100 mensajes (costo estimado $5,70) valor tomado de factura Masivian Radicado 20228000046052.
Precio pérdida estimado:  $ 24.380,47 de 4276 mensajes.
Acciones
Reenviar mensaje de texto inmediatamente  a los asociados aclarando el error y solicitando disculpas (Jefe de Comunicaciones)
</t>
  </si>
  <si>
    <t>27/10/2022 09:13:09: Pendiente corregir proceso
27/10/2022 09:22:55: Se agrega propuesta de acción de mejora
08/11/2022 15:45:10: Se agrega valor estimado de la pérdida</t>
  </si>
  <si>
    <t xml:space="preserve">Caso
Los asociados manifiestan que no pueden hacer pagos mediante la Cooperativa Digital porque no está en funcionamiento, no permite ingresar. Esta falla es escalada a Wog mediante la Jefe de Operaciones Nataly Malagón.
(foto)
Wog se encuentra en proceso de validación - pendiente cierre de la novedadSe activa el servicio nuevamente
(foto)
Acciones
Reportar incidencia a Wog sobre las fallas presentadas en la Cooperativa Digital (Jefe de Operaciones)
Seguimiento a la incidencia hasta comprobar que funcione correctamente la Cooperativa Digital (Jefe de Operaciones)
</t>
  </si>
  <si>
    <t>27/10/2022 11:32:36: Pendiente cambio de proceso afectado por configuración del sistema
27/10/2022 11:36:14: Cargue de seguimiento WOG
27/10/2022 11:53:27: Cierre de la falla operativa
27/10/2022 11:56:07: Cambio de canal afectado a Cooperativa Digital</t>
  </si>
  <si>
    <t>Caso
Se recibió el retiro del asociado Helena Castro de Caicedo con CC 28.505.906 a razón del fallecimiento 10 de septiembre de 2022, cuya reclamación a la aseguradora fue aprobada a Febor el día 25 de noviembre, en el momento que se estaban realizando las validaciones correspondientes se evidencia que el día 28 de noviembre de 2022 se realizo un retiro de la cuenta del ahorro voluntario por valor de $1.143.000 a través de la cooperativa digital a la cuenta de Carmen Analida Caicedo Castro quien se encontraba inscrita como tercero de asociado fallecido. Por lo cual se evidencia que hay una suplantación de identidad y se conocían las credenciales de ingreso a la cooperativa digital con las cuales se realizo el fraude al asociado Q.E.P.D. 
Acciones
Trámite jurídico, contacto con los familiares titulares (Jefe Jurídico)
Modificación de procedimiento de retiro de asociados por fallecimiento,  para analizar bloqueo de credenciales de asociados fallecidos para evitar transferencias de terceros por medio de la Cooperativa Digital.(Jefe de Operaciones) </t>
  </si>
  <si>
    <t>4 - Asociados o Clientes</t>
  </si>
  <si>
    <t>41 - Adecuación, Divulgación de Información y Confianza</t>
  </si>
  <si>
    <t>Natali Malagon Sierra</t>
  </si>
  <si>
    <t>Caso
El día 29 de noviembre el asociado Guillermo de comunicó a través del PBX sobre el medio día, informando que en la madrugada de ese mismo día se comunicaron de Coopcentral a confirmar si estaba realizando unas transferencias por 2 millones de pesos, donde el informó que no era él y de inmediato el banco le confirma el bloqueo de la cuenta. El banco le comenta que debe comunicarse con la cooperativa, al yo recibir la solicitud me acerque al área operativa para verificar la información y poderle brindar una respuesta al asociado el cual yo le informe que no se habían realizado las transferencias pero luego de realizar una verificación de movimientos se pudo corroborar que si se habían realizado dos retiros, le informe que monto tenía actualmente que correspondía a 800 mil pesos, efectivamente verificando Coopcentral había enviado un correo de aviso del fraude que se había evidenciado del asociado, le pregunté a Nataly jefe del área operativa que como podía manejar este caso en donde me responde que se va a reportar al banco para realizar seguimiento del caso y adicional que tocaba esperar la respuesta de ellos, luego el asociado me informo que precisamente el día de ayer (28 de noviembre) se había comunicado con una asesora de Febor para realizar el cambio de clave, le pregunte que si recordaba el nombre informando que no que le diera los nombres de mis compañeras y llegó a la conclusión de que lo atendió Laura Camila, y le realice varias preguntas sobre cómo había procedido Camila con el cambio de clave en donde me comenta que no recuerda si realizo el cambio de clave o le dejó la que ella le asignó, de igual manera le pregunte de que número se había comunicado el día anterior para poder buscar la conversación pero como se comunicó del teléfono del banco le informe que era un poco más complicado buscar dicha conversación pero que sin embargo íbamos a ponernos en la tarea de tratar de solucionar lo más pronto posible el inconveniente.
Acciones
Reconocimiento del dinero al asociado de manera inmediata para no generar mal malestar y mala imagen hacia Febor
Tramitar con la aseguradora y Coopcentral para el retorno del dinero a Febor.
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t>
  </si>
  <si>
    <t>Manuela Vélez yara</t>
  </si>
  <si>
    <t>asesor.sas12@febor.coop</t>
  </si>
  <si>
    <t>Caso
a)    El Crédito No. 1243992 fue desembolsado a la señora Carmen Valderrama de Borrero (QEPD), quien se identificaba con la Cédula de Ciudadanía No. 26612306, el 17 de diciembre del 2020 por cuantía de $65.000.000 pesos m/cte.
b)    Que, el pago del crédito en cita se difirió en 64 cuotas mensuales, con una Tasa Efectiva Anual (T.E.A) del 12,44% y su recaudo se estipuló mediante libranza o descuento directo por nómina.
c)    La señora Carmen Valderrama de Borrero falleció el 16 de mayo del 2022 en la ciudad de Neiva, hecho jurídico que consta en el Registro Civil de Defunción con Indicativo Serial No. 10697607 del 19 de mayo del 2022, expedido por la Notaría Segunda (02) del Círculo de Neiva.
d)    Que, a la fecha del deceso, la deudora tan solo pago 13 cuotas del crédito, quedando un saldo pendiente por pagar de $43.735.566 pesos m/cte.
e)    El 09 de junio del 2022 se formuló la reclamación del siniestro ante la Aseguradora La Equidad bajo el caso No. 133799.
f)     El 13 de junio del 2022, la Equidad Seguros O.C. comunicó a Febor que la indemnización fue definida y liquidada. De este modo, se elaboró una cuenta por cobrar por la suma de $43.735.566 a la Equidad Seguros y así proseguir con el pago de los ahorros a los herederos de la asociada.
g)    El 07 de julio del 2022, los herederos de la señora Carmen Valderrama de Borrero (QEPD) radicaron en Febor la reclamación del saldo acumulado en aportes, ahorros y depósitos a nombre de la difunta. La transacción a los herederos se llevó a cabo el 14 de julio del 2022 por el saldo evidenciado en el ahorro voluntario.
h)    El 26 de julio del 2022, La Equidad Seguros O.C. objetó parcialmente la reclamación por la suma de $23.735.566, toda vez que, al momento del fallecimiento, la asociada contaba con 91 años y, al interior de las condiciones de asegurabilidad de la póliza vida deudores AA002483, se estipuló que la cobertura para muerte, por cualquiera causa, de asociados mayores de 90 años, tendrá un límite de valor asegurado de $20.000.000 de pesos.
i)     En consecuencia, el saldo de $23.735.566 de pesos no se encuentra amparado por la póliza AA002483, de acuerdo con lo estipulado en el Artículo 1079 del Código de Comercio.
j)     Una vez consultados los registros de bienes que administra la Superintendencia de Notariado y Registro, se observa que no figuran inmuebles a nombre de la deudora.
Acciones
Tramite jurídico y proceso con aseguradora (Jefe Jurídico)</t>
  </si>
  <si>
    <t>751 - Pérdida por Fallas con Contrapartes</t>
  </si>
  <si>
    <t>14/12/2022 20:22:26: Caso cerrado por reconocimiento de la aseguradora y concepto emitido</t>
  </si>
  <si>
    <t xml:space="preserve">Caso
Fue radicada la factura de renovación de la Póliza Multirriesgo por daño material el 17 de noviembre 2022 (20228000072812) la cual fue  archivada por parte del asesor de gestión documental, de tal manera que no se continuo su tramite para finalizar su aprobación y pago. El 13 de diciembre se detecta el error en el área de riesgos, se solicita reactivar el trámite de pago de la póliza con la autorización de gerencia.
La causa del error se ocasionó por falla humana del funcionario encargado, recientemente contratado el cuál desconocía el proceso total de tramite de facturación especialmente del flujo diseñado en el programa de Gestión Documental Orfeo. El funcionario tuvo retroalimentación por parte de la Dirección de Riesgos para que pueda prevenirse organizar su gestión en los próximos trámites de facturas.
Acciones
Informar de manera inmediata al Analista de Gestión Documental sobre los pasos a seguir cuando llegan facturas y el medio por el cual las recibirá. (Directora de Riesgos)
Gestionar el pago de la factura pendiente (Directora de Riesgos)
</t>
  </si>
  <si>
    <t>716 - Falla en la Gestión Documental</t>
  </si>
  <si>
    <t>20/12/2022 10:30:32: Reportado - Riesgos</t>
  </si>
  <si>
    <t xml:space="preserve">Se reporto interrupción del canal PBX de la coopertariva, una interupción del servicio por dos (2) horas,Las causas fueron:1. Se identificó que el problema se originó por una caída del Canal de TIGO-UNE.2. Se identificó que la salida y PBX de la oficina del Centro está únicamente habilitada por el canal de TIGO-UNE.3. No se cuenta con un esquema de alta disponibilidad activo-activo para los canales de internet.
En el proceso de verificación, se identificaron tambien:1. Se evidencio un error en la configuración de los DNS actuales de Febor.
</t>
  </si>
  <si>
    <t>Fabian Manuel Jordan vargas</t>
  </si>
  <si>
    <t>direccion.informatica@febor.coop</t>
  </si>
  <si>
    <t>Johana Paola Cortés Gomez</t>
  </si>
  <si>
    <t>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t>
  </si>
  <si>
    <t>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t>
  </si>
  <si>
    <t>22/02/2023 11:31:29: No se contempla que sea pérdida económica porque son intereses de los CDATs a reconocer, no gastos.</t>
  </si>
  <si>
    <t>Error en liquidación de Intereses de CDATS</t>
  </si>
  <si>
    <t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t>
  </si>
  <si>
    <t>Crédito rotativo</t>
  </si>
  <si>
    <t>EDNA NATALY MALAGON</t>
  </si>
  <si>
    <t>27/02/2023 12:47:38: Primera parte registrada
06/03/2023 08:56:45: Actualización de información referente al evento
07/03/2023 12:18:31: Comité de gerencia se definen acciones y responsables</t>
  </si>
  <si>
    <t>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t>
  </si>
  <si>
    <t>EDNA NATALY MALAGÓN</t>
  </si>
  <si>
    <t>07/03/2023 13:44:29: Registro de evento comentado en comité de gerencia
09/03/2023 16:43:46: Evento de riesgo socializado en comité de gerencia 7 de marzo 2023
4/03/2023 10:32:29: Reclasificación del Evento de Riesgo a categoría Asociados - Clientes</t>
  </si>
  <si>
    <t>Asociado informa su inconformidad mediante la PQRSF N1461.Buenos días señores consejeros, ante la no respuesta por las directivas de la cooperativa, les comento que desde el mes de enero de 2023, realice unos CDAT con periodo de vencimiento a 6 meses, solicite los títulos físicos que me fueran enviados a Febor a la oficina en Medellín, uno de los títulos fue expedido a 1 año y solicite la aclaración con el asesor, ante la no respuesta hable con la señora Johana que quedo de resolver el impase y de remitir los títulos físicos y hasta la fecha no he recibido respuesta alguna y el CDAT sigue sin su corrección, ya no se quien hablar por esta razón me dirijo a ustedes para ver que se puede hacer. Muchas gracias por su colaboración.
Proyección de respuesta - presentada al Consejo de Administración en sesión del 23 de marzo 2023.Apreciado Asociado, Jorge MartínezReciba un cordial saludo Para Febor Entidad Cooperativa, la razón de ser son ustedes nuestros asociados y estamos siempre atentos a sus inquietudes y notificaciones, En atención a la queja remitida, queremos que sepa que entendemos totalmente su malestar, así mismo manifestarle que tal y como le informo la Dirección de servicio al asociado vía telefónica, desde el momento mismo en el que esta se recibió, se realizaron las verificaciones correspondientes a fin de determinar lo ocurrido con la renovación de los títulos relacionados en su correo (20127 y 20140).Teniendo en cuenta que por error humano el título Cdat Nro. 20140 no fue renovado según sus indicaciones, tal y como se le informo vía telefónica; la liquidación de este se hará con las condiciones de plazo y tasa solicitadas por nuestro asociado. Condiciones descritas en el certificado que se envió a través de correo electrónico, Whatsapp, y que se entregará en físico el sábado 25 de marzo en la Asamblea General de Delegados 2023, así como Don Jorge lo solicito.Le expresamos nuestras sinceras disculpas por la situación que generó su inconformidad, hemos tomado los correctivos necesarios para dichas situaciones no se presenten con ninguno de nuestros asociados.</t>
  </si>
  <si>
    <t>43 - Productos o Servicios Defectuosos</t>
  </si>
  <si>
    <t>431 - Defectos del Producto</t>
  </si>
  <si>
    <t>27/03/2023 20:01:15: Registro de primera parte del evento de riesgo
28/03/2023 09:33:18: Se añade más información del evento de riesgo
28/03/2023 09:36:24: .</t>
  </si>
  <si>
    <t>Buenas tardes
Me permito reportar que el formato de la impresión de los cheques esta desajustado nuevamente, este es un error por parte de WOG que constantemente esta sucediendo, se reporta y por parte de proveedor medio lo arreglan y vuelven a desajustarse; la última vez que se reportó no arreglaron el error y fuimos nosotros que pudimos buscar una solución temporal pero ahora nuevamente esta desajustado y en esta ocasión ni imprimiendo en formato carta o A4 se logra obtener la impresión correcta.
Agradezco a ustedes gestionar de forma urgente y definitiva el arreglo de estas impresiones, no es la primera vez que pasa este inconveniente y el proveedor puede durar hasta meses sin solucionar esto; si no contamos con esta herramienta incurrimos en una sobrecarga operativa y generamos un riesgo muy alto al realizar cheques de forma manual que no están sistematizados y aplicados directamente a cada operación del asociado como debe ser.
Anexo soporte de la imagen de cómo esta imprimiendo en este momento.</t>
  </si>
  <si>
    <t>27/03/2023 20:07:15: Registro de la primera parte del evento de riesgo</t>
  </si>
  <si>
    <t>Siguiendo las indicaciones de enviar el equipo de computo dado que se realizo cambio de portátil la funcionaria Lina Susana Herrera de la ciudad de Cali, envía a Bogotá por la empresa de mensajería de Servientrega con el número de guía 1151920637. En la que el area de TI realiza seguimiento del equipo y se evidencia que el equipo fue hurtado en el momento de hacer la entrega Servientrega, la empresa responde mediante correo (anexo archivo) lo sucedido y dado que el equipo fue asegurado por el valor de $1'000.000 pesos.Cabe recordar las políticas de seguridad de la información en la cual las dos particiones de disco duro se encuentran Cifradas por Bit Locker, adicionalmente se realizo cambio de credenciales de los usuarios (Correo, orfeo, Wfs, cooperativa digital).
Tareas pendientes:
Seguimiento a la ejecución de la póliza por parte de la aseguradora.
Respuesta
Señor(es) FEBOR ENTIDAD COOPERATIVA CLL. 42 # 08A-80 Teléfono: 3102008291 CALI (VALLE) Ref: CUN : 1163263, Guía No.1151920637 Reciba un cordial saludo de la Organización Servientrega S.A. En atención a su comunicación nos permitimos informarle que, para la Organización Servientrega S.A., las no conformidades en el Servicio reclamado por nuestros Clientes son muy importantes, lo que nos obliga a optimizar la calidad en cada uno de los procesos. En respuesta a su inconformidad enviada en días pasados, en la cual nos expresa la situación presentada con el envío amparado bajo la guía en referencia, y revisando de manera puntual la trazabilidad y los hechos que rodearon el proceso de transporte del envío, nos permitimos informar que han sido agotados los recursos de Busqueda, en apoyo con los procesos de Logistica y seguridad, y no ha sido exitosa la ubicacion del envio por ende se establece EL SINIESTRO EXTERNO del envio, siendo procedente la reclamacion del cliente con base en el contrato de transporte De acuerdo a lo anterior, ofrecemos disculpas por los inconvenientes ocasionados y agradecemos a clientes que como usted nos ayuda a mejorar la calidad de nuestro servicio, de igual manera Servientrega S.A., estará generando una compensación por la suma de CIENTO DIECISEIS MIL CUATROCIENTOS NOVENTA PESOS M/CTE ($116,490. 0oo). Este monto corresponde al valor declarado en el contrato de transporte (guía) Dicho pago se efectuará mediante Nota Crédito, el cual estaremos enviando a la Dirección de Correspondencia. Reiteramos nuestra vocación de servicio y deseamos poder atenderlo nuevamente en el futuro, seguros de brindar, como siempre, nuestro mejor esfuerzo y servicio; agradecemos tener en cuenta que el valor declarado diligenciado o manifestado en la guía debe ser 100% real al valor Comercial del Articulo. Continuamos fortaleciendo nuestro compromiso de eficiencia y calidad integral. Comedidamente; Lizeth Sanchez ArenasProceso de CompensacionesRegional Occidente Cra 34 No. 10-260 Acopi. Conmutador: 6912999 Ext 120051 – 120052 Cali, Valle del Cauca. www.servientrega.com</t>
  </si>
  <si>
    <t>5 - Daños a Activos Fisicos</t>
  </si>
  <si>
    <t>51 - Desastres y Otros Acontecimientos</t>
  </si>
  <si>
    <t>512 - Pérdida por Causas Externas: Vandalismo, Terrorismo, Etc.</t>
  </si>
  <si>
    <t>16/04/2023 20:30:09: Aceptado el Evento de Riesgo
11/05/2023 10:38:40: Actualización de respuesta por parte de Servientrega</t>
  </si>
  <si>
    <t>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t>
  </si>
  <si>
    <t>21/04/2023 11:27:05: Aprobado el registro
11/05/2023 10:04:07: Actualización de tareas. Se crea la incidencia 58190 - correo: Soporte WOG-Información estado de cuenta VS planes de cuotas vencidos (21 abril 2023)</t>
  </si>
  <si>
    <t>Al llevar a cabo una seguimiento a las actividades confiadas al proveedor Contactos y Negocios S.A.S., fue posible detectar las siguientes irregularidades:
1) El proveedor se encarga de prestar el servicio de visitas domiciliarias a Febor Entidad Cooperativa, para lo cual debe visitar a los asociados en mora a nivel nacional y proponer formulas de arreglo para evitar un litigio futuro. En ejercicio de esta tarea, Febor remite un modelo de carta que se modifica todos los meses y debe ser entregada a los asociados en sobre cerrado para proteger su derecho al habeas data.
2) En abril del 2023, el proveedor no solo hizo entrega del modelo equivocado de cartas sino que, además, entregó 89 cartas sin sobre en los lugares de residencia y/o labor de los asociados morosos, exponiendo así los datos personales de los involucrados frente a terceras personas que intervinieran en la cadena de custodia de la misiva de cobro.
Acciones
1. Informar inmediatamente al proveedor sobre la falla, trasladando las quejas presentadas por los asociados.
2. Hacer seguimiento a la calidad de información suministrada en adelante por el proveedor</t>
  </si>
  <si>
    <t>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t>
  </si>
  <si>
    <t>07/06/2023 12:44:12: Actualizar en productos Polizas
07/06/2023 13:37:57: Actualizado a productos SOAT</t>
  </si>
  <si>
    <t>Caso
Se efectuaron envíos de mensajes de texto inexactos a los asociados, con el propósito de brindar detalles sobre el estado de sus compromisos. El inconveniente radicó en que los mensajes fueron enviados a números de teléfono celular que no coincidían con los receptores previstos. El origen de este problema fue una deficiencia en el manejo de la base de datos de afiliados, que quedó incorrectamente configurada por la persona encargada de su actualización mensual. Varias áreas utilizan frecuentemente esta base de datos para llevar a cabo la comunicación con los asociados.
Conclusión en comité de gerencia 10 julio 2023
Es crucial evitar una completa dependencia de la persona que envía la base de datos de afiliados mensualmente. Todas las personas deben contar con la capacidad de familiarizarse con las bases de datos del sistema, ser capaces de descargarlas y utilizar la información para sus propias tareas de gestión.
Acciones
Se continuará enviando la base social de manera mensual. - Jefe de Control Interno y Calidad
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
Se realizará una capacitación sobre la importancia en el manejo adecuado de la información y de las bases de datos de la Cooperativa. - Dir Riesgos</t>
  </si>
  <si>
    <t>412 - Aspectos de Adecuación, Divulgación de la Información</t>
  </si>
  <si>
    <t>08/08/2023 13:29:34: Aprobación del caso
08/08/2023 13:29:42: .
08/08/2023 15:19:28: Actualización de acciones</t>
  </si>
  <si>
    <t>Caso
El funcionario Andrés Forero, jefe jurídico de Febor fue victima de atraco en el barrio Hayuelos de Bogotá cuando salía de su residencia para tomar el taxi para la oficina.  Varios delincuentes lo asaltaron y le robaron la maleta en la que tenia guardado el portátil de uso laboral.
Acciones
Disponer otro equipo para el funcionario con los accesos a los sistemas y el respaldo de backup para que pueda continuar con su labores - Dirección TI.
Tramitar con la aseguradora la cobertura de la póliza para el hurto de portátiles - Jefe jurídico</t>
  </si>
  <si>
    <t>19/08/2023 16:26:35: Costos aproximados (falta validar valor comercial y cobertura de la aseguradora)</t>
  </si>
  <si>
    <t>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t>
  </si>
  <si>
    <t>23/08/2023 18:23:41: Primera información del caso</t>
  </si>
  <si>
    <t xml:space="preserve">Caso
Reporte de caída del sitio web de Febor, refleja errores que interrumpen el acceso a la página causado por operaciones dirigidas desde la dirección de informática en la que no se contempló los posibles daños al realizar dichas actividades.
Dir de Informática :'por mejorar la seguridad del sitio, el proxi lo hace el firewall, y se debe cambiar la IP, esto se demoró más de lo estimado, y necesitaba en horario de oficina para tener soporte en caso que falle algo, error mío, pensé que era mas rápido y se demoró más de lo esperado, ya ha repicado en algunos ISP, espero que esta noche se normalice, estoy muy pendiente del proceso'
Acciones
Corregir el error inmediatamente para reanudar la activación de la pagina web.Realizar una estrategia de comunicación y planeación de las actividades del área, analizando las posibles consecuencias de interrupción al servicio. Esta estrategia debe contener los programas de mantenimiento preventivos y/o correctivos , cuando se van a ejecutar y por cuanto tiempo, para que las demás áreas estén preparadas.
</t>
  </si>
  <si>
    <t>13/11/2023 18:06:31: Creado
04/12/2023 20:00:57: .</t>
  </si>
  <si>
    <t xml:space="preserve">Caso
Luego de la actualización de versión de Wog el pasado 26 de noviembre, se detectó una irregularidad en los cupos de los créditos rotativos, debido a que varios cupos que se cancelaron después de que el asociado realizara el pago total.
Esta inconsistencia que se presento después de la instalación de la nueva versión, ocasionó inconformidad de algunos asociados que han estado llamando porque necesitan realizar avances desde su cupo y no lo tienen activo.
Acciones
Incidencia 61118 reportada. Jefe Operaciones
Seguimiento a la incidencia - Activación de productos urgente (Wog- Operaciones)Diseño y programación de pruebas básicas de funcionalidad del sistema posterior a las actualizaciones, desde el área de tecnología solicitar apoyo para la realización de pruebas del sistema.
</t>
  </si>
  <si>
    <t>EDNA NATALI MALAGON SIERRA</t>
  </si>
  <si>
    <t xml:space="preserve">Caso
La Gerencia, la Dirección de SAS y Jefe de operaciones reportan errores en la App de Febor y la Cooperativa Digital, no deja ver algunos productos y muestra avisos de error al momento de efectuar transacciones.
Dir SAS: 'D Fernando dice q esta cuenta la inscribió hoy sobre las 2 pm… y lo dejo sin inconveniente inscribirla, al tratar de hacer la transacción se presento el error del cual les compartí pantallazo (…)'
Jefe operaciones: 'Nosotros inscribimos el tercero para hacer la transferencia pero eso no se refleja en la coop'Jefe operaciones:' Ya informe a wog que al parecer el problema continua en app se soluciono en coop digital. estoy atenta si alguien reporta que el problema continua en coop digital'
Gerencia: informa que el daño puede deberse al consumo de la plataforma BI, según lo conversado con William de Wog.
Acciones
Solicitar la desconexión de BI a Wog. Responsable Dir TI
Monitorear el funcionamiento de la App y Coop Digital. Responsable Dir TI
</t>
  </si>
  <si>
    <t>10/01/2024 12:38:39: Creado</t>
  </si>
  <si>
    <t xml:space="preserve">Caso
El Consejo Walter Idárraga solicitó aclaración a la Gerencia sobre la admisión del señor Alfonso Serrano Parra indicando lo siguiente:
'Juan Pablo en relación con las afiliaciones a Febor de esta semana aparece la solicitud del pensionado Alfonso Serrano Parra y en su formato de vinculación indica asociado nuevo, hasta donde recuerdo este señor es uno de los deudores morosos a los que no se le pudo cobrar nada'.
Luego de investigar la situación particular, se concluye a que obedece a la omisión de un control desde el área de operaciones por parte del analista que debe verificar la totalidad de requisitos para la admisión de asociados.
Jefe de operaciones: 'Buenos días si señor, en la verificación que hizo Andrea la realizó con la información de Orfeo y no le salía nada, pero al validar en wog, el sábado se dio cuenta que si era reingreso. Tiene fecha de retiro 2018-03-28 y el motivo es expulsado.
'Jefe Jurídico: 'Alfonso Serrano fue excluido mediante Resolución 053 del 19 de enero del 2018'
Acciones
Verificar y corregir (si aplica) el procedimiento de afiliaciones. Responsable Jefe de Operaciones 
Auditar y verificar que no se hayan filtrado antes más asociados con alguna exclusión. En caso de existir, se debe iniciar proceso de retiro. Responsable Jefe Jurídico y Jefe de Control Interno
</t>
  </si>
  <si>
    <t>73 - Aceptación de Clientes y Documentación en Contratación</t>
  </si>
  <si>
    <t>731 - Inexistencia de Autorizaciones, Rechazos de Clientes</t>
  </si>
  <si>
    <t>Juan Pablo Vélez Góez</t>
  </si>
  <si>
    <t>10/01/2024 14:03:04: Creado</t>
  </si>
  <si>
    <t>Tablero de seguimiento</t>
  </si>
  <si>
    <t>CD</t>
  </si>
  <si>
    <t>N° 
Evento</t>
  </si>
  <si>
    <t>N° Tarea</t>
  </si>
  <si>
    <t>Descripción de la Tarea</t>
  </si>
  <si>
    <t>Responsable (s)</t>
  </si>
  <si>
    <t>Nombre</t>
  </si>
  <si>
    <t>Fecha de Inicio</t>
  </si>
  <si>
    <t>Fecha de Finalización</t>
  </si>
  <si>
    <t>Estado</t>
  </si>
  <si>
    <t>Días Transcurridos</t>
  </si>
  <si>
    <t>Observaciones</t>
  </si>
  <si>
    <t>Realizar reversión de las operaciones erradas</t>
  </si>
  <si>
    <t>Jefe de Operaciones</t>
  </si>
  <si>
    <t>Ingrid Polo</t>
  </si>
  <si>
    <t>Cerrada</t>
  </si>
  <si>
    <t>Monitoreo permanente de las operaciones electrónicas, puede que las desconexiones de interface se repitan pero la Cooperativa debe conocerlo inmediatamente. Es necesario soporte permanente también desde visionamos</t>
  </si>
  <si>
    <t>Revisar las operaciones  de los asociados afectados, conciliar y recuperar los dineros de las cuentas de ahorro voluntario y para quienes ya no contaban con el recurso ir recuperando de manera paulatina.</t>
  </si>
  <si>
    <t>Aumentar la frecuencia de conciliación de productos con el fin de tomar acciones oportunas</t>
  </si>
  <si>
    <t>Corregir las operaciones ejecutadas de manera errónea, de forma urgente.</t>
  </si>
  <si>
    <t>Medida de autocontrol por parte del analista, debe revisar plantillas y versiones oficiales antes de los cargues.</t>
  </si>
  <si>
    <t>Comunicación y alerta inmediata a través de los canales oficiales de la Cooperativa para prevenir a los asociados de ser victimas de fraude.</t>
  </si>
  <si>
    <t>Jefe de Comunicaciones</t>
  </si>
  <si>
    <t>María Claudia Salazar</t>
  </si>
  <si>
    <t>Verificación permanente de sitios web sospechosos con información básica de Febor.
Comunicados inmediatos por mensajería y redes de posibles fraudes para alertar a los asociados</t>
  </si>
  <si>
    <t>Reemplazar el switch dañado para garantizar nuevamente la conectividad</t>
  </si>
  <si>
    <t>Edmer Ortegón</t>
  </si>
  <si>
    <t>Plan de Continuidad del Negocio - Pruebas de funcionalidad  - programas de mantenimiento preventivo</t>
  </si>
  <si>
    <t>Realizar el bloqueo inmediato de las cuentas y productos del asociado, asesorar al asociado para el restablecimiento de contraseñas</t>
  </si>
  <si>
    <t>Comunicar y alertar de manera preventiva a los asociados para que cuiden su información y equipos de uso personal</t>
  </si>
  <si>
    <t>Brindar información al asociado con respecto de los intentos de fraude y asesoramiento para que presente la denuncia correspondiente</t>
  </si>
  <si>
    <t>Jefe Jurídico</t>
  </si>
  <si>
    <t>Lina López</t>
  </si>
  <si>
    <t>Programar y ejecutar de manera inmediata el débito automático</t>
  </si>
  <si>
    <t>Auditoría a los procesos de gestión de operaciones para identificar oportunidades de mejora en los diferentes procesos</t>
  </si>
  <si>
    <t>Identificar los asociados con sobregiro para proceder a la recuperación de la operación o solicitud de la devolución del dinero.</t>
  </si>
  <si>
    <t>Revisar frecuenta de la actualización de saldos
Límites transaccionales al día</t>
  </si>
  <si>
    <t>Proceso disciplinario - llamado de atención evaluado por la Junta de Vigilancia y el Consejo de Administración.</t>
  </si>
  <si>
    <t>Andrés Forero</t>
  </si>
  <si>
    <t>El Consejo  de Administración decidió hacerle proceso de exclusión una vez que esté en firme el embargo de la mesada pensional. Sesión de Consejo 26 de noviembre 2022</t>
  </si>
  <si>
    <t>Comunicación inmediata con el proveedor para la corrección de reportes y módulos afectados</t>
  </si>
  <si>
    <t>El proveedor debe informar las actualizaciones y cambios de versión antes y prevenir a la entidad de los posibles daños</t>
  </si>
  <si>
    <t>El sistema tiene programados los días de liberar los cheques de canje (3 días), se ordena por parte de Gerencia disminuir los días a (1) en el sistema</t>
  </si>
  <si>
    <t>Se disminuye los tiempos de estado en canje</t>
  </si>
  <si>
    <t>Responder la queja del ciudadano con copia a la SES</t>
  </si>
  <si>
    <t>OK</t>
  </si>
  <si>
    <t xml:space="preserve">Actualizar datos en el sistema Wog </t>
  </si>
  <si>
    <t>Automatizar tareas que incorporen envío de información y documentos para evitar errores, actualización de datos permanente</t>
  </si>
  <si>
    <t>Identifican las diferencias en los saldos y aplicar correcciones en el producto.</t>
  </si>
  <si>
    <t>Estimar el tiempo mínimo para la corrección de saldos cuando se presenten desconexiones en las interfaces</t>
  </si>
  <si>
    <t>Recuperar el dinero faltante</t>
  </si>
  <si>
    <t>Cajera</t>
  </si>
  <si>
    <t>Nataly Arévalo</t>
  </si>
  <si>
    <t>Cumplimiento de los  procedimientos y buenas prácticas en el manejo del dinero en caja</t>
  </si>
  <si>
    <t>Se deben generar las recomendaciones preventivas para el buen manejo del sistema a los funcionarios con acceso a operaciones delicadas.</t>
  </si>
  <si>
    <t>Verificar la capacidad del servidor, evaluar lo que se requiere para que el rendimiento del sistema no disminuya por la ejecución de varios procesos</t>
  </si>
  <si>
    <t>Sensibilización a los funcionarios sobre el reporte de eventos de riesgo mediante cápsulas de conocimiento, reuniones con el personal y guía en la elaboración de reportes directamente a los jefes de área.</t>
  </si>
  <si>
    <t>Diana Fonseca</t>
  </si>
  <si>
    <t>Comunicarse con el asociado y brindarle otra alternativa de pago de su dinero mientras soluciona el reporte del cheque sin fondos. Transferencia a cuentas de ahorro</t>
  </si>
  <si>
    <t>Tesorería</t>
  </si>
  <si>
    <t>Diana Escobar</t>
  </si>
  <si>
    <t>Tramitar la queja e inconformidad con el Banco Coopcentral</t>
  </si>
  <si>
    <t>Revisión de la conciliación de cupos de las tarjetas</t>
  </si>
  <si>
    <t>Revisar los escenarios de estrés del IRL para verificar si se presenta o no incumplimiento, evaluar los ALN e inversiones que dan cobertura al aumento del saldo de cupos de TC</t>
  </si>
  <si>
    <t>Monitoreo semanal del IRL</t>
  </si>
  <si>
    <t>Ofrecer otras alternativas para que los asociados con telefonía TIGO tengan servicio. Cargas prepago o intervenir con el operador móvil resolver el inconveniente</t>
  </si>
  <si>
    <t>Enviar carta los asociados afectados indicando la falla y solicitando disculpas por las molestias presentadas</t>
  </si>
  <si>
    <t>Mónica Torres</t>
  </si>
  <si>
    <t>Tramitar solicitud de reducción de costo en la factura del periodo de afectación con el operador TIGO para no generar mayor inconformidad en los asociados afectados</t>
  </si>
  <si>
    <t>Documentar incidencia al proveedor Wog especificando el daño y el módulo afectado</t>
  </si>
  <si>
    <t>Seguimiento del daño o desconfiguración del módulo para impresión de cheques</t>
  </si>
  <si>
    <t>Fabian Jordán</t>
  </si>
  <si>
    <t>Reportar incidencia a Wog sobre las fallas de desconexión con Experian</t>
  </si>
  <si>
    <t>Seguimiento a la incidencia para solución inmediata por Wog</t>
  </si>
  <si>
    <t>Coordinación de TI</t>
  </si>
  <si>
    <t>Ponderar de forma manual las variables que presentan falla en el sistema mientras se soluciona desde el proveedor Wog</t>
  </si>
  <si>
    <t>Reportar incidencia a Wog sobre las fallas en la ponderación interna de las variables</t>
  </si>
  <si>
    <t>Reuniones con el proveedor Wog para resolver incidencias y culminar proyectos en curso. Director SAS, Jefe de Operaciones, Dir Riesgos, Jefe de Control Interno</t>
  </si>
  <si>
    <t>Seguimiento a la incidencia hasta corroborar cálculos correctos de las variables</t>
  </si>
  <si>
    <t>Verificación REASIGNADA al nuevo Director TI Fabian Jordán
Seguimiento 11 abr 2023- Aun no está terminada, necesario validar con Jefe de Operaciones
Incidencia #55633 - Se realizo un proceso de calculo manual, no se aprobó desarrollo a WOG. Para manejar la medición de variables en el originador para TC se incluyó en el modelo de capacidad de pago el cálculo de estimación de capacidad de pago para las TC</t>
  </si>
  <si>
    <t>Reportar incidencia a Wog sobre las fallas presentadas en la Cooperativa Digital</t>
  </si>
  <si>
    <t>Seguimiento a la incidencia hasta comprobar que funcione correctamente la Cooperativa Digital</t>
  </si>
  <si>
    <t>Hacer el respectivo proceso e recuperación y cruce de cuentas</t>
  </si>
  <si>
    <t>Esposa de asociado genera compromiso de pago de 6 millones de pesos.
La aseguradora reconoce el restante de la deuda del asociado fallecido</t>
  </si>
  <si>
    <t>Activar Plan de Continuidad de negocio. Plantas de energía en funcionamiento con capacidad para soportar operación de 3 a 4 horas</t>
  </si>
  <si>
    <t>Analista de  TI</t>
  </si>
  <si>
    <t>Cristian Orjuela</t>
  </si>
  <si>
    <t>En el momento no se contaba con director TI</t>
  </si>
  <si>
    <t xml:space="preserve">Reunión del equipo directivo para determinar recomendaciones y los jefes de área transmitir información:
El personal no debe dejar los equipos prendidos a menos de que sea estrictamente necesario para desempeñar labores remotas
</t>
  </si>
  <si>
    <t>Jefes de áreas</t>
  </si>
  <si>
    <t>Todos</t>
  </si>
  <si>
    <t>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t>
  </si>
  <si>
    <t>En el momento no se contaba con director TI, en Comité de Gerencia se trató el tema.
seguimiento 11 abr 2023- En proceso, migrar los servicios relacionados con el PBX, SE PROYECTA TERMINAR A DICIEMBRE 2022
Seguimiento 9 agosto 2023-Se implemento un plan de acción para mejorar la disponibilidad del Servicio PBX, que consiste en el mejoramiento de los canales de internet, ampliándolo e implementando una configuración de red de anillo, adicionalmente se corrigieron los problemas eléctricos, se cuenta con UPS y planta de poder lo cual nos ha permitido tener una disponibilidad del servicio del 100%, lo anterior siendo certificado por el software de monitoreo. (PRTG)</t>
  </si>
  <si>
    <t xml:space="preserve">Reenviar mensaje de texto inmediatamente  a los asociados aclarando el error y solicitando disculpas </t>
  </si>
  <si>
    <t>Trámite jurídico, contacto con los familiares titulares</t>
  </si>
  <si>
    <t>Revisar procedimiento de retiro de asociados por fallecimiento,  para analizar bloqueo de credenciales de asociados fallecidos para evitar transferencias de terceros por medio de la Cooperativa Digital.</t>
  </si>
  <si>
    <t>24 de abril 2023. fue aprobado y ajustado adicionando la actividad de bloqueo de portales y tarjetas cuando se notifica el fallecimiento del asociado</t>
  </si>
  <si>
    <t>Reconocimiento del dinero al asociado de manera inmediata para no generar mal malestar y mala imagen hacia Febor</t>
  </si>
  <si>
    <t>Tramitar con la aseguradora y Coopcentral para el retorno del dinero a Febor.</t>
  </si>
  <si>
    <t>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
- Reunión gerencia 14 sept 2023 - cerrado</t>
  </si>
  <si>
    <t>Tramite jurídico y proceso con aseguradora</t>
  </si>
  <si>
    <t>Informar de manera inmediata al Analista de Gestión Documental sobre los pasos a seguir cuando llegan facturas y el medio por el cual las recibirá. (persona nueva en el cargo)</t>
  </si>
  <si>
    <t>Gestionar el pago de la factura pendiente</t>
  </si>
  <si>
    <t xml:space="preserve">Activa Plan de Continuidad para retorno del servicio </t>
  </si>
  <si>
    <t>La interrupción se dio por 2 horas</t>
  </si>
  <si>
    <t>Revisar los esquema de alta disponibilidad  para los canales de internet</t>
  </si>
  <si>
    <t>Seguimiento 11 abr 2023- En proceso, migrar los servicios relacionados con el PBX, SE PROYECTA TERMINAR A DICIEMBRE 2022
Seguimiento 9 agosto 2023 - Se implemento el esquema de red de anillo en los proveedores de canales de internet, se implemento en los firewall Fortinet el balanceo automático de los canales, en el momento que el canal principal se caiga, automáticamente ingresa el canal de Backup, adicionalmente, nos encontramos en proceso de cambiar los planes PYMES que se tienen contratados (GPON) a canales corporativos (Canal dedicado), El monitoreo realizado a los canales mediante la herramienta PRTG nos certifica que se ha contado con una disponibilidad del 100%</t>
  </si>
  <si>
    <t>Devolver el dinero al asociado</t>
  </si>
  <si>
    <t>Investigar. Solicitar a Wog rastreo de las operaciones con IP para determinar el origen de la operación.</t>
  </si>
  <si>
    <t>Se solicitó a Wog, se trasladó a operaciones para análisis</t>
  </si>
  <si>
    <t>Asesoría Jurídica al Asociado para el tratamiento de su caso</t>
  </si>
  <si>
    <t xml:space="preserve"> El señor fue asesorado por el Jefe Jurídico para presentar los documentos correspondientes para la reclamación ante la aseguradora, el asociado los pasó y está en trámite.</t>
  </si>
  <si>
    <t>Revisar el rastreo de operaciones y uso de la plataforma de Cooperativa Digital</t>
  </si>
  <si>
    <t>Revisar el detalle del error en la liquidación de intereses</t>
  </si>
  <si>
    <t xml:space="preserve">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t>
  </si>
  <si>
    <t>Solicitar a Wog, la atención sobre esta falla revisando la parametrización directa del sistema</t>
  </si>
  <si>
    <t>Respuesta desde Wog - causa originadora del problema y alternativas de solución.</t>
  </si>
  <si>
    <t>Wog confirmó que fue arreglada la parametrización de la variable de periodicidad "DOS AÑOS " en el proceso de creación de CDATs de tal manera que calcule correctamente como esta definido para la variable de periodicidad "AL VENCIMIENTO"</t>
  </si>
  <si>
    <t>Retroalimentar a los funcionarios que crean CDATs sobre la correcta creación de estos productos</t>
  </si>
  <si>
    <t>Johana Cortés
Nataly Malagón</t>
  </si>
  <si>
    <t>Creación productos de 720 días con periodicidad "Al Vencimiento"</t>
  </si>
  <si>
    <t>Respuesta formal al asociado. Certificar el valor de intereses del CDAT.</t>
  </si>
  <si>
    <t>Directora SAS, atendió el caso</t>
  </si>
  <si>
    <t>Causación de intereses faltante de CDATs que presentaron inconveniente en su creación</t>
  </si>
  <si>
    <t>José Nelson Figueroa</t>
  </si>
  <si>
    <t>En comité de gerencia del 7 de marzo de 2023 se tomó la decisión de causar la totalidad afectando los estados financieros  corte de febrero 2023</t>
  </si>
  <si>
    <t>Es necesario diseñar plantillas estándar para el cálculo de intereses de los productos de tal manera que, sirva para auditar e identificar que el sistema esté calculando correctamente.</t>
  </si>
  <si>
    <t>Elaborado por jefe de operaciones</t>
  </si>
  <si>
    <t>Área de Operaciones  confirmará antes de aprobar las transacciones los datos actualizados como celular y email mientras se soluciona definitivamente las alternativas de autenticación.</t>
  </si>
  <si>
    <t>Correo Re: Estado Eventos de Riesgos - Tareas en proceso (5 jun 2023)
Desde el área de operaciones se está utilizando el sistema de evidente para el proceso de transferencias</t>
  </si>
  <si>
    <t>Recolectar de pruebas y elaborar denunció en la página de caí virtual por parte de la oficina jurídica de Febor</t>
  </si>
  <si>
    <t>Se brinda asesoría para que el asociado afectado sea quien  instaura la demanda a su nombre</t>
  </si>
  <si>
    <t>Iniciar proceso disciplinario a funcionarios que omitieron controles de verificación</t>
  </si>
  <si>
    <t>Realizado a las funcionarias Andrea Caicedo y María Fernanda Moncaleano</t>
  </si>
  <si>
    <t>Es necesario hacer verificación telefónica y hacer el evidente de Data Crédito</t>
  </si>
  <si>
    <t>La Cooperativa tiene un plan llamado MARTER + OTP con Experian que podrá activar y definir a que procesos aplicarlo</t>
  </si>
  <si>
    <t>Juan Pablo Vélez
Johana Cortés
Nataly Malagón
Diana Fonseca
Diana Forero</t>
  </si>
  <si>
    <t>Entrega de acceso al evidente de la plataforma web  con los usuarios correspondientes y los procesos definidos debidamente parametrizados.</t>
  </si>
  <si>
    <t>En proceso - ultima reunión de avance abril 2023
Creación de usuarios y envió de manual para acceder a la plataforma 10 de mayo 2023</t>
  </si>
  <si>
    <t>Se debe capacitar a los funcionarios en el manejo de esta herramienta y tramitar su implementación.</t>
  </si>
  <si>
    <t>En proceso - ultima reunión de avance abril 2023</t>
  </si>
  <si>
    <t>Hacer campaña de seguridad informática</t>
  </si>
  <si>
    <t xml:space="preserve">Correo comunicaciones@febor.coop
⚠️ ¡OJO!👀 Con los ataques 🫤 de los Ciberdelincuentes 19 mayo 2023
Fwd: POST de ciberseguridad 15 de mayo 2023 </t>
  </si>
  <si>
    <t>Indicarle al asociado que los topes transaccionales diarios por defecto son: cantidad 20 y hasta un total de $ 20 millones; sin embargo, él puede configurar sus topes transaccionales por cantidad y monto mediante la Cooperativa Digital de acuerdo a su necesidad</t>
  </si>
  <si>
    <t>Directora SAS, confirma que mediante la Coop Digital no es posible la configuración de Topes, esto lo debe realizar Febor</t>
  </si>
  <si>
    <t xml:space="preserve">
Asesorar al asociado y tramitar el reconocimiento del dinero por parte de la aseguradora (póliza de hurto)
</t>
  </si>
  <si>
    <t>Como regla general, se debe sugerir a los asociados personalizar los topes transaccionales de acuerdo a su necesidad, cuando se haga entrega de la tarjeta débito. (A cargo de Dir SAS)</t>
  </si>
  <si>
    <t>La configuración se hace internamente</t>
  </si>
  <si>
    <t>Corregir las condiciones del CDAT como fue solicitado por el Asociado</t>
  </si>
  <si>
    <t>Responder la queja del Asociado y emitir nuevamente el certificado del producto con las condiciones indicadas por él.</t>
  </si>
  <si>
    <t>Seguimiento a la ejecución de la póliza por parte de la aseguradora</t>
  </si>
  <si>
    <t>CUN : 1163263, Guía No.1151920637
Reconocimiento por $116.490</t>
  </si>
  <si>
    <t>Gestionar el pago del aporte del asociado para que pueda abrir el CDAT</t>
  </si>
  <si>
    <t xml:space="preserve">Crear incidencia a Wog para solución de error </t>
  </si>
  <si>
    <t>Se crea la incidencia 58190 - correo: Soporte WOG-Información estado de cuenta VS planes de cuotas vencidos (21 abril 2023)</t>
  </si>
  <si>
    <t xml:space="preserve">Hacer seguimiento a la corrección por parte del Wog </t>
  </si>
  <si>
    <t>Correo 21 junio 2023 (Operaciones): Desde WOG informan que fue solucionado el error en el estado de cuenta, lo anterior fue informado a Jhoanna el 15 de junio de 2023 para realizar las validaciones correspondientes.
Adjunto estado de cuenta del asociado Jorge Abundio Barragán Luna CC 5937041 quien tiene saldo vencido en el estado de cuenta en DAES a quien inicialmente no le estaba apareciendo y ya se evidencia la corrección en el mismo.</t>
  </si>
  <si>
    <t>Informar inmediatamente al proveedor sobre la falla, trasladando las quejas presentadas por los asociados.</t>
  </si>
  <si>
    <t>Hacer seguimiento a la calidad de información suministrada en adelante por el proveedor</t>
  </si>
  <si>
    <t>Comunicación inmediata con la persona encargada de gestionar las pólizas para informarle del error.</t>
  </si>
  <si>
    <t>Johana Cortés Directora de Servicio al Asociado se comunicó con la señora Yolanda Asesora Externa para la adquisición de seguros para informarle acerca de la inconformidad del asociado y</t>
  </si>
  <si>
    <t>Proponer la reformulación del procedimiento de servicios no financieros</t>
  </si>
  <si>
    <t>Correo Operaciones (6 julio 2023) - Procedimiento de Servicios no financieros Reenvió estos procedimientos a Mónica y a José Nelson ya que parte del procedimiento impacta en contabilidad, con el fin que puedan darle un vistazo y puedan dar sus observaciones.</t>
  </si>
  <si>
    <t>Revisión de controles para evitar descuentos dobles de convenios en contabilidad (involucrar estas medidas en el procedimiento de servicios no financieros</t>
  </si>
  <si>
    <t>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t>
  </si>
  <si>
    <t>Gerencia</t>
  </si>
  <si>
    <t>Luz Adriana M</t>
  </si>
  <si>
    <t>Disponer otro equipo para el funcionario con los accesos a los sistemas y el respaldo de backup para que pueda continuar con su labores</t>
  </si>
  <si>
    <t>Fabian  Jordán</t>
  </si>
  <si>
    <t>Tramitar con la aseguradora la cobertura de la póliza para el hurto de portátiles</t>
  </si>
  <si>
    <t>Se responde  la PQR 1698 entre el área de operaciones, jurídica y servicio al asociado</t>
  </si>
  <si>
    <t>Asesorar sobre la denuncia del asociado ya que la suplantación fue en el Banco Caja Social y no en Febor</t>
  </si>
  <si>
    <t xml:space="preserve">El asociado por su propio interés interpuso queja al Banco Caja Social </t>
  </si>
  <si>
    <t>Investigar ingresos desde la App y Coop Digital del asociado durante el año 2023, último cambio de IP o registro de equipos y celulares del asociado con el fin de validar la presunta suplantación por estos medios.</t>
  </si>
  <si>
    <t>Incidencia 59701
Ese día el usuario :
Se logueo desde el app con la ip remota 192.168.80.46 a las 2023-08-19 10:25:23.981842
Registró la cuenta de ahorros 24124995372 de BANCO BCSC SA desde el app a las 2023-08-19 10:43:07.757
Se logueo desde el app con la ip remota 10.64.188.142 a las 2023-08-19 11:41:38.449583
Realizó la transferencia hacia la cuenta 24124995372 de BANCO BCSC SA por 1.470.000 desde el app a las 2023-08-19 11:43:03.304
Adjunto documentos de celulares registrados, Ip registradas, las sesiones iniciadas y cuentas de otros bancos registradas</t>
  </si>
  <si>
    <t>Corregir el error inmediatamente para reanudar la activación de la pagina web</t>
  </si>
  <si>
    <t>Fabián Jordán</t>
  </si>
  <si>
    <t>Realizar una estrategia de comunicación y planeación de las actividades que planea el área, analizando las posibles consecuencias de interrupción al servicio. Esta estrategia debe contener los programas de mantenimiento preventivos y/o correctivos , cuando se van a ejecutar y por cuanto tiempo, para que las demás áreas estén preparadas.</t>
  </si>
  <si>
    <t>Incidencia 61118 reportada.</t>
  </si>
  <si>
    <t>Seguimiento a la incidencia y a la corrección del error por parte de Wog</t>
  </si>
  <si>
    <t>Correo 11 enero 2024. (Re: Tareas pendientes en Eventos de Riesgo registrados a cierre de diciembre 2023) Respecto a la tarea 50-2 adjunto la incidencia con la solución y el cierre de la misma</t>
  </si>
  <si>
    <t>Solicitar la desconexión de BI a Wog con el fin de priorizar la funcionalidad del canal de Coop Digital y App</t>
  </si>
  <si>
    <t>Se desconecta BI de Wog y los reportes que de allí se generan van a ser descargados solamente en el cierre de cada mes.</t>
  </si>
  <si>
    <t>Monitorear el funcionamiento de la App y Coop Digital luego de la desconexión de BI para comprobar que si era la causal de fallas del Coop Digital y la App.</t>
  </si>
  <si>
    <t xml:space="preserve">Verificar y corregir (si aplica) el procedimiento de afiliaciones. Responsable Jefe de Operaciones 
</t>
  </si>
  <si>
    <t>Correo 11 enero 2024. (Re: Tareas pendientes en Eventos de Riesgo registrados a cierre de diciembre 2023) En cuanto a la tarea 52-1 se indico la forma correcta de validar los requisitos para validar el ingreso de un asociado y esto se encuentra consignado en el procedimiento de forma correcta por lo que no requiere cambio</t>
  </si>
  <si>
    <t>Auditar y verificar que no se hayan filtrado antes más asociados con alguna exclusión. En caso de existir, se debe iniciar proceso de retiro.</t>
  </si>
  <si>
    <t>TOTAL EVENTOS</t>
  </si>
  <si>
    <t>Clase Evento Nivel 1</t>
  </si>
  <si>
    <t>Registro eventos de riesgos</t>
  </si>
  <si>
    <t>TAREAS ASIGNADAS</t>
  </si>
  <si>
    <r>
      <t xml:space="preserve">Verificación REASIGNADA al nuevo Director TI Fabian Jordán
</t>
    </r>
    <r>
      <rPr>
        <b/>
        <sz val="11"/>
        <color theme="1"/>
        <rFont val="Lato"/>
        <family val="2"/>
      </rPr>
      <t>10 abril 2022:</t>
    </r>
    <r>
      <rPr>
        <sz val="11"/>
        <color theme="1"/>
        <rFont val="Lato"/>
        <family val="2"/>
      </rPr>
      <t xml:space="preserve"> Confirmada la solución del caso con Diana Escobar (Tesorería) y Fabian Jordán (Decir TI). Se programa la forma de impresión entre carta o A4.</t>
    </r>
  </si>
  <si>
    <r>
      <t xml:space="preserve">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t>
    </r>
    <r>
      <rPr>
        <b/>
        <sz val="11"/>
        <color rgb="FF0070C0"/>
        <rFont val="Lato"/>
        <family val="2"/>
      </rPr>
      <t>Correo: Re: Estado Eventos de Riesgos - Tareas en proceso</t>
    </r>
  </si>
  <si>
    <r>
      <t xml:space="preserve">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t>
    </r>
    <r>
      <rPr>
        <b/>
        <sz val="11"/>
        <color rgb="FF0070C0"/>
        <rFont val="Lato"/>
        <family val="2"/>
      </rPr>
      <t>Correo: Re: Estado Eventos de Riesgos - Tareas en proceso</t>
    </r>
  </si>
  <si>
    <r>
      <t xml:space="preserve">El 7 de marzo 2023 se realizó reunión con Experian para conocer las opciones que ofrece para implementar el </t>
    </r>
    <r>
      <rPr>
        <u/>
        <sz val="11"/>
        <color theme="1"/>
        <rFont val="Lato"/>
        <family val="2"/>
      </rPr>
      <t xml:space="preserve">evidente </t>
    </r>
    <r>
      <rPr>
        <sz val="11"/>
        <color theme="1"/>
        <rFont val="Lato"/>
        <family val="2"/>
      </rPr>
      <t>en Febor.</t>
    </r>
  </si>
  <si>
    <r>
      <t xml:space="preserve">El 9 de  marzo 2023 se realizó reunión con Experian a las 9: am para parametrizar los procesos que requieren </t>
    </r>
    <r>
      <rPr>
        <u/>
        <sz val="11"/>
        <color theme="1"/>
        <rFont val="Lato"/>
        <family val="2"/>
      </rPr>
      <t>evidente.</t>
    </r>
    <r>
      <rPr>
        <sz val="11"/>
        <color theme="1"/>
        <rFont val="Lato"/>
        <family val="2"/>
      </rPr>
      <t xml:space="preserve">
Los procesos definidos son : Actualización de datos, transacciones a terceros y consulta de productos. </t>
    </r>
  </si>
  <si>
    <r>
      <t xml:space="preserve">Se lleva a cabo una socialización con el proveedor y se acuerda la creación de una carpeta dentro del aplicativo para que desde Febor se redacte la carta que será objeto de envío junto con la base de asociados a los que se dirigirá.
</t>
    </r>
    <r>
      <rPr>
        <b/>
        <sz val="11"/>
        <color rgb="FF0070C0"/>
        <rFont val="Lato"/>
        <family val="2"/>
      </rPr>
      <t>Correo: Re: Estado Eventos de Riesgos - Tareas en proceso</t>
    </r>
  </si>
  <si>
    <r>
      <rPr>
        <b/>
        <sz val="11"/>
        <color theme="1"/>
        <rFont val="Lato"/>
        <family val="2"/>
      </rPr>
      <t>Modificación de procedimiento.</t>
    </r>
    <r>
      <rPr>
        <sz val="11"/>
        <color theme="1"/>
        <rFont val="Lato"/>
        <family val="2"/>
      </rPr>
      <t xml:space="preserve"> correo Re: Tareas pendientes en Eventos de Riesgo registrados a la fecha 2 agosto 2023
Se realiza pruebas en el módulo de pruebas de WOG para que el pago anticipado del SOAT llegue a una cuenta por pagar sin crear el soat desde la taquilla y posteriormente el cajero debe enviar un correo a contabilidad informando la transacción realizada para que ellos realicen la creación y pago del SOAT desde la cuenta por pagar creada.</t>
    </r>
  </si>
  <si>
    <t>EVENTOS REGISTRADOS</t>
  </si>
  <si>
    <t>Tareas asignadas</t>
  </si>
  <si>
    <t>En proceso</t>
  </si>
  <si>
    <t xml:space="preserve">Dic  </t>
  </si>
  <si>
    <t xml:space="preserve">Oct </t>
  </si>
  <si>
    <t xml:space="preserve">Ene </t>
  </si>
  <si>
    <t xml:space="preserve">Feb </t>
  </si>
  <si>
    <t>Mar</t>
  </si>
  <si>
    <t>Abr</t>
  </si>
  <si>
    <t>May</t>
  </si>
  <si>
    <t>Jun</t>
  </si>
  <si>
    <t>Jul</t>
  </si>
  <si>
    <t>Sep</t>
  </si>
  <si>
    <t>Nov</t>
  </si>
  <si>
    <t>Ago</t>
  </si>
  <si>
    <t>Prueba</t>
  </si>
  <si>
    <t>Correo 25 enero 2024
Se actualizo el plan de mantenimiento preventivo y correctivo del área y se genera un proceso de estrategia de comunicación previa a las actividades de mantenimientos que afecten un proceso dentro de la cooperativa.</t>
  </si>
  <si>
    <t xml:space="preserve">CasoLa imagen de la Cooperativa se vio afectada al distribuir los calendarios del 2024, los cuales presentaban defectos de calidad provenientes del proveedor, tanto para los calendarios de escritorio como los de pared. El defecto fue detectado por integrantes del Consejo, quienes alertaron a la Gerencia, es decir, no fueron previamente identificados por el área responsable.Acciones
Comunicar al proveedor inmediatamente sobre el defecto del producto entregado.El proveedor se compromete a reemplazar los calendarios defectuosos.La muestra de verificación de calidad del producto fue mínima, por lo cual se requiere que en adelante, todos los productos recibidos tengan un proceso de verificación de calidad con una muestra acorde a la cantidad comprada.
</t>
  </si>
  <si>
    <t>14/02/2024 00:04:41: Generada</t>
  </si>
  <si>
    <t xml:space="preserve">Reclamación al proveedor </t>
  </si>
  <si>
    <t>Angie Villamizar</t>
  </si>
  <si>
    <t>El proveedor asume el reproceso y reemplazará los productos defectuosos</t>
  </si>
  <si>
    <t>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t>
  </si>
  <si>
    <t>Diana Forero
Diana Fonseca</t>
  </si>
  <si>
    <t>Jefe de Control Interno y Calidad</t>
  </si>
  <si>
    <t>Diana Forero</t>
  </si>
  <si>
    <t>Diana Chistina Forero Lopez</t>
  </si>
  <si>
    <t>controlinterno.calidad@febor.coop</t>
  </si>
  <si>
    <t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t>
  </si>
  <si>
    <t>06/03/2024 16:39:47: Creado
06/03/2024 16:42:23: .</t>
  </si>
  <si>
    <t>42 - Prácticas Empresariales o de Mercadeo Improcedentes</t>
  </si>
  <si>
    <t>425 - Actividades No Autorizadas</t>
  </si>
  <si>
    <t>Juan pablo Vélez</t>
  </si>
  <si>
    <t>Exposición de los casos a gerencia. Jefe de Control Interno y Calidad
Exposición de los casos a comité de auditoría y consejo de administración. Jefe de Control Interno y Calidad</t>
  </si>
  <si>
    <t>Continuar con el monitoreo mensual por parte de control interno. Cerrar el evento de riesgo si no se presentan más casos por lo menos en 6 meses consecutivos.</t>
  </si>
  <si>
    <t>11 - Actividades No Autorizadas</t>
  </si>
  <si>
    <t>111 - Operaciones No Reveladas Intencionalmente</t>
  </si>
  <si>
    <t>Diana Maribel Fonseca gómez</t>
  </si>
  <si>
    <t>22/03/2024 10:49:35: Creado.
12/04/2024 04:50:37: Complementado el caso</t>
  </si>
  <si>
    <t>12/04/2024 04:55:08: Aprobado
24/04/2024 17:45:38: Completar evento.</t>
  </si>
  <si>
    <t>Llamada a proceso disciplinario -Descargos al funcionario implicado</t>
  </si>
  <si>
    <t>Jefe jurídico</t>
  </si>
  <si>
    <t>En marzo se llevó a cabo los descargos de la señora Mry Pinzón y producto de esto, se procedió a la cancelación del contrato.</t>
  </si>
  <si>
    <t xml:space="preserve">Se debe revisar el procedimiento contable para aplicar en abril los Aportes y Daes al capital de la deuda, de tal manera que se condonen los intereses </t>
  </si>
  <si>
    <t>Nataly Malagón
Jose Nelson Figueroa</t>
  </si>
  <si>
    <t>Jefe jurídico
Dir Riesgos</t>
  </si>
  <si>
    <t>Andrés Forero
Diana Fonseca</t>
  </si>
  <si>
    <t>Se realizó propuesta para comunicar mediante una circular interna las recomendaciones para lograr una comunicación asertiva entre áreas.</t>
  </si>
  <si>
    <t>Acción preventiva sobre comunicación asertiva entre áreas</t>
  </si>
  <si>
    <t>CasoDurante el proceso de verificación de documentos para la declaración de origen de fondos de las operaciones en efectivo en las instalaciones de la Cooperativa, se identificaron (2) declaraciones inusuales en febrero de 2024. Estas presentaban una aparente falsificación de firma y huella, al detectar recuadros que indicaban que dichas autenticaciones habían sido cortadas y pegadas de otros documentos. Las declaraciones correspondían a los asociados Gonzalo Sánchez Hurtado identificado con CC 87.430.991 y Félix Alfredo Cortés Rincón identificado con CC 10.518479, quienes realizaron la operación presencialmente en la caja los días 6 y 9 de febrero de 2024. La funcionaria encargada y responsable era la Sra. Mary Gisell Pinzón Manrique.
AccionesSe expuso el caso al equipo directivo en comité de gerenciaLa Sra Mary Pinzon fue citada a descargos el 14 de marzo, aceptó haber realizado falsificacion defirmas y huellas sin fines fraudelentos, sólo por cubrir fallas operativas indicando que no pudo hacer firrmar oportunamente los formatos en caja y procedio a formalizarlos de esta manera.Debido al tipo de falta, la cual se considera grave, se procedió a la terminación de contrato de Sra Mary Pinzon con causa justificada.Los anexos del caso están en el expediente de la Sra Mary Pinzón - Reserva de Talento Humano. (Acta de descargos y termnación de contrato)</t>
  </si>
  <si>
    <t>DIANA CHRISTINA FORERO LOPEZ</t>
  </si>
  <si>
    <t>15/05/2024 14:31:30: Creado
15/05/2024 14:33:22: .
02/07/2024 12:35:23: Complemento</t>
  </si>
  <si>
    <t xml:space="preserve">CasoEl comité de auditoría reveló un caso de fraude interno relacionado con la falsificación de un certificado de pensión necesario para el proceso de crédito del asociado José Agustín Martínez Cristancho, identificado con CC 17.140.819. La falsificación implicó alterar la fecha de recepción de la nómina del mes de enero de 2024, y fue realizada por la funcionaria Alejandra Rodríguez. Aunque ella admitió haber modificado el documento, aclaró que posteriormente solicitó al asociado que enviara el documento original y físico, pero este no fue el documento que quedó registrado en el sistema, sino el modificado.
Declaración de la funcionaria Alejandra Rodriguez:
'Lo que pasó con el señor, el señor me había traído los papeles, y cuándo yo radique el de enero no lo encontré y si, yo le cambié el mes, pero luego dije mejor con el señor mejor sacamos uno nuevo de enero, pero cuándo radiqué, radique el del documento malo'.La señorita Alejandra presentó dichos documentos físicos como evidencia de lo declarado, sin embargo, se llevó a cabo el correspondiente proceso disciplinario.AccionesProceso disciplinario a cargo del área jurídica, dirigido a la funcionaria Alejandra. Se concluyó el 17 de mayo de 2024 con la suspensión de 3 días.De igual manera se desarrolló una capacitación sobre delitos de fraude al personal el 20 de junio de 2024. Grabación Teams: Capacitación sobre delitos de fraude-20240620_090729-Grabación de la reunión.
Capacitación sobre delitos de fraude-20240620_090729-Grabación de la reunión.mp4
</t>
  </si>
  <si>
    <t>05/06/2024 15:04:09: Creado
02/07/2024 15:00:15: Registro completo</t>
  </si>
  <si>
    <t>Se determinó suspensión disciplinaria por 3 días luego de llevar el debido procesos de descargos.</t>
  </si>
  <si>
    <t>Sensibilizar al personal sobre la falsificación de documentos y su asociación con el riesgo de fraude</t>
  </si>
  <si>
    <t>Se impartió capacitación virtual sobre delitos de fraude a los funcionarios de servicio al asociado</t>
  </si>
  <si>
    <t>Revisar grabaciones del PBX</t>
  </si>
  <si>
    <t>Alerta a Coopcentral para bloqueo de cuenta fraudulenta de tercero.</t>
  </si>
  <si>
    <t>Confirmación de bloqueo preventivo por parte de Coopcentral.</t>
  </si>
  <si>
    <t>Reverso de datos actualizados de correo y celular de la Sra María Elvira.</t>
  </si>
  <si>
    <t>Analizar los cambios de información reciente en la base de asociados y determinar los que requieren verificación especial.</t>
  </si>
  <si>
    <t>Verificar si el grupo de asociados para verificación especial presentaron transferencias recientemente y realizar las confirmaciones correspondientes.</t>
  </si>
  <si>
    <t>Anexo 2. Revisión transferencias terceros mayo junio</t>
  </si>
  <si>
    <t>Bloquear la Cooperativa Digital inmediatamente de todos los asociados con actualización reciente de correo y/o celulares en verificación especial.</t>
  </si>
  <si>
    <t>Reverso de datos actualizados de correo y celular del Sr Jaime Martínez</t>
  </si>
  <si>
    <t>Instaurar las demandas correspondientes, tanto del caso del Sr Jaime como de la Sra María Elvira.</t>
  </si>
  <si>
    <t>Equipo directivo</t>
  </si>
  <si>
    <t>Juan Pablo Vélez
Diana Fonseca</t>
  </si>
  <si>
    <t xml:space="preserve">Luis Eduardo Vasquez </t>
  </si>
  <si>
    <t>Correo: RV: Alerta - Caso fraude 6 junio 2024</t>
  </si>
  <si>
    <t>Jefe Control Interno</t>
  </si>
  <si>
    <t>Jefe de operaciones
Jefe Control Interno</t>
  </si>
  <si>
    <t>Nataly Malagón
Diana Fonseca</t>
  </si>
  <si>
    <t>Anexo 4. Análisis de Grabaciones.</t>
  </si>
  <si>
    <t>Número de radicado # 2024061101549</t>
  </si>
  <si>
    <t>Contactar a cada uno de los asociados bloqueados, con el fin de verificar posibles intentos de fraude o reversar el bloqueo de la Cooperativa Digital.</t>
  </si>
  <si>
    <t>Bloquear el acceso a los documentos publicados en página web, especialmente en el link de asamblea 2024.</t>
  </si>
  <si>
    <t>Analizar detalladamente las grabaciones y documentarlas.</t>
  </si>
  <si>
    <t>Reunión con Experian para revisar las condiciones de oferta comercial versus el servicio real, exponer los casos de fraude y revisar una parametrización más segura.</t>
  </si>
  <si>
    <t xml:space="preserve">Gestionar la devolución del dinero a los asociados afectados. </t>
  </si>
  <si>
    <t>Anexo 3. Histórico transacciones JM visionamos</t>
  </si>
  <si>
    <t>Proceso disciplinario a funcionaria Leidy Delgado, funcionaria que actualizó los datos del asociado Jaime Albeiro.</t>
  </si>
  <si>
    <t>Jefe Jurídico
Dir Informática</t>
  </si>
  <si>
    <t>Andrés Forero
Fabián Jordán</t>
  </si>
  <si>
    <t>Revisar la implementación de CRM</t>
  </si>
  <si>
    <t>Exigir el código OTP siempre o redireccionar a actualización en oficina.</t>
  </si>
  <si>
    <t>Directriz</t>
  </si>
  <si>
    <t>Contratar una capacitación especializada en antifraude y reconocimiento de alertas y formas de verificación efectiva. Plantear opciones</t>
  </si>
  <si>
    <t>Informar al asociado que hay una cuenta falsa de Daviplata a su nombre para que instaure la demanda correspondiente</t>
  </si>
  <si>
    <t>Gerencia
Jefe de operaciones</t>
  </si>
  <si>
    <t>Juan Pablo Vélez
Nataly Malagón</t>
  </si>
  <si>
    <t>CasoEl 20 de marzo de 2024 el Consejo de Administracion aprobó la exclusión de 26 asociados, los cuales debian tener el debido proceso de cruce de cuentas de sus productos de aportes y Daes. Desde el área jurídica se envió la instrucción al área de operaciones, sin embargo, esta instrución no fue completa en cuanto a la forma de aplicacion del cruce de cuentas, ya que la exlución fue aprobada con la condición de condonar los intereses y reducir el capital de la deuda con los saldosAcciones
El área de operaciones y contabilidad deberá realizar el reproceso de la aplicación contable de dichos saldos para el cierre de abril de 2024.El área jurídica y de riesgos deben proponer acciones preventivas para mejorar los métodos de comunicación y asegurar su efectividad.</t>
  </si>
  <si>
    <t>7 - Ejecución y Administración de Procesos</t>
  </si>
  <si>
    <t xml:space="preserve">Capacitación y sensibilización sobre la evaluación de proveedores para productos y servicios </t>
  </si>
  <si>
    <t>Revisar caso para cobertura de póliza</t>
  </si>
  <si>
    <t>Revisar alternativas de automatización para la aplicación de pagos directamente en Wog</t>
  </si>
  <si>
    <t>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t>
  </si>
  <si>
    <t>20/08/2024 12:20:27: Registrado.</t>
  </si>
  <si>
    <t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t>
  </si>
  <si>
    <t>20/08/2024 13:33:05: Registrado
10/09/2024 12:53:39: Actualizado</t>
  </si>
  <si>
    <t>CasoLa asociada Ingrid Frederick Obregón C.C. 1.020.723.306 registro una queja a la Cooperativa por no obtener solución oportuna acerca del endoso de una póliza sobre su préstamo, solicitada en abril de 2024:SolicitudBogotá, 09 de abril de 2024 Señores Febor Entidad Cooperativa Ciudad Referencia: Radicación Endoso Póliza Vida a mi Medida Deudor – Descontar cobros Cuota Crédito No. 1250738
Comunicado Jefe Jurídico 26 de abril 2024
Buenas tardes, Yolanda:De manera atenta solicitamos su amable apoyo con la validación de la solicitud de endoso de la póliza de vida que nos formula la empresa Telefectivos en nombre y representación de nuestra asociada Ingrid Frederick Obregon C.C. 1.020.723.306. Adjunto el documento con el que se pretende el endoso, donde constan sus condiciones de cobertura y beneficiario. Cordialmente,
Comunicado Yolanda 26 de abril 2024
Buenas tardes Sr. Andrés Camilo La póliza vida deudores presentada por la señora Ingrid Frederick cumple con la cobertura actual de la póliza Vida Deudores La Equidad-Febor: Amparo de vida - Muerte por cualquier causa hasta el saldo insoluto de la deuda Incapacidad total y permanente, por incapacidad laboral superior al 50% Cordial saludo, YOLANDA BUITRAGO Coordinadora de cuenta Comunicado Jefe Jurídico 26 de abril 2024
Buenas tardes, Nata:De manera atenta, solicito el procesamiento del endoso de la póliza vida deudores de la asociada Ingrid Frederick Obregón C.C. 1.020.723.306, de acuerdo con las condiciones del documento adjunto y el Vo.Bo. de Yolanda que consta en la trazabilidad. Quedo atento a tus inquietudes. Cordialmente,
Comunicado de Febor a Tanefectivos 15 de mayo 2024Aceptación del endoso a Axa ColpatriaComunicado Jefe Jurídico 9 de agosto 2024
Buenos días, estimado equipo de operaciones:
De manera atenta, solicito su apoyo para poder materializar el endoso de la póliza de vida deudores de la asociada Ingrid Frederick Obregón, quien desde abril del 2024, contrató la cobertura con AXA Colpatria tal como consta en el documento adjunto.
Igualmente, desde mayo se le notificó a la asociada y al intermediario que Febor Entidad Cooperativa aceptaba el endoso de la póliza en cumplimiento del numeral 2 del Artículo 100 de Estatuto Orgánico del Sistema Financiero (EOSF).
No obstante, a la fecha, aun no se ha completado en el sistema el endoso de la mentada póliza para el crédito No. 1250738, a pesar de que cumple los condicionamientos legales para su procedencia, circunstancia que nos pone en una presunta situación de incumplimiento y nos expone a las multas de las que trata el Artículo 2.363.2.5.5 y siguientes del Decreto 1084 del 2021.
Adjunto remito el correo donde se notificó al área operativa del endoso ya que contábamos con el Vo.Bo. previo de Yolanda. En consecuencia, todo dinero que se le haya descontado doblemente a la asociada por este concepto desde la fecha de su notificación debe ser restituido de inmediato y en adelante trasladar los dineros al beneficario del endoso.
Quedo atento a cualquier duda y/o inquietud sobre el particular.
Cordialmente,
Acciones
Responder la PQR en los tiempos establecidos. Área de Operaciones y área jurídicaTramitar el endoso de la póliza con prioridad. Área de Operaciones</t>
  </si>
  <si>
    <t>20/08/2024 13:53:43: Registrado</t>
  </si>
  <si>
    <t>Responder la PQR en los tiempos establecidos.  Área de Operaciones y área jurídica</t>
  </si>
  <si>
    <r>
      <rPr>
        <b/>
        <sz val="10"/>
        <color theme="1"/>
        <rFont val="Lato"/>
        <family val="2"/>
      </rPr>
      <t>Transacciones Menores a $50.000</t>
    </r>
    <r>
      <rPr>
        <sz val="10"/>
        <color theme="1"/>
        <rFont val="Lato"/>
        <family val="2"/>
      </rPr>
      <t xml:space="preserve">
No se realizarán ajustes en las transacciones menores a $50.000. El doble abono se dejará a favor del asociado, y la cooperativa asumirá el costo. Esto reduce el problema a aproximadamente 11 asociados. En total se asume el error de 13 asociados por un total de $156.118.</t>
    </r>
  </si>
  <si>
    <r>
      <rPr>
        <b/>
        <sz val="10"/>
        <color theme="1"/>
        <rFont val="Lato"/>
        <family val="2"/>
      </rPr>
      <t>Ejecución de las Llamadas</t>
    </r>
    <r>
      <rPr>
        <sz val="10"/>
        <color theme="1"/>
        <rFont val="Lato"/>
        <family val="2"/>
      </rPr>
      <t xml:space="preserve">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t>
    </r>
  </si>
  <si>
    <r>
      <rPr>
        <b/>
        <sz val="10"/>
        <color theme="1"/>
        <rFont val="Lato"/>
        <family val="2"/>
      </rPr>
      <t>Transacciones Mayores a $50.000</t>
    </r>
    <r>
      <rPr>
        <sz val="10"/>
        <color theme="1"/>
        <rFont val="Lato"/>
        <family val="2"/>
      </rPr>
      <t xml:space="preserve">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t>
    </r>
  </si>
  <si>
    <t>Revisar y ajustar modelo</t>
  </si>
  <si>
    <t>Comunicar los cambios del ajuste</t>
  </si>
  <si>
    <t>Analista de Operaciones</t>
  </si>
  <si>
    <t>Una vez se identificó el error,  se procedió a reversar las operaciones correspondientes</t>
  </si>
  <si>
    <t>Johan Cruz</t>
  </si>
  <si>
    <t xml:space="preserve">Organizar y automatizar una plantilla de pagos para reducir el error manual. </t>
  </si>
  <si>
    <t>Johan Cruz
Diana Fonseca</t>
  </si>
  <si>
    <t>Johan Cruz
Andrés Forero</t>
  </si>
  <si>
    <t xml:space="preserve">Tramitar el endoso de la póliza con prioridad. </t>
  </si>
  <si>
    <t>Analista de Operaciones
Jefe Jurídico</t>
  </si>
  <si>
    <t>Johana Cortés
Johan Cruz</t>
  </si>
  <si>
    <t>Monitoreo abierto hasta agosto de 2024
Se cierre en agosto, porque no se reportaron más fallas al respecto</t>
  </si>
  <si>
    <t>Los ajuste de pagos dobles de tc se ejecutaron y se ajustaron de acuerdo a las instrucciones que se dio por parte de gerencia , sas realizo gestión con los asociados que respondieron y el resto se ejecuto de igual manera el pago doble a 60 cuotas por compra de cartera. (RE: Estado de Eventos de Riesgos a corte de agosto 2024) -Rta Johan Cruz</t>
  </si>
  <si>
    <t>Pago doble de TC por error del sistema</t>
  </si>
  <si>
    <t>Johan Santiago Cruz</t>
  </si>
  <si>
    <t>analista.operativo2@febor.coop</t>
  </si>
  <si>
    <t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t>
  </si>
  <si>
    <t>JOHANA PAOLA CORTES GOMEZ</t>
  </si>
  <si>
    <t>415 - Ventas / Colocaciones Agresivas</t>
  </si>
  <si>
    <t>Falla en renovación automática de CDATs</t>
  </si>
  <si>
    <t>Fallas en la renovación del servicio funerario Coorserpark</t>
  </si>
  <si>
    <t>Inconformidad de asociados que reciben publicidad por mensajes de texto</t>
  </si>
  <si>
    <t>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t>
  </si>
  <si>
    <t>Johan Cruz
Fabián Jordán</t>
  </si>
  <si>
    <t>Revisar con los proveedores de los sistemas el origen de la falla, ¿porqué ejecutó doble pago? y plantear algún método para restringir la salida de pagos dobles.</t>
  </si>
  <si>
    <t>Se registró la incidencia el 06 de septiembre de 2024 y se solicitó respuesta inmediata al proveedor del sistema WOG. (N64672)</t>
  </si>
  <si>
    <t>Identificar y reportar el error</t>
  </si>
  <si>
    <t>Analista de Operaciones
Jefe de Control Interno y Calidad</t>
  </si>
  <si>
    <t>Johan Cruz
Diana Forero</t>
  </si>
  <si>
    <t>Comunicación: Informar a los asociados afectados, garantizando que sus intereses no han sido perjudicados, y se les brindará una explicación clara sobre la situación</t>
  </si>
  <si>
    <t>El sistema no permite realizar el cambio de fecha de la renovación, sin embargo se determinó que si el asociado desea retirar su CDAT en la fecha inicialmente pactada, lo podrá hacer con el reconocimiento normal de sus intereses.</t>
  </si>
  <si>
    <t>Para el caso de la asociada relacionada en la queja, se le reconoció la totalidad de los intereses, en compensación de la falla presentada.
A los demás asociados también se les realizó el pago de los intereses</t>
  </si>
  <si>
    <t>Corrección de la fecha de renovación</t>
  </si>
  <si>
    <t>Corrección manual de renovaciones de CDAT</t>
  </si>
  <si>
    <t>Una vez se evidenció el error, se procedió a realizar las renovaciones de forma manual en el sistema</t>
  </si>
  <si>
    <t>Revisión de Procedimientos</t>
  </si>
  <si>
    <t>Seguimiento a la Solución: Se llevará a cabo un seguimiento constante a la resolución de la incidencia por parte del proveedor.</t>
  </si>
  <si>
    <t>Seguimiento a la incidencia N64672</t>
  </si>
  <si>
    <t>Se consideraron acciones para mitigar el impacto negativo en el asociado afectado, como la reactivación inmediata del servicio funerario con una tarifa especial, junto con una disculpa formal por parte del mismo gerente.</t>
  </si>
  <si>
    <t>Johana Cortés
Juan Pablo Vélez</t>
  </si>
  <si>
    <t>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t>
  </si>
  <si>
    <t>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t>
  </si>
  <si>
    <t>Designar un funcionario que monitoree los vencimientos diarios de los CDATs y su respectiva verificación del estado de renovación.</t>
  </si>
  <si>
    <t>Reconocer el pago de intereses a los asociados afectados</t>
  </si>
  <si>
    <t>JOHAN SANTIAGO CRUZ MARTIN</t>
  </si>
  <si>
    <t>Liquidación anticipada de ahorros programados por error del sistema</t>
  </si>
  <si>
    <t>El día 1/11/2024 se bloqueo las transacciones entre asociados de manera inmediata cuando fue reportado el caso desde el área de operaciones, así mismo se izo bloqueos de tarjeta débito.</t>
  </si>
  <si>
    <t>Equipo Directivo</t>
  </si>
  <si>
    <t>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t>
  </si>
  <si>
    <t>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t>
  </si>
  <si>
    <t>Investigar el caso</t>
  </si>
  <si>
    <t>Realizar pruebas de seguridad de la Cooperativa Digital  respecto de la creación de usuarios</t>
  </si>
  <si>
    <t>Anexo libro movimientos de ahorros</t>
  </si>
  <si>
    <t>Se implementó el bloqueo de transacciones entre asociados y hacia terceros, estableciendo como alternativa que las operaciones sean solicitadas a través del correo ahorros@febor.coop. Se está manejando una comunicación segmentada de esta directriz para los asociados. Sólo podrán hacer pagos sobre sus propios productos.</t>
  </si>
  <si>
    <t>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t>
  </si>
  <si>
    <t>Bloquear cuentas de Banco Finandina</t>
  </si>
  <si>
    <t>Dado que una de las cuentas utilizadas para la salida de fondos corresponde al Banco Finandina y ante la sospecha de fraude, se tomó la decisión de bloquear temporalmente dichas cuentas para evitar cualquier operación hacia ese banco.</t>
  </si>
  <si>
    <t>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t>
  </si>
  <si>
    <t>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
Asimismo, se establece que el único autorizado para suspender la operación es el gerente, quien tomará esta decisión solo después de haber sido informado detalladamente sobre la situación presentada. (informado comité de gerencia 13-09-2024).</t>
  </si>
  <si>
    <t>Mediante llamada telefónica se dio la información relacionada con</t>
  </si>
  <si>
    <t>El área de operaciones realizó la corrección</t>
  </si>
  <si>
    <t>Reactivar el servicio de inmediato y priorizar la atención y los trámites respectivos</t>
  </si>
  <si>
    <t>Identificar asociados pensionados con estado “empleados"</t>
  </si>
  <si>
    <t>Se identificaron 203 casos, se procedió a modificar el estado de empleado a pensionado</t>
  </si>
  <si>
    <t>Para los casos que se detecten. Solicitar inclusión en el plan que Febor tiene de cortesía para asociados que no tienen esta póliza. (queda todo su grupo familiar primario: Padres, hermanos, conyugue e hijos)</t>
  </si>
  <si>
    <t>17/10/2024 15:19:21: Actualizado
08/11/2024 16:30:35: Actualización con la información del comité de gerencia a cierre de septiembre</t>
  </si>
  <si>
    <t>Shirley Peña Flores</t>
  </si>
  <si>
    <t>coordinador.gestionsocial@febor.coop</t>
  </si>
  <si>
    <t>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con el fin de obtener mayores evidencias y confirmar la sospecha.</t>
  </si>
  <si>
    <t>Revisar videos de seguridad en cajeros</t>
  </si>
  <si>
    <t>Analista de Operaciones
Gerencia</t>
  </si>
  <si>
    <t>Johan Cruz
Juan Pablo Vélez</t>
  </si>
  <si>
    <t>08/11/2024 15:44:56: Creación
10/11/2024 15:32:09: Actualización</t>
  </si>
  <si>
    <t>Fallas en recepción y tramitación de auxilios</t>
  </si>
  <si>
    <t>Actuaciones legales, investigación y judicialización</t>
  </si>
  <si>
    <t>Jefe Comunicaciones</t>
  </si>
  <si>
    <t>Se responde de manera oportuna y formal a las quejas recibidas a través de los canales oficiales, ofreciendo disculpas y explicando las medidas correctivas adoptadas para evitar la repetición del error.</t>
  </si>
  <si>
    <t>Atención a las quejas presentadas</t>
  </si>
  <si>
    <t>Bloquear inmediatamente las transacciones entre asociado, a terceros y operaciones con tarjeta débito de los asociados involucrados.</t>
  </si>
  <si>
    <t>Capacitación del Personal: Realizar sesiones de retroalimentación y capacitación a los asesores de servicio al asociado sobre el proceso formal de recepción y canalización de documentos para solicitudes de auxilios, con el fin de evitar futuras omisiones.</t>
  </si>
  <si>
    <t>Radicación Preventiva de Documentos: En caso de recibir solicitudes de auxilios por canales no oficiales, el funcionario deberá orientar al asociado sobre el proceso correcto de radicación; sin embargo, procederá a registrar la solicitud en el sistema oficial de inmediato, garantizando así que el proceso no se vea interrumpido ni afectado.</t>
  </si>
  <si>
    <t>Presentar nuevamente los auxilios para formalizar su aprobación mediante el comité de solidaridad y educación.</t>
  </si>
  <si>
    <t>Coordinación de Gestión Social</t>
  </si>
  <si>
    <t>Shirley Peña</t>
  </si>
  <si>
    <t>Johana Cortés
Diana Forero</t>
  </si>
  <si>
    <t>Jefe Jurídico
Jefe de Comunicaciones</t>
  </si>
  <si>
    <t>Retornar el dinero a los asociados victimas del fraude</t>
  </si>
  <si>
    <t>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t>
  </si>
  <si>
    <t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t>
  </si>
  <si>
    <t>02/07/2024 16:53:40: Registro
15/07/2024 10:32:16: .</t>
  </si>
  <si>
    <t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t>
  </si>
  <si>
    <t>20/08/2024 13:59:12: Registrado
10/09/2024 16:09:58: Creado
14/09/2024 23:22:20: Actualizado
18/09/2024 08:53:39: Acrualizado</t>
  </si>
  <si>
    <t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t>
  </si>
  <si>
    <t>18/09/2024 10:02:45: Creación
17/10/2024 12:34:31: .
17/10/2024 16:58:51: Actualizado
18/10/2024 13:14:29: Actualizado</t>
  </si>
  <si>
    <t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t>
  </si>
  <si>
    <t>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t>
  </si>
  <si>
    <t>Queja de asociado por demora en trámites</t>
  </si>
  <si>
    <t>Suspensión de la operación de crédito</t>
  </si>
  <si>
    <t>Hurtos mediante la triangulación de operaciones en cuentas de asociados</t>
  </si>
  <si>
    <t>Suministro de información inexacta e incoherente a los asociados</t>
  </si>
  <si>
    <t xml:space="preserve">CasoEl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realizadas.Trazabilidad del caso1.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corrección.4. El 12 de noviembre del 2024 a las 15:18 el área de operaciones nuevamente reenvía el estado de cuenta con la actualización de la modificación del plazo, con el cual se refleja una disminución de la cuota ordinaria mensual y de la cuota extra semestral.5.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término.'7. Revisada la nueva documentación el 14 de noviembre del 2024, se evidencian las siguientes variaciones y diferencias respecto de lo comunicado inicialmente al asociado:
CausaEl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cooperativa.Acciones· Se revisó y ajustó la configuración inicial en el sistema, realizando el reproceso necesario para corregir las inconsistencias identificadas. (Analista de Operaciones - Johan Cruz)· Se emitió una nueva comunicación al asociado para informarle sobre el plan de pagos que finalmente quedó para su crédito. (Analista de Operaciones - Johan Cruz) · El 26 de noviembre de 2024 a las 5:00 p.m., se realizó una llamada telefónica al señor Nelson Riaño para aclarar dudas e inquietudes relacionadas con el proceso. Durante la conversación, el asociado expresó estar conforme con las modificaciones realizadas a sus créditos. (Registro realizado por la Directora de Riesgos). Aquí nuevamente se reiteró las cuotas ordinarias y extras.
</t>
  </si>
  <si>
    <t>El 26 de noviembre de 2024 a las 5:00 p.m., se realizó una llamada telefónica al señor Nelson Riaño para aclarar dudas e inquietudes relacionadas con el proceso. Durante la conversación, el asociado expresó estar conforme con las modificaciones realizadas a sus créditos. (Registro realizado por la Directora de Riesgos). Aquí nuevamente se reiteró las cuotas ordinarias y extras.</t>
  </si>
  <si>
    <t>Correo RV: Planes de pago - Febor 15-11-2024 9:36 am</t>
  </si>
  <si>
    <t>Refuerzo de Seguridad</t>
  </si>
  <si>
    <t xml:space="preserve">Revisión detallada del comportamiento transaccional </t>
  </si>
  <si>
    <t>Acelerar el proceso de demanda</t>
  </si>
  <si>
    <t xml:space="preserve">
06/02/2023 09:33:41: Revisar Plan de Acción o Contingencia con la Dirección de TI
06/02/2023 09:34:06: Pasa a lista aprobado</t>
  </si>
  <si>
    <t xml:space="preserve">
10/01/2024 12:02:45: Aprobada la creación</t>
  </si>
  <si>
    <t xml:space="preserve">
01/10/2024 15:36:36: Recibido
17/10/2024 19:49:57: Actualización</t>
  </si>
  <si>
    <t xml:space="preserve">
29/11/2024 17:35:05: Registrado
08/12/2024 09:39:01: Actualizada. Cerrada</t>
  </si>
  <si>
    <t>Fabian Jordán
Diana Fonseca</t>
  </si>
  <si>
    <t>RGOP049</t>
  </si>
  <si>
    <t>RGSO010</t>
  </si>
  <si>
    <t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t>
  </si>
  <si>
    <t>null
17/10/2024 17:12:33: Actualizado</t>
  </si>
  <si>
    <t>RCOM015</t>
  </si>
  <si>
    <t>RSAS040</t>
  </si>
  <si>
    <t>RGOP040</t>
  </si>
  <si>
    <t>RGOP050</t>
  </si>
  <si>
    <t>RGOP051</t>
  </si>
  <si>
    <t>RGOP052</t>
  </si>
  <si>
    <t>RTI036</t>
  </si>
  <si>
    <t>RSAS034</t>
  </si>
  <si>
    <t>RTI022</t>
  </si>
  <si>
    <t>RCA005</t>
  </si>
  <si>
    <t>Se hace cada vez que llega la solicitud por otros canales</t>
  </si>
  <si>
    <t>Coordinación y socialización: Realizar una socialización formal con todas las áreas involucradas en el envío de comunicaciones, como mensajes de texto y correos electrónicos, para asegurar el cumplimiento de la Ley dejen de Fregar.</t>
  </si>
  <si>
    <t xml:space="preserve">En la dispersión inicial de la Base Social, se comunica la adición de esta información y loas recomendaciones pertinentes.
</t>
  </si>
  <si>
    <t>Se cierra esta tarea, teniendo en cienta que este reintegro no se va a ejecutar hasta tanto los asociados no presenten la demanda formal, los cuales ya fueron notificados del proceso a seguir.</t>
  </si>
  <si>
    <t>Automatización de Notificaciones: Configurar de recordatorios automáticos al  momento de recibir solicitudes por canales diferentes al oficial, sin embargo, se atenderá la solicitud para garantizar que el asociado o pierda el beneficio</t>
  </si>
  <si>
    <t>manejo interno del área de gestión social</t>
  </si>
  <si>
    <t>Caso: Nomina electrónica no reportada a la DIANEl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DIAN.Causas:· Saturación de actividades adicionales durante el mes de diciembre · Desconcentración del funcionarioImpactoRiesgo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sanciones.Acciones Correctivas:Citación a descargos de la funcionaria implicada, con el fin de esclarecer los hechos y aplicar las medidas disciplinarias correspondientes según el Reglamento Interno.(Gerencia y Jefe Jurídica)Reubicación física del puesto de trabajo para mejorar las condiciones de concentración y eficiencia.(Gerencia). Preventivas:Implementación de alertas internas y automatización de recordatorios para los plazos de reporte ante la DIAN. (Jefe Talento Humano)Asignación de la validación del envío correcto del reporte a la DIAN al área contable, por contar con credenciales y acceso a la plataforma tributaria. (Dirección Administrativa y Contabilidad)</t>
  </si>
  <si>
    <t>02/12/2024 14:51:46: Creación
08/12/2024 10:30:35: Actualizada
08/12/2024 10:54:44: .
08/12/2024 11:00:44: .
10/02/2025 13:51:11: Actualizado
10/02/2025 13:58:28: .
10/02/2025 17:04:30: .
11/02/2025 00:03:32: .
25/02/2025 10:46:05: Actualizada.
25/02/2025 14:06:13: .
01/04/2025 15:14:06: Actualización</t>
  </si>
  <si>
    <t>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t>
  </si>
  <si>
    <t>10/02/2025 14:38:44: Creado
10/02/2025 17:04:06: .
25/02/2025 10:31:57: Actualizado
25/02/2025 14:06:53: .
01/04/2025 16:20:35: Actualización</t>
  </si>
  <si>
    <t>CasoEl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digitales.Causas:Las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errada.Impacto:Operativos: Interrupción del servicio de transferencias, afectación de procesos internos de atención y aumento en la carga operativa.Reputacionales: Afectación en la confianza de los asociados frente a los canales digitales, derivando en quejas y percepción negativa del servicio.AccionesCorrectivasComunicación con los asociados, atención permanente de las situaciones particulares (Directora SAS) Plan de Continuidad para reactivación de servicios. Coordinación prioritaria con el proveedor para garantizar la continuidad y estabilidad del servicio. (Director TI Jefe de operaciones )Preventivas Fortalecimiento de los mecanismos de comunicación interna entre las áreas técnicas y de servicio, especialmente en escenarios de cambios tecnológicos, funcionamientos del sistema o aspectos técnicos que requieran mayor claridad para los asociados.( Directora de SAS Director TI )</t>
  </si>
  <si>
    <t>25/02/2025 12:48:11: Creada
25/02/2025 14:23:58: Creada
01/04/2025 13:41:20: Actualizada.
01/04/2025 16:31:02: Actualización</t>
  </si>
  <si>
    <t xml:space="preserve">CasoEl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cambio.AccionesCorrectivasComunicación con los asociados, informando sobre la actualización de la aplicación y proporcionando instrucciones para la migración a la nueva App. Envío 2.979 asociados.(Dirección de SAS)Plan de Continuidad para reactivación de servicios y revisión de la puesta en marcha de la nueva App. Director TI - Jefe de operaciones)Establecimiento de un protocolo de comunicación interno adecuado para el manejo de estos procesos críticos asegurando que cualquier cambio tecnológico sea informado oportunamente al equipo comercial y demás áreas involucradas.(Director TI)PreventivasActivación de un plan de divulgación oportuna y precisa para asociados. (Dirección de SAS - Jefe de Comunicaciones)
</t>
  </si>
  <si>
    <t>26/02/2025 00:46:42: Creada
01/04/2025 14:08:08: Actualizado</t>
  </si>
  <si>
    <t>CasoEl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decimalesCausaError humano en la digitación del monto, ya que se ingresó en un formato incorrecto al permitido en la plataforma AvalPayCenter.ImpactoImpacto financiero: Se generó un pago por un valor mucho mayor al debido, lo que pudo afectar la liquidez inmediata para generar otros pagos por parte de la Cooperativa.Impacto operativo: Fue necesario gestionar la reversión del pago con la entidad bancaria, lo que implicó trámites adicionales y posibles demoras en la corrección del saldo y reembolso del dinero.AccionesReporte inmediato al área de tesorería para solicitar apoyo sobre la reversión requerida.(Directora de Riesgos)Se contactó inmediatamente al Banco Occidente para solicitar la reversión del pago. Asimismo al Banco Coopcentral para intentar interrumpir la operación realizada. (Tesorería - Dir Riesgos)Acciones PreventivasRevisión interna del procedimiento para identificar mejoras que eviten errores similares en futuras transacciones. Como parte de las propuestas, se plantea la estandarización del desembolso en valores enteros, reduciendo la necesidad de ingreso manual de decimales. (Directora Riesgos - Tesorería)Explorar y evaluar otras alternativas de pagos o giros seguros para los asociados. (tesorería)</t>
  </si>
  <si>
    <t>04/03/2025 11:43:09: Creada
07/03/2025 17:12:06: Actualizado
01/04/2025 16:54:33: Actualización</t>
  </si>
  <si>
    <t>Comité de Gerencia</t>
  </si>
  <si>
    <t>Jefe de Control Interno</t>
  </si>
  <si>
    <t>Nataly Malagón
Johana Cortes</t>
  </si>
  <si>
    <t>Citación a descargos de la funcionaria implicada, con el fin de esclarecer los hechos y aplicar las medidas disciplinarias correspondientes según el Reglamento Interno.</t>
  </si>
  <si>
    <t>Reubicación física del puesto de trabajo para mejorar las condiciones de concentración y eficiencia.</t>
  </si>
  <si>
    <t>Implementación de alertas internas y automatización de recordatorios para los plazos de reporte ante la DIAN.</t>
  </si>
  <si>
    <t>Asignación de la validación del envío correcto del reporte a la DIAN al área contable, por contar con credenciales y acceso a la plataforma tributaria.</t>
  </si>
  <si>
    <t>Gerencia
Jefe Jurídico</t>
  </si>
  <si>
    <t>Jefe de Talento Humano</t>
  </si>
  <si>
    <t>Jose Nelson Figueroa</t>
  </si>
  <si>
    <t>Corrección del error y comunicación directa con el funcionario afectado sobre el ajuste del valor pagado a Confiar.</t>
  </si>
  <si>
    <t>Ajuste de la operación para restablecer el valor correspondiente.</t>
  </si>
  <si>
    <t>Citación a descargos de la funcionaria implicada para esclarecer los hechos y aplicar las medidas disciplinarias correspondientes.</t>
  </si>
  <si>
    <t>Reubicación física del puesto de trabajo para favorecer la concentración y disminuir fuentes de distracción.</t>
  </si>
  <si>
    <t>Revisión y monitoreo de las herramientas utilizada para liquidar nómina, en especial cuando hay intervención manual de archivos de Excel.</t>
  </si>
  <si>
    <t>Implementación de un esquema de doble validación de pagos a terceros en conjunto con el área contable.</t>
  </si>
  <si>
    <t>Jefe Talento Humano
Auxiliares Contables</t>
  </si>
  <si>
    <t>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t>
  </si>
  <si>
    <t>Comunicación con los asociados, atención permanente de las situaciones particulares</t>
  </si>
  <si>
    <t xml:space="preserve">Plan de Continuidad para reactivación de servicios. Coordinación prioritaria con el proveedor para garantizar la continuidad y estabilidad del servicio. </t>
  </si>
  <si>
    <t>Fortalecimiento de los mecanismos de comunicación interna entre las áreas técnicas y de servicio, especialmente en escenarios de cambios tecnológicos, funcionamientos del sistema o aspectos técnicos que requieran mayor claridad para los asociados.</t>
  </si>
  <si>
    <t>Johana Cortes</t>
  </si>
  <si>
    <t>Fabian Jordán
Nataly Malagón</t>
  </si>
  <si>
    <t>Johana Cortes
Fabian Jordán</t>
  </si>
  <si>
    <t>Ok Directriz en 
Comité Gerencia
10 de marzo de 2025</t>
  </si>
  <si>
    <t>Comunicación con los asociados, informando sobre la actualización de la aplicación y proporcionando instrucciones para la migración a la nueva App. Envío 2.979 asociados.</t>
  </si>
  <si>
    <t>Plan de Continuidad para reactivación de servicios y revisión de la puesta en marcha de la nueva App.</t>
  </si>
  <si>
    <t>Establecimiento de un protocolo de comunicación interno adecuado para el manejo de estos procesos críticos asegurando que cualquier cambio tecnológico sea informado oportunamente al equipo comercial y demás áreas involucradas.</t>
  </si>
  <si>
    <t xml:space="preserve">Activación de un plan de divulgación oportuna y precisa para asociados. </t>
  </si>
  <si>
    <t>Reporte inmediato al área de tesorería para solicitar apoyo sobre la reversión requerida.</t>
  </si>
  <si>
    <t xml:space="preserve">Se contactó inmediatamente al Banco Occidente para solicitar la reversión del pago. Asimismo, al Banco Coopcentral para intentar interrumpir la operación realizada. </t>
  </si>
  <si>
    <t>Aceptación del reverso por parte de las entidades y devolución del dinero.</t>
  </si>
  <si>
    <t xml:space="preserve">Revisión interna del procedimiento para identificar mejoras que eviten errores similares en futuras transacciones. Como parte de las propuestas, se plantea la estandarización del desembolso en valores enteros, reduciendo la necesidad de ingreso manual de decimales. </t>
  </si>
  <si>
    <t>Explorar y evaluar otras alternativas de pagos o giros seguros para los asociados.</t>
  </si>
  <si>
    <t>Entidades Bancarias</t>
  </si>
  <si>
    <t>Actividad permanente, por lo pronto se ha revisado la alternativa de realizar giros bancarios para que los asociados puedan dirigirse a zonas mas cercanas a su residencia</t>
  </si>
  <si>
    <t>Indisponibilidad de canales digitales</t>
  </si>
  <si>
    <t>12 - Hurto y Fraude</t>
  </si>
  <si>
    <t>RIESGOS</t>
  </si>
  <si>
    <t>TAREAS</t>
  </si>
  <si>
    <t>Diseño y emisión de comunicaciones correctivas dirigidas a los asociados que fueron incluidos de manera errónea en mensajes previos, con el fin de rectificar la información suministrada.</t>
  </si>
  <si>
    <t>Las áreas responsables de la difusión de mensajes deben contar con un esquema de roles diferenciados, que separe al ejecutor del mensaje del responsable de su aprobación. Ningún mensaje deberá ser emitido sin la validación previa del jefe del área correspondiente.</t>
  </si>
  <si>
    <t>Participación del área de Control Interno y Calidad en auditorías aleatorias, con el propósito de fortalecer el proceso de envío de mensajes, tanto en lo relacionado con la precisión del contenido como en la metodología utilizada para filtrar y cruzar la información.</t>
  </si>
  <si>
    <t>Esta directriz fue acordada en el Comité de Gerencia del 26 de marzo de 2025.</t>
  </si>
  <si>
    <t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dispersión.Se actualizó del presente origen: https://feborentidad-my.sharepoint.com/personal/operaciones_febor_coop/Documents/Documentos/Informaciòn D/Operaciones/Nominas/2025/Marzo/[Descuento Febor 2025-03-25-15-29-29.xlsxCausasLas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sensible.ImpactosLos impactos detectados son:Reputacional: Pérdida de confianza institucional entre los asociados y miembros del Consejo de Administración, al recibir información errónea sobre sus productos financieros.Operativo: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gravedad.AccionesCorrectivasDiseño y envío de mensajes correctivos a los 351 asociados con valores errados y a los 1.932 con alerta de devolución sin valor correspondiente.(Comité de gerencia)PreventivasDirectriz acordada en el Comité de Gerencia del 26 de marzo de 2025.Las áreas responsables de la difusión de mensajes deben contar con un esquema de roles diferenciados, que separe al ejecutor del mensaje del responsable de su aprobación. Ningún mensaje deberá ser emitido sin la validación previa del jefe del área correspondiente.Participación del área de Control Interno y Calidad en auditorías aleatorias, con el propósito de fortalecer el proceso de envío de mensajes, tanto en lo relacionado con la precisión del contenido como en la metodología utilizada para filtrar y cruzar la información.
</t>
  </si>
  <si>
    <t>01/04/2025 21:57:16: Creado
06/05/2025 16:34:22: Actualizada</t>
  </si>
  <si>
    <t>Nómina electrónica no reportada</t>
  </si>
  <si>
    <t>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t>
  </si>
  <si>
    <t>Falla en operaciones electrónicas originadas por el proveedor</t>
  </si>
  <si>
    <t>Error en aplicación de nómina Colpensiones</t>
  </si>
  <si>
    <t>Suplantación y fraude a asociados</t>
  </si>
  <si>
    <t>Error en débitos automáticos</t>
  </si>
  <si>
    <t>Errores por actualizaciones en Wog</t>
  </si>
  <si>
    <t>Manejo de datos personales</t>
  </si>
  <si>
    <t>Descuadre en caja</t>
  </si>
  <si>
    <t>Indisponibilidad Core Financiero Wog</t>
  </si>
  <si>
    <t>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t>
  </si>
  <si>
    <t>17/07/2025 19:27:04: Creado
01/08/2025 16:29:30: Actualizado</t>
  </si>
  <si>
    <t>CasoDurante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pago.Atención a asociadosDesde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cobro.Soporte para ajustes en el sistemaUna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#66041.Gestión de recaudoDesde el área de Operaciones se gestionó el recaudo de las cuotas del producto DAES, logrando normalizar la situación de 452 asociados de un total de 723. Del total restante, 56 se encuentran pendientes de ajuste técnico y 215 asociados presentan cuotas aún por pagar.CausasPresuntas fallas derivadas de las actualizaciones en el Core Financiero WOG, las cuales impidieron la correcta apertura de cuotas del producto DAES en múltiples cuentas, afectando los ciclos normales de recaudo.Ausencia de revisión y validación técnica posterior a los procesos de actualización, lo que permitió que las inconsistencias no fueran identificadas ni corregidas oportunamente pese a que ya se habían presentado unos meses atrás.ImpactoAumento de la mora en DAES por no lograr el recaudo efectivo.Afectación en la imagen por la percepción de desorganización en el manejo de los descuentos.Incremento en la carga operativa para la gestión y seguimiento de estos casosAccioneCorrectivasAtención a los asociados inconformesSoporte técnico para ajuste del sistemaGestión de recaudo y programación de cuotas morosas para quienes no sea posible efectuar el recaudo.PreventivasIncorporar la validación cruzada para detectar inconstancias técnicas por lo menos 1 vez al mes                                                ci</t>
  </si>
  <si>
    <t>Apertura de cuota DAES</t>
  </si>
  <si>
    <t>null
04/08/2025 09:46:13: Aprobado para gestión
04/08/2025 09:46:30: Aprobado para gestión
04/08/2025 13:45:57: Actualizado
04/08/2025 13:50:27: Actualización</t>
  </si>
  <si>
    <t>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t>
  </si>
  <si>
    <t>04/08/2025 14:45:53: Actualización</t>
  </si>
  <si>
    <t>75 - Contrapartes Comerciales</t>
  </si>
  <si>
    <t>Confirmación de que todos los giros fueron realizados a cuentas de asociados activos, sin afectación a terceros.</t>
  </si>
  <si>
    <t>Tesorería
Jefe Operaciones</t>
  </si>
  <si>
    <t>Guiovanna Escobar</t>
  </si>
  <si>
    <t>Diana Fonseca
Guiovanna Escobar</t>
  </si>
  <si>
    <t>Verificación que fueran asociados de las cuentas destino, en esta ocasión fueron: Davivienda, Scotiabank y Occidente.</t>
  </si>
  <si>
    <t>Contacto inmediato con los asociados a través de llamadas y por WhatsApp para gestionar la recuperación de recursos.</t>
  </si>
  <si>
    <t>Seguimiento y recuperación de recursos: Asegurar el reintegro total de los valores girados en exceso a los asociados del lote duplicado.</t>
  </si>
  <si>
    <t>Registro de la trazabilidad, apoyo y refuerzo por parte de servicio al Asociado para el contacto con los asociados</t>
  </si>
  <si>
    <t>Evaluación y determinación de procesos disciplinarios</t>
  </si>
  <si>
    <t>Notificación inmediata cuando se detecten fallas en el sistema durante el proceso de cargue de lotes, con el fin de alertar a los usuarios aprobadores y activar una atención especial antes de efectuar cualquier giro.</t>
  </si>
  <si>
    <t>Bloqueo de lotes errados. Ante la identificación de un lote cargado más de una vez en el sistema, se deberá proceder con el bloqueo inmediato de los registros duplicados en la plataforma de Coopcentral, con el fin de prevenir su eventual aprobación.</t>
  </si>
  <si>
    <t>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t>
  </si>
  <si>
    <t>Guiovanna Escobar
Jose Nelson Figueroa</t>
  </si>
  <si>
    <t>Jefe Jurídico
Gerencia</t>
  </si>
  <si>
    <t>Andrés Camilo Forero</t>
  </si>
  <si>
    <t>Guiovanna Escobar
Nataly Malagón</t>
  </si>
  <si>
    <t>Usuarios aprobadores de giros</t>
  </si>
  <si>
    <t>Jose Nelson Figueroa
Diana Maribel Fonseca</t>
  </si>
  <si>
    <t>Debe ser una actividad permanente</t>
  </si>
  <si>
    <t>Realizar un análisis estadístico del historial de transacciones, con el propósito de identificar los niveles diarios de aprobación habituales y determinar si es pertinente establecer límites o topes operativos.</t>
  </si>
  <si>
    <t>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t>
  </si>
  <si>
    <t>Diana Christina Forero</t>
  </si>
  <si>
    <t xml:space="preserve">Atención a los asociados inconformes </t>
  </si>
  <si>
    <t>Soporte técnico para ajuste del sistema</t>
  </si>
  <si>
    <t>Gestión de recaudo y programación de cuotas morosas para quienes no sea posible efectuar el recaudo.</t>
  </si>
  <si>
    <t>Gestión de recuperación, como parte de las acciones de cobranza</t>
  </si>
  <si>
    <t xml:space="preserve">Incorporar la validación cruzada para detectar inconstancias técnicas por lo menos 1 vez al mes </t>
  </si>
  <si>
    <t>Analista de Operaciones
Jefe Operaciones</t>
  </si>
  <si>
    <t>Wog
Jefe Operaciones</t>
  </si>
  <si>
    <t>Analistas Operaciones
Jefe Operaciones</t>
  </si>
  <si>
    <t>Bloqueo temporal preventivo de usuarios del Multiportal</t>
  </si>
  <si>
    <t>Bloqueo individual de 25 asociados identificados</t>
  </si>
  <si>
    <t>Publicación temporal den banner informando inhabilidad temporal del Multiportal</t>
  </si>
  <si>
    <t>Solicitud de registros fílmicos a Coopcentral</t>
  </si>
  <si>
    <t>Análisis de registros de enrolamiento desde abril de 2025</t>
  </si>
  <si>
    <t>Desactivación de la App para nuevos enrolamientos</t>
  </si>
  <si>
    <t>Contacto telefónico con asociados para validar retiros y enrolamientos recientes</t>
  </si>
  <si>
    <t>Revisión del patrón geográfico de los retiros</t>
  </si>
  <si>
    <t>Gestión de incidente con Coopcentral – Evaluación del caso con el proveedor</t>
  </si>
  <si>
    <t>Reducción del tope diario de retiro sin tarjeta</t>
  </si>
  <si>
    <t>Revisión de correos electrónicos utilizados en enrolamientos</t>
  </si>
  <si>
    <t>Informe técnico y formal desde Visionamos el cual fue compromiso en la reunión del 22 de julio de 2025</t>
  </si>
  <si>
    <t xml:space="preserve">Jefe de Operaciones </t>
  </si>
  <si>
    <t>Johana Cortés
Diana Forero
Diana Fonseca</t>
  </si>
  <si>
    <t>Se revisó actualizaciones de datos, no son recientes. Los correos son exactos a los de la Base Social</t>
  </si>
  <si>
    <t>Giros de lotes duplicados</t>
  </si>
  <si>
    <t>Fraude en retiros sin tarjeta</t>
  </si>
  <si>
    <t>Falla en apertura de cuota CDAT</t>
  </si>
  <si>
    <t>Director (a) SAS</t>
  </si>
  <si>
    <t>Director (a) Financiero y Administrativos</t>
  </si>
  <si>
    <t>Experian
Director (a) SAS
Jefe de Operaciones</t>
  </si>
  <si>
    <t>Director (a) Servicio al Asociado</t>
  </si>
  <si>
    <t>Director (a) de SAS
Jefe de Comunicaciones</t>
  </si>
  <si>
    <t>Director (a) de Riesgos</t>
  </si>
  <si>
    <t>Director (a) de Riesgos
Tesorería</t>
  </si>
  <si>
    <t>Jefe de Operaciones
Director (a) SAS</t>
  </si>
  <si>
    <t>Servicio al Asociado
Control Interno
Director (a) de Riesgos</t>
  </si>
  <si>
    <t>Director (a) Informática</t>
  </si>
  <si>
    <t>Jefe de Operaciones
Director (a) de Riesgos</t>
  </si>
  <si>
    <t>Director (a) TI</t>
  </si>
  <si>
    <t>Director (a) SAS
Jefe de Operaciones</t>
  </si>
  <si>
    <t>Director (a) Riesgos</t>
  </si>
  <si>
    <t>Analista de Operaciones
Director (a) de Riesgos</t>
  </si>
  <si>
    <t>Director (a) SAS
Analista de Operaciones</t>
  </si>
  <si>
    <t>Analista de Operaciones
Director (a) de TI</t>
  </si>
  <si>
    <t>Director (a) SAS
Gerente</t>
  </si>
  <si>
    <t>Director (a) SAS
Jefe de Control Interno y Calidad</t>
  </si>
  <si>
    <t>Director (a) SAS
Jefe de Comunicaciones</t>
  </si>
  <si>
    <t>Director (a) TI
Jefe de Comunicaciones</t>
  </si>
  <si>
    <t>Director (a) TI
Jefe de operaciones</t>
  </si>
  <si>
    <t>Tesorería
Director (a) Financiero y Administrativo</t>
  </si>
  <si>
    <t>Jefe de Operaciones
Banco Coopcentral</t>
  </si>
  <si>
    <t>Banco Coopcentral 
Director (a) Informática</t>
  </si>
  <si>
    <t>Banco Coopcentral 
Jefe jurídico</t>
  </si>
  <si>
    <t>Empleados no reportan RO</t>
  </si>
  <si>
    <t>Devolución de cheque por fondos insuficientes</t>
  </si>
  <si>
    <t>Afectación IRL por interpretacion cuentas contables</t>
  </si>
  <si>
    <t>Fallas operadora de telefonía</t>
  </si>
  <si>
    <t>Errores por actualizoción Wog</t>
  </si>
  <si>
    <t>Desconexión entre sistemas</t>
  </si>
  <si>
    <t>Fallas Cooperativa Digital</t>
  </si>
  <si>
    <t>Retiro de ahorro de asociado fallecido</t>
  </si>
  <si>
    <t>Error mensajes masivos</t>
  </si>
  <si>
    <t>Interrupciones operativas por energía eléctrica</t>
  </si>
  <si>
    <t>Suplantacion de Identidad y robo a asociados</t>
  </si>
  <si>
    <t>Crédito sin cobertura de aseguradora</t>
  </si>
  <si>
    <t>Falla operativa en pago de pólizas</t>
  </si>
  <si>
    <t>Indisponibilidad PBX</t>
  </si>
  <si>
    <t>Error en creación de productos</t>
  </si>
  <si>
    <t>Retrasos por cheques dañados</t>
  </si>
  <si>
    <t>Robo de equipo de computo</t>
  </si>
  <si>
    <t>Informacion errada a los asociados</t>
  </si>
  <si>
    <t>Error en envió de cartas de cobranza</t>
  </si>
  <si>
    <t xml:space="preserve">Fallas sitio web </t>
  </si>
  <si>
    <t>Reingreso no permitido por Estatuto</t>
  </si>
  <si>
    <t>Compra de productos defectuosos</t>
  </si>
  <si>
    <t>Error tasa CDAT</t>
  </si>
  <si>
    <t xml:space="preserve">Falsificación de firmas y/o huellas </t>
  </si>
  <si>
    <t xml:space="preserve">Falla en aplicación DAES </t>
  </si>
  <si>
    <t>Modificación de documentos</t>
  </si>
  <si>
    <t>Error en aplicación de pagos</t>
  </si>
  <si>
    <t>Devolución de recursos a los asociados afectados</t>
  </si>
  <si>
    <t>Se establece como actividad permanente</t>
  </si>
  <si>
    <t>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t>
  </si>
  <si>
    <t>Edna  Nataly Malagon</t>
  </si>
  <si>
    <t>11/09/2025 17:16:49: Creado</t>
  </si>
  <si>
    <t>Fallas de conexión transaccional</t>
  </si>
  <si>
    <t>Conciliación transaccional</t>
  </si>
  <si>
    <t>Gestión inmediata del recaudo de recursos por débito automático</t>
  </si>
  <si>
    <t>Enviar mensaje a los asociados afectados indicando el debito mencionando el descuento retrasado y el valor de transacción.</t>
  </si>
  <si>
    <t>Reporte inmediato de inconsistencias a Enpacto</t>
  </si>
  <si>
    <t>Respuesta formal por parte de Enpacto</t>
  </si>
  <si>
    <t>Reporte de la incidencia #74258 ante el proveedor WOG.</t>
  </si>
  <si>
    <t>Respuesta formal por parte de Wog y acciones tomadas</t>
  </si>
  <si>
    <t>Continuar con el recaudo de recursos que de manera inmediata no se devolvieron</t>
  </si>
  <si>
    <t>Enpacto</t>
  </si>
  <si>
    <t>Wog</t>
  </si>
  <si>
    <t>Jefe de Operaciones
Dirección SAS</t>
  </si>
  <si>
    <t>Actividad de control permanente</t>
  </si>
  <si>
    <r>
      <t xml:space="preserve">Reunión realizada entre el área de control interno de Febor y Coopcentral - </t>
    </r>
    <r>
      <rPr>
        <b/>
        <sz val="11"/>
        <color theme="1"/>
        <rFont val="Lato"/>
        <family val="2"/>
      </rPr>
      <t>Reporte Control Interno</t>
    </r>
  </si>
  <si>
    <t>Solicitud formal de devolución de recursos por parte de Visionamos y solicitud de imágenes de documentos de identidad que se usaron en los enrolamientos para verificaciones internas</t>
  </si>
  <si>
    <t xml:space="preserve">Se programó sobregiros en las cuentas para generar el cobro de $410.708. </t>
  </si>
  <si>
    <t>Validación del movimiento bancario para verificar la correspondencia entre los valores reportados y los saldos reales.</t>
  </si>
  <si>
    <t>Solicitud formal de aclaración al Banco Coopcentral y a Contabilidad sobre el origen y alcance del error.</t>
  </si>
  <si>
    <t>Mensaje en llamada desde la gerencia ofreciendo las disculpas del caso</t>
  </si>
  <si>
    <t>Reunión entre la Gerencia de Febor y Gabriel Espinosa, orientada a socializar los impactos generados por la inconsistencia en los débitos bancarios y presentar formalmente las quejas de Febor frente al servicio prestado por Coopcentral.</t>
  </si>
  <si>
    <t>Nuevos débitos bancarios cargados el 6 de noviembre para los asociados que aún tenían pagos pendientes.</t>
  </si>
  <si>
    <t>A los asociados a quienes no se les efectuó el débito, se les enviará un mensaje solicitando mantener los recursos disponibles para realizar el cobro. A estos asociados no se les generarán intereses de mora en los primeros 10 días</t>
  </si>
  <si>
    <t>Aplicación de débitos el 7 de noviembre con retrofecha, con el fin de evitar el cobro de intereses de mora.</t>
  </si>
  <si>
    <t>Queja formal dirigida a Coopcentral, solicitando la entrega de un informe técnico detallado sobre lo ocurrido y las causas que originaron la inconsistencia presentada.</t>
  </si>
  <si>
    <t>Analista de Operaciones
Jefe de Operaciones</t>
  </si>
  <si>
    <t>Fue la primera actividad</t>
  </si>
  <si>
    <t>Gerente
Jefe de Comunicaciones</t>
  </si>
  <si>
    <t>Juan Pablo Vélez
Angie Villamizar</t>
  </si>
  <si>
    <t>Gerente
Representante de Coopcentral</t>
  </si>
  <si>
    <t>Juan Pablo Vélez
Gabriel Espinosa</t>
  </si>
  <si>
    <t>Se expuso durante el comité del 7 de nov 2025</t>
  </si>
  <si>
    <t>5 - Daños a Activos Físicos</t>
  </si>
  <si>
    <t>6 - Fallas Tecnológicas</t>
  </si>
  <si>
    <t>Tipo de acción</t>
  </si>
  <si>
    <t>Conversación telefónica</t>
  </si>
  <si>
    <t>La aseguradora respondió con 2 millones de pesos como limite de cobertura</t>
  </si>
  <si>
    <t>El gerente impartió la comunicación a los directivos de  Febor, el mensaje quedará formalmente trasladado al resto de funcionarios mediante circular interna realizada por Luz Adriana</t>
  </si>
  <si>
    <t>Usar la Base social de BI  'Reporte de Datos Personales'. Todos los funcionarios tienen acceso a esta base. Se recomienda descargarla desde el BI ya que es más liviana y ayuda a evitar sobre cargas en el sistema Wog por la simultaneidad de descargas con los reportes Además el BI se diseñó para este fin. Importante trasladar este mensaje a todos los funcionarios, sobre todo los que más dependen de esta información para la gestión de sus actividades.  - Dir SAS - Jefe de Operaciones - Jefe Jurídica - Comunicaciones.</t>
  </si>
  <si>
    <t>Desde el área de TI se entrega un nuevo equipo al Jefe Jurídico con el respaldo del último Backup</t>
  </si>
  <si>
    <t>Correo: Siniestro 10287845 caso 184366 // Liquidación de indemnización // Póliza AA227915 orden 1
De: Luis Angel Erazo &lt;coordinador.contable@febor.coop&gt;
Date: vie, 24 nov 2023 a las 9:27
Subject: Re: Siniestro 10287845 caso 184366 // Liquidación de indemnización // Póliza AA227915 orden 1
To: Juana Victoria Avendaño Cortes &lt;Analista.Juridico@febor.coop&gt;
CC.: Andrés Camilo Forero García &lt;juridica@febor.coop&gt;
Buenos días abogados,
Confirmó ingreso de $2.167.804 a la cuenta de Banco de Bogotá Maestra. el día de ayer 23 de noviembre del presente</t>
  </si>
  <si>
    <t>Hay que realizar una respuesta formal al asociado, informando las medidas de seguridad del área de operaciones para las transacciones con terceros . También hay que aclararle que la transferencia de la cuenta al banco Caja Social se hizo bajo su nombre, y es responsabilidad de este banco eliminar la cuenta por ser fraudulenta.</t>
  </si>
  <si>
    <t>Tramitar devolución del dinero al asociado</t>
  </si>
  <si>
    <t xml:space="preserve">Correo 
De: Carolina Rueda Rodríguez &lt;crueda@coopcentral.com.co&gt;
Date: mar, 7 nov 2023 a las 11:58
Subject: RE: CASO DEL CLIENTE MARCO ANTONIO
To: Diana Guiovanna Escobar Sarmiento &lt;tesoreria@febor.coop&gt;
CC.: Luis Eduardo Vasquez Martinez &lt;LVasquez@coopcentral.com.co&gt;, Jackeline Diaz Romero &lt;jdiaz6@coopcentral.com.co&gt;
Buenos días,
Sra. Diana, informo que los recursos fueron recibidos el viernes 03 de noviembre y contabilizados, el día de hoy se inicio el proceso interno acá en el banco para que los recursos sean enviados a la cuenta correspondiente.
En el transcurso de esta semana los recursos serán consignados a la cuenta correspondiente.
</t>
  </si>
  <si>
    <t>Reportar a Wog la incidencia de las inconsistencias presentadas con los cupos de los créditos rotativos luego de actualizar la versión del sistema</t>
  </si>
  <si>
    <t>Correo 25 enero 2024
Si bien es cierto se ha mejorado la disponibilidad del servicio, en ocasiones seguimos presentando intermitencias, se viene adelantando dentro del área una actividad para verificar junto con Wog la carga de la infraestructura que soporta nuestro Core y canales, Adicionalmente se está explorando la implementación de un sensor sintético para el monitoreo de los canales de la cooperativa dado que por cuestiones de seguridad nos bloquea dicho servicio de monitoreo de infraestructura.</t>
  </si>
  <si>
    <t>No se presentaron casos anteriores correspondientes a vinculación de asociados excluidos en el pasado</t>
  </si>
  <si>
    <t>7 de mayo Dir riesgos envió el formato de evaluación de proveedores ATH-FR-39 con los pasos para diligenciarlo.
27 de junio la Dir de Riesgos realizó capacitación al equipo directivo</t>
  </si>
  <si>
    <t>Directriz en comité de gerencia 26 de febrero de 2024: 'Los funcionarios encargados de crear el producto en el sistema deben hacerlo de inmediato, no se tolera que los dejen para días posteriores y especialmente a final de mes deben organizar el proceso para que quede cerrado en el mes que corresponde'.</t>
  </si>
  <si>
    <t>Nataly compartió correo con los ajustes contables
RV: Archivos para ajuste condonaciones por exclusiones realizadas en Marzo 2024</t>
  </si>
  <si>
    <t>Proceso disciplinario a la funcionaria Alejandra Rodríguez</t>
  </si>
  <si>
    <t>Banco  Coopcentral</t>
  </si>
  <si>
    <t>Reversado en Wog</t>
  </si>
  <si>
    <t>Directora de SAS indica que es buena y útil, están en proceso de aprovecharla mejor en su Área Correo. RE: Estado de tareas - Eventos de Riesgos 8-12-2024  9:20 am</t>
  </si>
  <si>
    <t>La capacitación que se llevó a cabo fue de Geometría del Fraude y casuísticas. Para el personal comercial</t>
  </si>
  <si>
    <t xml:space="preserve">Directriz de gerencia. Restringir la salida de todas las transacciones a cuentas simplificadas como Nequi y Daviplata e impartir esta instrucción a los analistas de operaciones. </t>
  </si>
  <si>
    <t>Jefe de Operaciones comunicó la directriz al grupo de analistas de operaciones</t>
  </si>
  <si>
    <t>Caso no aplica para amparo de póliza por tratarse de una suplantación directamente al asociado</t>
  </si>
  <si>
    <t>Primera reunión fue el 20 de agosto para conocer las actividades que se requieren automatizar. La plantilla mejorada por el área de operaciones ha funcionado con normalidad, sin embargo, desde riesgos continua el compromiso de ayudar a mejorar la herramienta</t>
  </si>
  <si>
    <t>Tras evaluar la alternativa con el Director de TI, se determinó que la automatización en Wog no es viable debido a la interferencia de la experticia del analista para priorizar los pagos, por este motivo, se sugiere que se continue trabajando con la plantilla mejorada de manera externa al sistema.</t>
  </si>
  <si>
    <r>
      <rPr>
        <b/>
        <sz val="10"/>
        <color theme="1"/>
        <rFont val="Lato"/>
        <family val="2"/>
      </rPr>
      <t>Oferta de Compra de Cartera</t>
    </r>
    <r>
      <rPr>
        <sz val="10"/>
        <color theme="1"/>
        <rFont val="Lato"/>
        <family val="2"/>
      </rPr>
      <t xml:space="preserve">
Durante la llamada, se ofrecerá la opción de compra de cartera para los saldos de tarjetas vigentes, hasta el 100% del cupo de la tarjeta, según lo reportado en Data crédito o Cifin. Se brindará una explicación breve de la falla que causó el problema.</t>
    </r>
  </si>
  <si>
    <t>Correo 29 septiembre RV: Pagos registrados doble vez
Indican que el ajuste del código único de transacción ya esta listo, pero sólo se podar desplegar cuando se actualice el CORE.
Correo 6 noviembre RE: Mejoras incluidas en el cambio de versión. Indican que una  de las mejoras incluye "implementación del ajuste solicitado por Coopcentral para evitar el reporte de pagos dobles en las tarjetas de crédito de ASNET."</t>
  </si>
  <si>
    <t>Con el pago de la asociada Ingrid Frederick , se le realizo el reintegro del pago de 4 meses y Andrés le dio respuesta por buzón pqrsf.  (RE: Estado de Eventos de Riesgos a corte de agosto 2024) -Rta Johan Cruz</t>
  </si>
  <si>
    <t>Se ha realizado revisiones mensuales para garantizar que la herramienta realice clos cálculos correctamente. Cada mes se envía la plantilla con la respectiva actualización de la Base Social y las tasas aprobadas por el Consejo de Administración.</t>
  </si>
  <si>
    <t>Retroalimentar al equipo de dirección acerca de la reactivación oportuna de los procesos y el uso del Comité de Crisis</t>
  </si>
  <si>
    <t>Se solicitó a Wog la auditoría mediante la incidencia 64338 ,El proveedor confirmó que no fue posible detectarlo porque la auditoría captura el ultimo usuario, no captura el usuario que interviene en cada configuración</t>
  </si>
  <si>
    <t>Un funcionario del  área comercial está designado por la dirección de servicio al asociado para la verificación diaria del estado de vencimientos (Estiven labrador)</t>
  </si>
  <si>
    <t>El equipo de Calidad y Operaciones revisó los procedimientos, se detectó que la falla ocurrió en un momento específico por falla puntual del sistema pero que no supero los 10 casos reportados.</t>
  </si>
  <si>
    <t>En comunicación permanente con los asociados que han presentado dificultades e inconformidades</t>
  </si>
  <si>
    <t>Definir el procedimiento adecuado para el manejo de novedades a Cooserpak</t>
  </si>
  <si>
    <t xml:space="preserve">1. El asociado informa cambio de empleado a pensionado
2. Asesor tramita documentos de inclusión al plan de cortesía Cooserpak
3. E-bróker realiza la inclusión
4. Operaciones realiza validaciones de pagos Colpensiones pensionados
5. Operaciones envía a inicio de me base social a E-bróker para validar  inclusión o exclusión del servicio del plan exequial.
El pasado 27 de enero </t>
  </si>
  <si>
    <t>Johana Cortés
Mónica Torres</t>
  </si>
  <si>
    <t>Fabián Jordán
Mónica Torres</t>
  </si>
  <si>
    <t xml:space="preserve">En la Base Social que se dispersa mensualmente, se incluirán los asociados con exclusión reportada de número de celular y correo electrónico en CRC Comisión de Regulación de Comunicaciones.
Acción revisada por la Dir Riesgos junto con el administrador de CRC Analista de Gestión Documental y las Jefatura de Control Interno.
</t>
  </si>
  <si>
    <t>Andrés Forero
Mónica Torres</t>
  </si>
  <si>
    <t xml:space="preserve">Solicite ticket (No. 283)  al equipo de TI para recibir capacitación sobre el registro en la plataforma de Registro Nacional de Números Excluidos.
Pendiente revisar criterio de jurídica para avanzar con la clasificación. </t>
  </si>
  <si>
    <t>Analizar las transacciones del asociado principal relacionado el  fraude y de sus transacciones con otras cuentas de asociados</t>
  </si>
  <si>
    <t>Bloquear las transferencias directas a través de App y Coop Digital, para controlar manualmente y de forma temporal estas operaciones. Dejar habilitado sólo para pagos de productos propios</t>
  </si>
  <si>
    <t>Comunicar a los asociados  sobre la restricción de las transferencias entre cuentas y la alternativa a disposición</t>
  </si>
  <si>
    <t>De forma asistencial se ha resuelto las solicitudes sin generar comunicados masivos que puedan generar pánico en los asociados</t>
  </si>
  <si>
    <t>Rastrear el origen de las operaciones por código IP</t>
  </si>
  <si>
    <t>Analizar los movimientos de retiros y/o compras efectuados con tarjeta debito de</t>
  </si>
  <si>
    <t>Se realizó la respectiva demanda el 30 de noviembre 2024 Correo 3/12/2024 Hechos denuncia Ivan López Falón.
Igualmente se emitió un comunicado a los asociados victimas del fraude para que también denuncien los hechos.</t>
  </si>
  <si>
    <t>Implicación de compra de paquetes de mensajería con Masivian</t>
  </si>
  <si>
    <t>El compromiso es hacer seguimiento semanal del saldo y mantener créditos suficientes para toda la operación de Febor.</t>
  </si>
  <si>
    <t>Configuración de bloqueo de códigos OTP enviados por correo electrónico, habilitando únicamente el uso de mensajes de texto.
Bloqueo de 71 Cooperativas Digitales por seguridad</t>
  </si>
  <si>
    <t>Implementar nueva App con opción de clave dinámica</t>
  </si>
  <si>
    <t>En el mes de Noviembre se analizo el realizo un análisis de la necesidad se genero el requerimiento al proveedor de la APP (WOG).
Ese mismo mes nos fue enviada la propuesta. La cual le dimos la viabilidad técnica y se firmo contrato.
Nueva App con clave dinámica a partir del 21 d febrero 2025</t>
  </si>
  <si>
    <t>Contacto directo con los asociados afectados para informar hechos e invitar a instaurar demandas.</t>
  </si>
  <si>
    <t>Contacto directo con los asociados afectados para informarles sobre los hechos,  las acciones tomadas, e invitarlos a instaurar las demandas pertinentes. En este caso el asociado deberá ir al banco AV VILLAS para demostrar que su cuenta es falsa y así reintegren el dinero</t>
  </si>
  <si>
    <t>Llamado de atención a las funcionarias responsables Shirley Peña y Camila Corzo.</t>
  </si>
  <si>
    <t>Presentado nuevamente a comité de noviembre</t>
  </si>
  <si>
    <t>Se realizó capacitación por parte de la Coordinadora de Gestión social durante la jornada de capacitación de diciembre a todos los funcionarios comerciales.</t>
  </si>
  <si>
    <t>Corrección del plan de pagos</t>
  </si>
  <si>
    <t>Informar al asociado la corrección y su nuevas cuotas compartiendo el plan  de pagos final</t>
  </si>
  <si>
    <t>Analista de Operaciones 
Jefe Jurídico</t>
  </si>
  <si>
    <t>Llamada de confirmación y satisfacción con la información suministrada por el área de Operaciones</t>
  </si>
  <si>
    <t>Juan Pablo Vélez G
Andrés Forero</t>
  </si>
  <si>
    <t>Juan Pablo Vélez G</t>
  </si>
  <si>
    <t>Silvia Chacón</t>
  </si>
  <si>
    <t>Jefe de Talento Humano confirmo la adopción de este mecanismo de control</t>
  </si>
  <si>
    <t>La Jefe de Talento Humano añadió a su proceso interno la validación al área contable concertado con el Director Financiero.</t>
  </si>
  <si>
    <t>Silvia Chacón
Mónica Linares</t>
  </si>
  <si>
    <t>Adopción en su proceso interno</t>
  </si>
  <si>
    <t>Capacitación especializada en el sistema Helisa para operación directa y evitar uso de herramientas manuales.</t>
  </si>
  <si>
    <t>Capacitación 11 junio 2025</t>
  </si>
  <si>
    <t>Johana Cortes
Mónica Torres</t>
  </si>
  <si>
    <t>Control implícito en los procesos críticos que relaciona la atención y el servicio con los asociados</t>
  </si>
  <si>
    <t>Coopcentral
Occidente</t>
  </si>
  <si>
    <t>Socializado 10 de marzo 2025 en comité de gerencia
Directriz aplicable para todos los autorizados para hacer pagos.</t>
  </si>
  <si>
    <t>Diana Christina Forero
Juan Pablo Vélez</t>
  </si>
  <si>
    <t>17 de julio se revisaron las estadísticas (Dir Riesgos) - Presentado comité de gerencia en julio 25, aquí se observó que el tope diario de 3.500 millones para transacciones resulta coherente con el nivel máximo de transaccionalidad en un solo días según el comportamiento histórico. Se concluyo que  en caso de ser necesario se podrán ajustar los topes a un límite inferior.</t>
  </si>
  <si>
    <t>Certificar la nueva App para que integre validaciones de identidad necesarias.</t>
  </si>
  <si>
    <t>En proceso de certificación nueva App. Implementación de reconocimiento facial y validación de 16 puntos de veracidad del documento en la nueva App Febor la cual está en proceso de certificación por parte del área de tecnología.
Se cierra esta tarea preventiva para este evento y será manejada como la implementación de un nuevo producto con la integración de Bre-b</t>
  </si>
  <si>
    <t>Se devolvieron los recursos de  5 asociados que presentaron las respectivas denuncias al área jurídica. 1 asociado (JOHN JAIDER ORTIZ BEJARANO) decidido no presentar la denuncia y no reclamar la devolución del dinero ya que consideró un tramite injustificado por $40 mil pesos que le fueron hurtados. información que confirmó Jefe de Operaciones y Jefe Jurídico</t>
  </si>
  <si>
    <t>Johan Cruz
Nataly Malagón</t>
  </si>
  <si>
    <t>Jefe Jurídico
Jefe de Operaciones</t>
  </si>
  <si>
    <t>Andrés Forero
Nataly Malagón</t>
  </si>
  <si>
    <t>Director (a) Financiero y Administrativo</t>
  </si>
  <si>
    <t>Jefe de Operaciones
Director (a) Financiero y Administrativo</t>
  </si>
  <si>
    <t>Tesorería
Director (a) Financiero y Administrativo
Director (a) SAS</t>
  </si>
  <si>
    <t>Director (a) SAS
Director (a) TI</t>
  </si>
  <si>
    <t>Director (a) de Riesgos
Jefe de Control Interno
Gerencia</t>
  </si>
  <si>
    <t>Director (a) Informática
Director (a) de Riesgos</t>
  </si>
  <si>
    <t>Gerencia
Director (a) de Riesgos</t>
  </si>
  <si>
    <t>Jefe de Control Interno y Calidad
Director (a) de Riesgos</t>
  </si>
  <si>
    <t>Gerencia
Director (a) SAS
Jefe de Operaciones
Director (a) de Riesgos
Jefe Control interno y Calidad</t>
  </si>
  <si>
    <t>Director (a) Financiero y Administrativo
Jefe de Operaciones</t>
  </si>
  <si>
    <t>Seguimiento de la percepción de los asociados frente al mensaje enviado por la gerencia. En comité del 7 de noviembre reportó el volumen de personas que atendieron y escucharon el mensaje.</t>
  </si>
  <si>
    <t>Reversar y reintegrar de inmediato los valores consignados a los 117 asociados.</t>
  </si>
  <si>
    <t>Aplicación de pagos reales de compensación</t>
  </si>
  <si>
    <t>Establecer un control obligatorio previo al cargue de plantillas, que incluya la validación de totales y la revisión de columnas sensibles</t>
  </si>
  <si>
    <t>Escalar el caso a WOG para lograr la eliminación definitiva de los registros en entrada y salida y evitar impactos fiscales en los asociados. Incidencia 74823</t>
  </si>
  <si>
    <t>Enviar un mensaje de tranquilidad a los asociados, explicando el incidente y confirmando que no se generarán afectaciones.</t>
  </si>
  <si>
    <t>Excluir estos movimientos de los reportes internos y externos, por tratarse de un error operativo y no de operaciones reales. (SES, UIAF, etc)</t>
  </si>
  <si>
    <t>Alejandra Villamil
Nataly Malagón</t>
  </si>
  <si>
    <t>Incidencia 74823</t>
  </si>
  <si>
    <t>Jefe de Operaciones
Wog</t>
  </si>
  <si>
    <t>Dirección Financiera y Administrativa
Coordinación contable
Dirección de Riesgos</t>
  </si>
  <si>
    <t>Nataly Malagón
Luis Angel Erazo
Diana Maribel Fonseca</t>
  </si>
  <si>
    <t xml:space="preserve">Verificar cierre mes, que queden excluídos </t>
  </si>
  <si>
    <t>Pendiente confirmar</t>
  </si>
  <si>
    <t>Comunicar de manera anticipada la migración de servicios y sus posibles impactos sobre el servicio.</t>
  </si>
  <si>
    <t>Socializar con todas las áreas involucradas el cronograma de migración, pruebas y puesta en producción de nuevos aplicativos o sistemas.</t>
  </si>
  <si>
    <t>Realizar seguimiento continuo a la estabilidad del servicio telefónico e informar novedades.</t>
  </si>
  <si>
    <t>Evento reportado en noviembre pero se materializó en septiembre 2025</t>
  </si>
  <si>
    <t>No se comunico de manera anticipada, esta tarea queda como una recomendación para cambios futuros</t>
  </si>
  <si>
    <t>No se socializó antes de los cambios esta actividad queda como recomendación para cambios futuros</t>
  </si>
  <si>
    <t>Proveedores</t>
  </si>
  <si>
    <t>Nataly Malagon</t>
  </si>
  <si>
    <t>Operaciones@febor.coop</t>
  </si>
  <si>
    <t>null
27/11/2025 15:38:56: creado
01/12/2025 23:19:42: Actualizado</t>
  </si>
  <si>
    <t>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t>
  </si>
  <si>
    <t>Natali Malgon</t>
  </si>
  <si>
    <t>null
27/11/2025 15:39:11: creado
07/12/2025 12:18:10: Actualizado</t>
  </si>
  <si>
    <t xml:space="preserve">CasoVersión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servicio.CausasLa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cambio.ImpactoImpacto en el servicio a los asociados. La interrupción y las fallas en las aplicaciones de telefonía dificultaron la atención oportuna de llamadasImpacto reputacional: La imposibilidad de responder llamadas y las intermitencias del servicio pudieron generar una percepción negativa sobre la capacidad de respuesta de la cooperativa.Impacto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servicio.AccionesCorrectivasRealizar seguimiento continuo a la estabilidad del servicio telefónico e informar novedades.Mantener teléfonos físicos de contingencia disponibles.PreventivasComunicar de manera anticipada la migración de servicios y sus posibles impactos sobre el servicio.Socializar con todas las áreas involucradas el cronograma de migración, pruebas y puesta en producción de nuevos aplicativos o sistemas.Monitorear continuamente el desempeño del aplicativo durante y después de su implementación.Confirmar formalmente cuando el ciclo de verificación se haya completado y el servicio opere con normalidad.
</t>
  </si>
  <si>
    <t>Johana Paola Cortés</t>
  </si>
  <si>
    <t>null
27/11/2025 15:39:42: creado
27/11/2025 15:41:01: creado
03/12/2025 16:02:20: Actualizado con Dirección TI
08/12/2025 13:06:34: Actualizado</t>
  </si>
  <si>
    <t>JOSE NELSO FIGUEROA FRAGOZO</t>
  </si>
  <si>
    <t>direccion.financiero@febor.coop</t>
  </si>
  <si>
    <t>null
01/12/2025 20:45:26: creado
01/12/2025 20:45:50: creado
08/12/2025 17:27:05: Actualizado</t>
  </si>
  <si>
    <t>08/12/2025 16:02:23: Creado</t>
  </si>
  <si>
    <t>Gestionar la recuperación de los recursos con los asociados</t>
  </si>
  <si>
    <t>Realizar conciliación permanente con el fin de detectar internamente las inconsistencias</t>
  </si>
  <si>
    <t>Comunicar de manera inmediata por los canales internos (chat corporativo) la alerta sobre la falla del sistema, advirtiendo el riesgo de duplicidad en los lotes y deteniendo temporalmente su procesamiento hasta validar su estado.</t>
  </si>
  <si>
    <t>Para los aprobadores, verificar detalladamente los lotes antes de autorizar su giro; en especial, revisar si existen valores idénticos o los mismos terceros involucrados, a fin de confirmar que no corresponden a transacciones previamente procesadas.</t>
  </si>
  <si>
    <t>Director Financiero y Administrativo
Jefe de Operaciones</t>
  </si>
  <si>
    <t>Analistas Contables</t>
  </si>
  <si>
    <t>Analistas de Operaciones</t>
  </si>
  <si>
    <t>Aprobadores</t>
  </si>
  <si>
    <t>Jose Nelson Figueroa
Nataly Malagon</t>
  </si>
  <si>
    <t>Tarea permanente</t>
  </si>
  <si>
    <t>Deisy Margot</t>
  </si>
  <si>
    <t>Jeisson Valero</t>
  </si>
  <si>
    <t>Comunicación inmediata con Banco Coopcentral para verificar las causas de la insuficiencia de recursos y gestionar las acciones necesarias para restablecer la disponibilidad del servicio.</t>
  </si>
  <si>
    <t>Atención oportuna de las inconformidades presentadas por los asociados</t>
  </si>
  <si>
    <t>Definir umbrales mínimos de saldo y establecer reglas automáticas de retanqueo que aseguren una disponibilidad suficiente en todo momento, especialmente durante fines de semana y horarios extendidos.</t>
  </si>
  <si>
    <t>Diseñar y documentar un procedimiento operativo con el fin de identificar y establecer con claridad las acciones y roles involucrados.</t>
  </si>
  <si>
    <t>Dirección Financiera y Administrativa
Tesorería</t>
  </si>
  <si>
    <t>Jose Nelson Figueroa
Camilo Wiliamson</t>
  </si>
  <si>
    <t>Dirección SAS</t>
  </si>
  <si>
    <t>Gerencia
Dirección Financiera y Administrativa
Tesorería</t>
  </si>
  <si>
    <t>Nataly Malagón
Milena Velasquez</t>
  </si>
  <si>
    <t>Juan Pablo Vélez
Jose Nelson Figueroa</t>
  </si>
  <si>
    <t>En comité de crisis</t>
  </si>
  <si>
    <t>Operaciones BreB sin Recursos</t>
  </si>
  <si>
    <t>Falla en pago de compensaciones</t>
  </si>
  <si>
    <t>RFYA028</t>
  </si>
  <si>
    <t>RFYA029</t>
  </si>
  <si>
    <t>RTI039</t>
  </si>
  <si>
    <t>Entrevista o indagatoria a la funcionaria involucrada, permitiendo explicar los hechos y reforzar la importancia del autocontrol en operaciones críticas.</t>
  </si>
  <si>
    <t>Derecho de petiión formulado y aprobado</t>
  </si>
  <si>
    <t>Establecimiento de alertas de monitoreo en el área de Operaciones como medida interna para la identificación temprana de comportamientos inusuales.</t>
  </si>
  <si>
    <t>Activan Plan B con Davivienda, que contempla la solicitud del token, la realización de la capacitación correspondiente y la ejecución del primer débito antes del 20 de diciembre de 2025 según lo acordado en la reunión del 12 de diciembre 2025.</t>
  </si>
  <si>
    <t>Gestionar la activación del servicio de débito con Bancolombia según lo acordado en la reunión del 12 de diciembre 2025.</t>
  </si>
  <si>
    <t>Analista de Operaciones
Jefe de Operaciones
Coopcentral</t>
  </si>
  <si>
    <t>Reunion</t>
  </si>
  <si>
    <t>Nataly Malagón
Johan Cruz</t>
  </si>
  <si>
    <t>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t>
  </si>
  <si>
    <t>Revisar el histórico de compensaciones (número de operaciones y valores reintegrados) para evaluar la viabilidad de reducir la frecuencia del proceso a una ejecución mensual.</t>
  </si>
  <si>
    <t>Comunicar previamente a los asociados cualquier cambio en la frecuencia de los reintegros, informando los valores devueltos en el último mes y la nueva fecha de pago (último día hábil del mes).</t>
  </si>
  <si>
    <t>Fortalecer la plantilla de compensaciones mediante formatos condicionales visuales que alerten sobre diferencias u operaciones erróneas. Diseñar e implementar una macro para la generación automática de archivos TXT. Compromiso 5 enero 2025</t>
  </si>
  <si>
    <t>Jefe Operaciones
Dirección de Riesgos</t>
  </si>
  <si>
    <t>Jefe Comunicaciones
Jefe Operaciones</t>
  </si>
  <si>
    <t>Jefe Operaciones
Gerencia
Dirección de Riesgos</t>
  </si>
  <si>
    <t>Mejora continua de los procedimientos operativos para fortalecer la seguridad y trazabilidad del proceso de giros.
En este marco, la Tesorería inició acciones de mejora orientadas a reforzar el registro y control de paquetes manuales que no quedan identificados en la validación cruzada de lotes, con el fin de mitigar riesgos operativos y fortalecer los controles existentes.</t>
  </si>
  <si>
    <t>Director Financiero y Administrativo
Tesorería</t>
  </si>
  <si>
    <t>Diana Forero López</t>
  </si>
  <si>
    <t>null
11/12/2025 00:51:10: TALLER 2025
11/01/2026 23:59:34: Revisado
12/01/2026 01:29:44: Aprobado</t>
  </si>
  <si>
    <t>Seguimiento del volumen diario de operación, estimación y análisis de salidas mediante mediciones de volatilidad</t>
  </si>
  <si>
    <t>Milena Velasquez</t>
  </si>
  <si>
    <t>Realizar la investigación formal del caso, documentando los hechos, las circunstancias identificadas y las limitaciones encontradas.</t>
  </si>
  <si>
    <t>Evaluar y mejorar la cobertura y ubicación de las cámaras de seguridad en áreas sensibles.</t>
  </si>
  <si>
    <t>Adelantar el llamado a descargos al asesor responsable de la caja, por la falta de cuidado en el manejo del efectivo y por no adoptar medidas de protección adecuadas durante la operación de un tercero en la oficina.</t>
  </si>
  <si>
    <t>Evaluar, conforme al reglamento interno y la normatividad laboral vigente, las medidas disciplinarias que correspondan, teniendo en cuenta los hallazgos de la investigación.</t>
  </si>
  <si>
    <t>Reforzar la capacitación del personal de caja en controles operativos y custodia del efectivo.</t>
  </si>
  <si>
    <t>Jefe jurídico
Gerencia</t>
  </si>
  <si>
    <t>Andrés Forero
Juan Pablo Vélez</t>
  </si>
  <si>
    <t>Se descarta esta opción por el momento – Comité Gerencia 13 enero 2026.</t>
  </si>
  <si>
    <t>SolicitadoNo fue posible observarlas, no fueron suministradas el 22 de julio, pendiente por parte de Coopcentral, rechazada, se establece un derecho de petición nuevamente.
En proceso, ya se realizó la formulación de la solicitud 8-08- 2025
No fue posible observar las imagenes, no fueron suministradas</t>
  </si>
  <si>
    <t>Ya no aplica debido a que se continuó la frecuencia normal.</t>
  </si>
  <si>
    <t>Se decidió en comité de gerencia del 31 de enero continuar normal</t>
  </si>
  <si>
    <t>Diseñar, documentar y divulgar un flujo formal de proceso para la gestión de implementaciones, cambios y actualizaciones tecnológicas.</t>
  </si>
  <si>
    <t>Mantener disponibles teléfonos físicos como mecanismo de contingencia, que permitan garantizar la continuidad de la atención a los asociados ante fallas en el aplicativo.</t>
  </si>
  <si>
    <t>3 - Relaciones laborales</t>
  </si>
  <si>
    <t>31 - Relaciones laborales</t>
  </si>
  <si>
    <t>314 - Organización laboral</t>
  </si>
  <si>
    <t>Correo Jefe Juridico 20 enero 2026: Buenos días, estimados:
De manera atenta, informo que el funcionario Santiago D´Nicola Matamoros alcanzó un acuerdo para realizar el pago del faltante de caja presentado en mazuren el 01 de diciembre del 2025, por favor de $4.300.000 pesos.
El acuerdo alcanzado consiste en la autorización del descuento por nómina del faltante en 24 cuotas mensuales y comprometiendo el 50% de la prima, con interes corriente del 0% E.A. El descuento de la cuota mensual será a partir de febrero del 2026.
En caso de retiro del funcionario deberá descontarse el importe total de la deuda en un solo contado de la liquidación final de salarios y prestaciones sociales.
Favor incluir esta obligación en la cuenta de deudores varios y no como saldo de cartera.</t>
  </si>
  <si>
    <t>Faltante caja Mazuren</t>
  </si>
  <si>
    <t>Error en descuentos de nómina a empleados Febor</t>
  </si>
  <si>
    <t>Error en pago de compra de cartera  de asociados mediante PSE</t>
  </si>
  <si>
    <t>Fallas en activación anticipada nueva App</t>
  </si>
  <si>
    <t>Error en aplicación de débitos automáticos</t>
  </si>
  <si>
    <t>PERDIDA TOTAL</t>
  </si>
  <si>
    <t>Entregado por Fabian, esta en gestion de calidad</t>
  </si>
  <si>
    <t>CORRECTIVA</t>
  </si>
  <si>
    <t>PREVENTIVA</t>
  </si>
  <si>
    <t>DESCRIPCIÓN DE RIESGO</t>
  </si>
  <si>
    <t>EVENTO (Qué pasó)</t>
  </si>
  <si>
    <t>CAUSA (Por qué ocurrió)</t>
  </si>
  <si>
    <t>CONSECUENCIA (Impactos)</t>
  </si>
  <si>
    <t>Se creo una campaña y se publicó una pieza con las indicaciones en los puntos de caja con el fin de fortalecer la conciencia sobre un procedimeinto adecuado para el manejo del efectivo.</t>
  </si>
  <si>
    <t>Flujo de proceso enviado a Control Interno y Calidad el 11 de febrero 2026. Correo: Flujo de Proceso Bre-B</t>
  </si>
  <si>
    <t>Participación en webinar convocado por Fecolfin el 19 de febrero de 2026 sobre reportes FATCA y CRS, con el propósito de analizar los requerimientos aplicables a las diferentes entidades del sector ante la DIAN.</t>
  </si>
  <si>
    <t>Contratación de consultoría externa para subsanar la situación identificada y estructurar las acciones requeridas para asegurar el cumplimiento de esta obligación en adelante.</t>
  </si>
  <si>
    <t>Revisión de la aplicabilidad de la obligación CRS para Febor, considerando que las cooperativas de ahorro y crédito son clasificadas como instituciones de depósito.</t>
  </si>
  <si>
    <t>Verificación de las vigencias pendientes de cumplimiento, identificando la no presentación de los reportes CRS correspondientes a los años 2022, 2023 y 2024.</t>
  </si>
  <si>
    <t>Solicitud de actualización de información a los asociados para confirmar su condición de residencia fiscal, así como validación de los casos efectivamente reportables con base en la información recibida y analizada.</t>
  </si>
  <si>
    <t>Actualización del RUT con la inclusión de la responsabilidad 54, requerida para el cumplimiento de la obligación de reporte.</t>
  </si>
  <si>
    <t>Elaboración y presentación extemporánea de los reportes CRS ante la DIAN correspondientes a las vigencias 2022, 2023 y 2024, respecto de los residentes fiscales confirmados.</t>
  </si>
  <si>
    <t>Capacitación al área contable sobre el proceso de preparación y presentación de reportes ante la DIAN.</t>
  </si>
  <si>
    <t>Pago de la sanción económica derivada del incumplimiento, correspondiente a una multa mínima de $524.000 por cada año, para un total de $1.572.000.</t>
  </si>
  <si>
    <t>Estructuración del proceso con roles, actividades y responsabilidades claramente definidas para asegurar el cumplimiento oportuno de esta obligación.</t>
  </si>
  <si>
    <t>Directora Financiera</t>
  </si>
  <si>
    <t>Coordinador Contable</t>
  </si>
  <si>
    <t>Gerencia
Directora de Riesgos
Jefe Control Interno</t>
  </si>
  <si>
    <t>Diana Fonseca
Diana Fonseca</t>
  </si>
  <si>
    <t>Directora de Riesgos
Jefe Control Interno</t>
  </si>
  <si>
    <t>Directora de Riesgos
Directora Financiera
Jefe Control Interno</t>
  </si>
  <si>
    <t>Diana Fonseca
Nataly Malagón
Diana Fonseca</t>
  </si>
  <si>
    <t>Coordinador Contable
Consultor</t>
  </si>
  <si>
    <t>Directora de Riesgos
Consultor</t>
  </si>
  <si>
    <t>Luis Angel Erazo</t>
  </si>
  <si>
    <t>Luis Angel Erazo
Juan Daniel Parra</t>
  </si>
  <si>
    <t>Diana Fonseca
Juan Daniel Parra</t>
  </si>
  <si>
    <t>Diana Fonseca
Diana Forero</t>
  </si>
  <si>
    <t>Juan Pablo Vélez
Diana Fonseca
Diana Forero</t>
  </si>
  <si>
    <t>Proceso disciplinario a los funcionarios responsables.</t>
  </si>
  <si>
    <t>Revisión del ajuste de parametrizaciones del sistema de liquidación con el proveedor</t>
  </si>
  <si>
    <t xml:space="preserve">Conciliación y acuerdo de pago con el exfuncionario. Plan de pagos quedó entre abr26-abr29. </t>
  </si>
  <si>
    <t>Fortalecer internamente la sensibilización sobre la responsabilidad en el cumplimiento de los procedimientos y la importancia de ejecutar de manera rigurosa las validaciones establecidas. En este caso la obligación de validar siempre contra los libros auxiliares contables.</t>
  </si>
  <si>
    <t>Jefe Talento Humano
Proveedor Helisa</t>
  </si>
  <si>
    <t>Andres Forero
Juan Pablo Vélez</t>
  </si>
  <si>
    <t>Silvia Chacòn</t>
  </si>
  <si>
    <t>Relaciones Laborales</t>
  </si>
  <si>
    <t>Cuestiones Relativas a Prestaciones Sociales</t>
  </si>
  <si>
    <t>Silvia Tatiana Chacon Alfonso</t>
  </si>
  <si>
    <t>talentohumano@febor.coop</t>
  </si>
  <si>
    <t>19/03/2026 19:29:39: Aprobado</t>
  </si>
  <si>
    <t>Diana Maribel Fonseca Gomez</t>
  </si>
  <si>
    <t>20/03/2026 16:46:26: Creado</t>
  </si>
  <si>
    <t>Se parametrizó la creación de los convenios con vigencia anual, con el fin de reducir el riesgo de omisión, e incorporar la conciliación previa de consumos antes de la aplicación del descuento por nómina. La vigencia definida corresponde al período comprendido entre febrero de 2026 y enero de 2027</t>
  </si>
  <si>
    <t>Se remitieron mensajes de texto a los asociados afectados, informando la novedad presentada y gestionando el recaudo de los valores no descontados por nómina a través de caja.</t>
  </si>
  <si>
    <t>Se aplicaron descuentos desde ahorros voluntarios a los asociados que contaban con nómina Febor Plus, como mecanismo alterno de recaudo.</t>
  </si>
  <si>
    <t>Se efectuó la conciliación de los pagos realizados, con el propósito de identificar Se efectuó la conciliación de los pagos realizados, con el propósito de identificar</t>
  </si>
  <si>
    <t>20/03/2026 18:08:14: creado
21/03/2026 23:15:58: Actualizado</t>
  </si>
  <si>
    <t>Dirección Financiera</t>
  </si>
  <si>
    <t>Dirección Financiera
Coordinador Contable
Jefe Control Interno y Calidad</t>
  </si>
  <si>
    <t>Nataly Malagón
Diana Forero</t>
  </si>
  <si>
    <t>Actualizar internamente el procedimiento aplicable, incorporando la frecuencia de las actividades, los responsables y los mecanismos de seguimiento y control.</t>
  </si>
  <si>
    <t>Presentados con el acompañamiento del consultor Juan Daniel Parra</t>
  </si>
  <si>
    <t>Ninguno</t>
  </si>
  <si>
    <t>Aplicación móvil (App Febor)</t>
  </si>
  <si>
    <t>Atención en oficina (caja)</t>
  </si>
  <si>
    <t>Atención en oficina</t>
  </si>
  <si>
    <t>Cooperativa Digital</t>
  </si>
  <si>
    <t>Mensajería de texto (SMS)</t>
  </si>
  <si>
    <t>Aplicación móvil (App Febor) / Cooperativa Digital</t>
  </si>
  <si>
    <t>Correo electrónico institucional</t>
  </si>
  <si>
    <t>Cooperativa Digital / Aplicación móvil (App Febor)</t>
  </si>
  <si>
    <t>Crédito de libre inversión</t>
  </si>
  <si>
    <t>CDAT</t>
  </si>
  <si>
    <t>Seguros (SOAT)</t>
  </si>
  <si>
    <t>Depósito de Ahorro con Estímulo (DAES)</t>
  </si>
  <si>
    <t>Ahorro programado</t>
  </si>
  <si>
    <t>Beneficio funerario (Coorserpark)</t>
  </si>
  <si>
    <t>Auxilios de solidaridad y educación</t>
  </si>
  <si>
    <t>El proveedor Visionamos ejecutó múltiples veces un proceso de aplicación de nómina por desconexiones tecnológicas, afectando los saldos de 137 asociados por $344.885.519. La falla no fue detectada oportunamente por el área operativa, generando riesgo reputacional y operativo.</t>
  </si>
  <si>
    <t>El proveedor Visionamos ejecutó erróneamente el proceso de aplicación de nómina en múltiples ocasiones, generando incrementos indebidos en los saldos de 137 asociados por un valor total de $344.885.519.</t>
  </si>
  <si>
    <t>Desconexiones tecnológicas en los sistemas del proveedor impidieron verificar la ejecución inicial del proceso, llevando a su repetición. La falla no fue identificada por el área operativa de Febor sino hasta 15 meses después del evento.</t>
  </si>
  <si>
    <t>Afectación de saldos de 137 asociados. Aunque no hubo pérdida económica definitiva, se requirió un reintegro masivo. Se generaron alertas de riesgo operativo con terceros, fallas en comunicación y riesgo reputacional para la Cooperativa.</t>
  </si>
  <si>
    <t>Fallas tecnológicas en la conexión entre aplicativos impidieron que 35 operaciones con tarjeta débito por $7.943.416 fueran descontadas de las cuentas de ahorro voluntario. La falla no fue detectada en las conciliaciones, generando una pérdida no recuperada de $3.577.649.</t>
  </si>
  <si>
    <t>35 asociados realizaron operaciones con tarjeta débito por un total de $7.943.416, las cuales no fueron descontadas de sus cuentas de ahorro voluntario debido a una falla en la conexión entre aplicativos.</t>
  </si>
  <si>
    <t>Falla tecnológica por desconexión entre los sistemas transaccionales. Adicionalmente, las conciliaciones periódicas no detectaron oportunamente las operaciones pendientes de aplicar.</t>
  </si>
  <si>
    <t>Pérdida económica de $3.577.649 no recuperada. Se logró recuperar $4.365.767 de los $7.943.416 totales. Varios asociados ya no contaban con los saldos suficientes al momento del descubrimiento.</t>
  </si>
  <si>
    <t>El área de operaciones aplicó la nómina de Colpensiones usando una plantilla errónea publicada por la entidad, lo que generó diferencias contables. Se realizó el reproceso sin pérdidas económicas para la Cooperativa.</t>
  </si>
  <si>
    <t>Se aplicó la nómina de Colpensiones utilizando una plantilla incorrecta publicada en la página web oficial de Colpensiones, generando diferencias en el reporte aplicado detectadas días después por el área de operaciones y contabilidad.</t>
  </si>
  <si>
    <t>Colpensiones publicó una plantilla con errores en su página web oficial, la cual fue utilizada por el área de operaciones de Febor sin validación previa de su versión o vigencia.</t>
  </si>
  <si>
    <t>Necesidad de reprocesar el cargue de nómina. No se generaron pérdidas económicas para la Cooperativa, pero el evento evidenció la necesidad de controles de autocontrol en la verificación de plantillas antes del procesamiento.</t>
  </si>
  <si>
    <t>Terceros crearon una página web falsa suplantando a Febor para ofrecer préstamos, utilizando el nombre, dirección real y canales de comunicación de la Cooperativa. No se identificaron asociados víctimas, pero se generó riesgo reputacional.</t>
  </si>
  <si>
    <t>Personas inescrupulosas crearon la página web www.coopfebor.com suplantando a Febor para ofrecer préstamos de libre inversión, difundiendo la oferta mediante cartas y WhatsApp con datos reales de la Cooperativa.</t>
  </si>
  <si>
    <t>Aprovechamiento del buen nombre de Febor por parte de terceros con fines fraudulentos, mediante la creación de canales digitales falsos con información oficial de la Cooperativa.</t>
  </si>
  <si>
    <t>Riesgo reputacional para la Cooperativa. No se identificaron asociados víctimas de fraude. Febor realizó alertas por canales oficiales y radicó las denuncias correspondientes.</t>
  </si>
  <si>
    <t>Daño en el switch de interconexión de red provocó la indisponibilidad del servicio de internet y PBX durante aproximadamente 14 horas, afectando la prestación del servicio a los asociados y la operación de la Cooperativa.</t>
  </si>
  <si>
    <t>El 9 de febrero de 2022, a partir de las 6:00 p.m., se presentó falla en la conexión de internet y en el PBX de la Cooperativa, ocasionada por el daño en el switch de interconexión de red. El servicio fue restablecido a las 8:30 a.m. del día siguiente.</t>
  </si>
  <si>
    <t>Daño físico en el switch de interconexión de red, dispositivo que conecta los equipos a la red interna y externa de la Cooperativa.</t>
  </si>
  <si>
    <t>Indisponibilidad del servicio de internet y PBX durante aproximadamente 14,5 horas. No se registraron pérdidas económicas, pero se generó insatisfacción por la interrupción en la atención telefónica a los asociados.</t>
  </si>
  <si>
    <t>Terceros accedieron de forma no autorizada a la App móvil transaccional de un asociado e intentaron realizar retiros por $32 millones desde su cuenta de ahorros voluntarios. Los intentos fueron bloqueados oportunamente.</t>
  </si>
  <si>
    <t>El asociado José Neira Ochoa reportó intentos de retiro no autorizados por $12 millones y posteriormente $20 millones desde su cuenta de ahorros voluntarios a través de la App móvil transaccional. Los retiros fueron bloqueados de manera oportuna.</t>
  </si>
  <si>
    <t>El asociado entregó su celular a un asesor de telefonía quien accedió a la App móvil transaccional. La falta de control sobre el dispositivo personal del asociado expuso sus credenciales y acceso a los productos financieros.</t>
  </si>
  <si>
    <t>No se registraron pérdidas económicas. Se realizaron bloqueos inmediatos sobre los productos del asociado. Se generó riesgo reputacional relacionado con la seguridad de los mecanismos tecnológicos y la capacidad de respuesta ante fraudes.</t>
  </si>
  <si>
    <t>El débito automático de la cuota de una obligación crediticia no fue programado por error humano del analista responsable, generando un retraso de 8 días en el cobro y un vencimiento de la obligación.</t>
  </si>
  <si>
    <t>No se programó el débito automático correspondiente a la cuota de $110.500 de la línea temporal de la asociada Olaine Salas Fuentes, cuya obligación vencía el 26 de diciembre de 2021. El débito fue aplicado hasta el 3 de enero de 2022.</t>
  </si>
  <si>
    <t>El proceso de programación de débitos automáticos se realiza de forma manual mediante un listado en Excel. El analista responsable omitió incluir esta obligación en dicho listado.</t>
  </si>
  <si>
    <t>Retraso de 8 días en el recaudo de la cuota. La obligación quedó registrada como vencida. El evento evidenció una debilidad en los controles del proceso manual de programación de débitos automáticos.</t>
  </si>
  <si>
    <t>Falla en la conexión entre Wog, Visionamos y Empacto durante un fin de semana permitió retiros que generaron sobregiros en las cuentas de aproximadamente 30 asociados por $41 millones, detectados al día hábil siguiente.</t>
  </si>
  <si>
    <t>El domingo 5 de diciembre de 2021, operaciones de retiro realizadas por aproximadamente 30 asociados no fueron reflejadas oportunamente en los sistemas por falla en la conexión entre Wog, Visionamos y Empacto, generando sobregiros por $41 millones.</t>
  </si>
  <si>
    <t>La sincronización de operaciones se ejecuta tres veces al día, y al tratarse de un fin de semana, las actualizaciones no se realizaron con la oportunidad requerida, dejando pasar retiros que superaban los saldos reales disponibles.</t>
  </si>
  <si>
    <t>Sobregiro en las cuentas de aproximadamente 30 asociados por un total de $41 millones. No se registraron pérdidas económicas asumidas por la Cooperativa, pero se requirieron acciones inmediatas para la recuperación del dinero.</t>
  </si>
  <si>
    <t>Un asociado presentó paz y salvo falsificado ante la entidad Excelcredit para gestionar compra de cartera, utilizando firmas de personas ajenas a Febor. El documento fue validado sin detección del fraude, exponiendo a la Cooperativa a riesgo de cartera.</t>
  </si>
  <si>
    <t>El asociado Wulfran Enrique López Ojeda presentó ante Excelcredit un paz y salvo falsificado a nombre de Febor sobre dos productos de crédito, firmado por una persona que no pertenece a la Cooperativa, con el fin de realizar una compra de cartera.</t>
  </si>
  <si>
    <t>Falsificación de documentos por parte del asociado, aprovechando la ausencia de controles cruzados entre Febor y terceras entidades en la validación de paz y salvos para procesos de compra de cartera.</t>
  </si>
  <si>
    <t>Riesgo de cartera para Febor por la posible suspensión del descuento de nómina. Exposición reputacional por uso fraudulento de documentos institucionales. Se requirió tramitación jurídica para aclarar la situación.</t>
  </si>
  <si>
    <t>El cambio de versión del sistema Wog durante el fin de semana generó errores en múltiples módulos operativos el día hábil siguiente, afectando temporalmente la operación. No se presentaron pérdidas ni afectación de productos de asociados.</t>
  </si>
  <si>
    <t>El 4 de abril se detectaron errores en el sistema transaccional Wog y en varios módulos de operación, como consecuencia de un cambio de versión realizado durante el fin de semana del 2 y 3 de abril por la incorporación del modelo de originación en la fábrica de créditos.</t>
  </si>
  <si>
    <t>Actualización de versión del sistema Wog sin pruebas previas suficientes ni comunicación anticipada a las áreas usuarias sobre los posibles impactos y errores esperados tras la implementación.</t>
  </si>
  <si>
    <t>Errores en múltiples módulos del sistema transaccional durante el día hábil posterior al cambio. No se registraron pérdidas económicas ni afectación de productos de asociados, pero se generó sobrecarga operativa en las áreas de tecnología y operaciones.</t>
  </si>
  <si>
    <t>Un asociado expresó inconformidad ante la Gerencia por demoras en la liberación del canje de un cheque de $82 millones consignado en la oficina. El proceso de consignación presentó fallas en el tiempo de respuesta y en la comunicación con el asociado.</t>
  </si>
  <si>
    <t>El asociado Marco manifestó inconformidad por fallas en el proceso de consignación de un cheque de gerencia por $82 millones y por el tiempo de espera en la liberación del canje, que superó los 3 días habituales.</t>
  </si>
  <si>
    <t>Demoras en el proceso de confirmación del canje bancario y falta de comunicación proactiva hacia el asociado sobre el estado de su operación, generando insatisfacción y escalamiento a la Gerencia.</t>
  </si>
  <si>
    <t>Inconformidad del asociado y afectación en la percepción del servicio. El asociado no pudo realizar operaciones con los recursos de la consignación dentro del tiempo esperado, evidenciando debilidades en el proceso de canje y en los tiempos de respuesta al cliente.</t>
  </si>
  <si>
    <t>Se envió por error extractos bancarios de un asociado al correo de un tercero no vinculado a Febor, quien presentó queja ante la SES por recibir información que no le correspondía, evidenciando una falla en la gestión de datos de contacto.</t>
  </si>
  <si>
    <t>Extractos bancarios del asociado Luis Eduardo Rosales fueron enviados al correo incorrecto luiseduardorosales@gmail.com en lugar del correcto luiseduardorosales08@gmail.com, siendo recibidos por un ciudadano no asociado que radicó queja ante la SES.</t>
  </si>
  <si>
    <t>Error en el registro del correo electrónico del asociado en el sistema, sumado a la ausencia de controles de validación en el proceso de envío de extractos.</t>
  </si>
  <si>
    <t>Exposición de información financiera confidencial de un asociado a un tercero no autorizado. Queja ante la SES por parte del ciudadano afectado. Riesgo de incumplimiento normativo en protección de datos personales.</t>
  </si>
  <si>
    <t>Desconexión entre Visionamos, Empacto y Wog el 21 de mayo de 2022 impidió que 42 operaciones realizadas con tarjeta débito, ahorros y cupos rotativos fueran registradas oportunamente en los productos correspondientes de los asociados.</t>
  </si>
  <si>
    <t>El 21 de mayo de 2022 se presentó desconexión entre los sistemas Visionamos, Empacto y Wog, lo que impidió que las operaciones realizadas por 42 asociados con tarjeta débito, cuenta de ahorro y cupos rotativos fueran registradas correctamente en sus productos.</t>
  </si>
  <si>
    <t>Falla en la integración tecnológica entre los sistemas transaccionales de los proveedores Visionamos, Empacto y el core Wog, lo que generó diferencias entre las operaciones compensadas y las registradas.</t>
  </si>
  <si>
    <t>42 asociados vieron afectado el registro de sus operaciones en los productos financieros. Se requirió intervención del área contable y de operaciones para conciliar y corregir los movimientos afectados.</t>
  </si>
  <si>
    <t>La cajera de la oficina Mazurén presentó un faltante de $1.100.000 al cierre del día por error en la entrega de efectivo a una asociada. El dinero fue recuperado parcialmente ($1.000.000) al día siguiente.</t>
  </si>
  <si>
    <t>La cajera Laura Nataly Arévalo de la oficina Mazurén presentó un faltante de $1.100.000 al cierre del día 23 de mayo, identificando haber entregado por error dinero de más a una asociada.</t>
  </si>
  <si>
    <t>Error humano en el manejo de efectivo durante la atención en caja, posiblemente asociado a la manipulación de dinero en la máquina contadora mientras se atendía a la asociada.</t>
  </si>
  <si>
    <t>Faltante de $1.100.000 en caja. Se recuperaron $1.000.000 al día siguiente cuando la asociada los devolvió voluntariamente, quedando un faltante residual de $100.000.</t>
  </si>
  <si>
    <t>La ejecución simultánea de múltiples procesos masivos sobre la base de datos del sistema WOG generó una interrupción de casi dos horas en la operación, agravada por la lentitud en la respuesta del proveedor para resolver la incidencia.</t>
  </si>
  <si>
    <t>Se presentó una falla en el sistema Wog que detuvo la operación de la Cooperativa por casi dos horas, causada por la ejecución simultánea del cargue de créditos y el procesamiento de archivos de tarjeta de crédito provenientes de ASNET, generando conflicto en el servidor.</t>
  </si>
  <si>
    <t>Ejecución de múltiples procesos masivos simultáneos que apuntaban directamente a la base de datos, sumada a la falta de monitoreo activo por parte del proveedor Wog y su demora en la atención y resolución de la incidencia.</t>
  </si>
  <si>
    <t>Interrupción de la operación por aproximadamente dos horas. Afectación en la prestación del servicio a los asociados. Se evidenciaron debilidades en el soporte del proveedor Wog y en la coordinación ante contingencias tecnológicas.</t>
  </si>
  <si>
    <t>Se identificó una debilidad estructural en el proceso de reporte de eventos de riesgo por parte de los funcionarios de Febor, a pesar de las capacitaciones realizadas, evidenciando baja apropiación de la cultura de gestión de riesgos.</t>
  </si>
  <si>
    <t>La Gerencia identificó y reportó como evento de riesgo la carencia y debilidad en el proceso de reporte de eventos de riesgo por parte de los funcionarios, a pesar de las capacitaciones previas realizadas al respecto.</t>
  </si>
  <si>
    <t>Insuficiente apropiación de la cultura de gestión de riesgos por parte del personal. Falta de sensibilización y conocimiento sobre los medios y la obligatoriedad del reporte oportuno de eventos.</t>
  </si>
  <si>
    <t>Subregistro de eventos de riesgo que puede generar un panorama de riesgo incompleto para la Cooperativa. Dificultades para cumplir con las exigencias del SARO y para adoptar medidas preventivas y correctivas oportunas.</t>
  </si>
  <si>
    <t>Se emitió un cheque por $283 millones para el retiro de recursos de un asociado, el cual fue devuelto por fondos insuficientes por fallas en la gestión de liquidez interna. El asociado no podía acceder a sus recursos generando malestar e incertidumbre.</t>
  </si>
  <si>
    <t>El 19 de mayo se emitió un cheque por $283 millones para el retiro de los ahorros voluntarios y CDAT del asociado Fredy Niño Rodríguez. El cheque fue devuelto por causal 2 (fondos insuficientes) al momento de ser cobrado ante el Fondo de Inversiones Colectivas Rentar.</t>
  </si>
  <si>
    <t>Insuficiencia de fondos en la cuenta bancaria desde la cual se giró el cheque al momento de su cobro, evidenciando una falla en la gestión y monitoreo de la liquidez de la Cooperativa.</t>
  </si>
  <si>
    <t>El asociado no pudo acceder oportunamente a sus recursos. Riesgo reputacional y de confianza en la Cooperativa. Se generó incertidumbre sobre las acciones a tomar para solucionar la situación, incluyendo la posibilidad de un proceso legal.</t>
  </si>
  <si>
    <t>Imprecisiones en el sistema Ascard generaron una afectación en el IRL (segunda banda) al cierre de junio 2022, con saldos negativos de $4.000 millones en tarjetas de crédito e incremento indebido de $3.000 millones en créditos aprobados no desembolsados.</t>
  </si>
  <si>
    <t>Al cierre de junio 2022, se evidenció un incremento indebido de $3.000 millones en la cuenta de créditos aprobados no desembolsados y saldos negativos de $4.000 millones en tarjetas de crédito, afectando el IRL de segunda banda.</t>
  </si>
  <si>
    <t>Imprecisiones e inconvenientes con el sistema Ascard que generaron registros incorrectos en las partidas contables, afectando la medición del Indicador de Riesgo de Liquidez.</t>
  </si>
  <si>
    <t>Cobertura del IRL por debajo de 1 al cierre del mes, lo que implica un incumplimiento potencial en la medición de liquidez regulatoria. Se requirieron ajustes manuales por parte de las áreas de operaciones y financiera para corregir los saldos.</t>
  </si>
  <si>
    <t>Los asociados afiliados al convenio de telefonía con Tigo quedaron sin servicio de voz y datos durante un fin de semana, generando inconformidad. La falla fue causada por el operador y resuelta tras gestión de Febor.</t>
  </si>
  <si>
    <t>El fin de semana del 6 de agosto los asociados con operador Tigo quedaron sin servicio de telefonía (voz y datos) desde el mediodía, generando molestias e inconformidad entre los usuarios del convenio.</t>
  </si>
  <si>
    <t>Falla técnica en la configuración de las líneas del perfil de asociados por parte del operador Tigo, quien confirmó que las líneas se encontraban en estado suspendido sin causa aparente.</t>
  </si>
  <si>
    <t>Interrupción del servicio de telefonía para los asociados afiliados al convenio con Tigo. Insatisfacción de los usuarios y escalamiento de quejas a Febor. El servicio fue restablecido una vez Tigo realizó la corrección.</t>
  </si>
  <si>
    <t>El módulo de impresión de cheques del sistema Wog presentó falla de configuración, obligando al área de tesorería a elaborar los cheques de forma manual, generando riesgo operativo y pérdida de trazabilidad.</t>
  </si>
  <si>
    <t>El área de tesorería reportó que el módulo de impresión de cheques del sistema Wog estaba fallando, generando cheques mal configurados, lo que obligó a elaborarlos de forma manual.</t>
  </si>
  <si>
    <t>Desconfiguración del módulo de impresión de cheques en el sistema Wog, sin solución oportuna por parte del proveedor pese al reporte de la incidencia.</t>
  </si>
  <si>
    <t>Sobrecarga operativa en el área de tesorería por la elaboración manual de cheques. Riesgo de pérdida de trazabilidad en procesos delicados. Retrasos en la operación de pagos y desembolsos.</t>
  </si>
  <si>
    <t>La conexión entre Wog y Experian para consultas en centrales de riesgo falló durante un día hábil, retrasando el proceso de originación de crédito. No se informó la causa del daño ni se tomaron acciones preventivas.</t>
  </si>
  <si>
    <t>El 22 de agosto no funcionó la conexión entre Wog y Experian para consultas en centrales de riesgo, generando retrasos en las etapas de verificación dentro del proceso de originación de crédito.</t>
  </si>
  <si>
    <t>Falla en la integración tecnológica entre el sistema Wog y la plataforma Experian. No fue reportado el motivo técnico del daño por parte del proveedor, lo que impide la adopción de medidas preventivas.</t>
  </si>
  <si>
    <t>Retraso en el proceso de originación de crédito durante el día de la falla. El proceso fue solucionado al día siguiente. La ausencia de diagnóstico técnico formal incrementa el riesgo de recurrencia del evento.</t>
  </si>
  <si>
    <t>Las variables de evaluación de moras y score de Experian dejaron de funcionar en Wog durante el proceso de otorgamiento de tarjetas de crédito, obligando a realizar ponderaciones manuales y afectando la precisión del scoring crediticio.</t>
  </si>
  <si>
    <t>Durante el proceso de otorgamiento de tarjetas de crédito se detectó que las variables de evaluación de moras y score extraídas automáticamente de Experian en Wog no estaban funcionando, impidiendo la ponderación completa del scoring.</t>
  </si>
  <si>
    <t>Falla en la integración entre Wog y Experian para la extracción automática de variables de evaluación crediticia, sin solución por parte del proveedor en el corto plazo.</t>
  </si>
  <si>
    <t>Necesidad de realizar ponderaciones manuales aumentando el riesgo de imprecisiones en la evaluación crediticia. Retrasos en el proceso de otorgamiento de tarjetas de crédito y exposición a decisiones de crédito con información incompleta.</t>
  </si>
  <si>
    <t>La plataforma Cooperativa Digital presentó fallas recurrentes al momento de cargar solicitudes de crédito, retrasando el proceso de otorgamiento y generando pérdida de credibilidad entre los asociados que utilizan este canal.</t>
  </si>
  <si>
    <t>La plataforma Cooperativa Digital presentó fallas frecuentes al cargar solicitudes de crédito, afectando el proceso de otorgamiento y generando inconformidad en los asociados que prefieren este canal digital.</t>
  </si>
  <si>
    <t>Fallas técnicas en la plataforma Cooperativa Digital administrada por el proveedor Wog, sin monitoreo permanente por parte del área de tecnología que permitiera detectar y escalar las incidencias oportunamente.</t>
  </si>
  <si>
    <t>Retrasos en el proceso de otorgamiento de crédito. Pérdida de credibilidad y confianza de los asociados en el canal digital de la Cooperativa. Afectación en la experiencia de servicio.</t>
  </si>
  <si>
    <t>La aseguradora La Equidad objetó el pago de un siniestro por $38 millones por presunta irregularidad en el desembolso del crédito al fallecido el mismo día de su muerte, con posterior retiro de los recursos por terceros mediante poder general.</t>
  </si>
  <si>
    <t>La aseguradora La Equidad objetó la reclamación del siniestro 10259252 por $38 millones correspondiente al crédito del señor Excelino Herrera (QEPD), argumentando que el desembolso ocurrió el mismo día del fallecimiento y los recursos fueron retirados dos días después por un tercero con poder general.</t>
  </si>
  <si>
    <t>El desembolso del crédito se realizó el mismo día del fallecimiento del asociado. Los recursos fueron retirados posteriormente mediante poder general, generando dudas sobre la validez de la operación y el derecho al cobro del seguro.</t>
  </si>
  <si>
    <t>Objeción del pago del siniestro por parte de la aseguradora, exponiendo a Febor a una pérdida de $38 millones. Se requirió investigación interna y gestión jurídica para sustentar la reclamación ante la aseguradora.</t>
  </si>
  <si>
    <t>Un corte de energía en el sector afectó la operación de la oficina Calle 42 durante varias horas, superando la capacidad de las plantas de respaldo, lo que impidió operar con normalidad en las áreas de servicio y operaciones.</t>
  </si>
  <si>
    <t>El 19 de octubre se presentó un corte de energía en el sector de la oficina Calle 42 que dejó sin servicio de internet, PBX y energía eléctrica a las áreas de trabajo, con una duración mayor a la soportada por las plantas de energía de respaldo.</t>
  </si>
  <si>
    <t>Falla eléctrica en el sector donde opera la oficina Calle 42. La capacidad de las plantas de energía de respaldo (3-4 horas) fue insuficiente para cubrir la duración total del corte, agravado por equipos que quedaron encendidos desde la jornada anterior.</t>
  </si>
  <si>
    <t>Interrupción parcial de la operación de las áreas de servicio y operaciones. Las áreas de Riesgos y Contabilidad mantuvieron energía hasta las 10:30 a.m. Se activó el Plan de Continuidad de Negocio.</t>
  </si>
  <si>
    <t>Se enviaron mensajes masivos de cobro de cartera a la totalidad de la base social de Febor, incluyendo asociados al día con sus obligaciones, generando molestias y quejas. El costo estimado del error fue de $24.380.</t>
  </si>
  <si>
    <t>El 25 de octubre de 2022 se enviaron mensajes masivos de cobro de cartera a toda la base social, incluyendo asociados que se encontraban al día con sus obligaciones, en lugar de enviarse únicamente a los asociados con mora.</t>
  </si>
  <si>
    <t>Error humano en la segmentación de la base de datos utilizada para el envío masivo de mensajes, al no verificar adecuadamente el filtro de destinatarios antes de cargar la información en la plataforma.</t>
  </si>
  <si>
    <t>Molestias y quejas de asociados al día que recibieron mensajes de cobro que no les correspondían. Costo económico estimado de $24.380 por mensajes enviados erróneamente. Riesgo reputacional por afectación en la imagen de la Cooperativa.</t>
  </si>
  <si>
    <t>La plataforma Cooperativa Digital presentó fallas de acceso que impidieron a los asociados realizar pagos, afectando la prestación del servicio en el canal digital. La incidencia fue escalada a Wog para su solución.</t>
  </si>
  <si>
    <t>Los asociados reportaron que no podían realizar pagos a través de la Cooperativa Digital debido a que la plataforma no permitía el ingreso, mostrando errores de acceso.</t>
  </si>
  <si>
    <t>Falla técnica en la plataforma Cooperativa Digital administrada por el proveedor Wog, que generó indisponibilidad del canal para los asociados.</t>
  </si>
  <si>
    <t>Imposibilidad de realizar pagos en línea para los asociados. Insatisfacción por la indisponibilidad del canal digital. Requirió escalamiento y seguimiento con el proveedor Wog para la reactivación del servicio.</t>
  </si>
  <si>
    <t>Se realizó un retiro fraudulento de $1.143.000 de la cuenta de ahorro de un asociado fallecido a través de la Cooperativa Digital, utilizando sus credenciales. El fraude fue ejecutado por un tercero inscrito como destinatario de transferencias.</t>
  </si>
  <si>
    <t>El 28 de noviembre de 2022 se realizó un retiro de $1.143.000 desde la cuenta de ahorro voluntario del asociado fallecido Helena Castro de Caicedo a través de la Cooperativa Digital, hacia la cuenta de Carmen Analida Caicedo Castro, quien estaba inscrita como tercero.</t>
  </si>
  <si>
    <t>Suplantación de identidad del asociado fallecido mediante el uso de sus credenciales de acceso a la Cooperativa Digital, posiblemente por un familiar que conocía los datos de acceso.</t>
  </si>
  <si>
    <t>Pérdida de $1.143.000 de los recursos del asociado fallecido. Riesgo legal y reputacional para la Cooperativa. Se requirió trámite jurídico y contacto con los familiares para gestionar la situación.</t>
  </si>
  <si>
    <t>Terceros realizaron transferencias no autorizadas de $1.200.000 desde la cuenta de ahorro del asociado Guillermo, mediante dos retiros sucesivos. El hecho fue reportado al asociado por Coopcentral y confirmado por Febor.</t>
  </si>
  <si>
    <t>El 29 de noviembre, el asociado Guillermo reportó que en la madrugada se realizaron transferencias no autorizadas de su cuenta de ahorros voluntarios por un valor de $1.200.000 en dos retiros, hecho que fue alertado inicialmente por Coopcentral.</t>
  </si>
  <si>
    <t>Acceso no autorizado a los productos del asociado por parte de terceros, quienes realizaron dos retiros sucesivos sin el conocimiento ni consentimiento del titular.</t>
  </si>
  <si>
    <t>Pérdida de $1.200.000 de los recursos del asociado. El saldo restante en la cuenta era de $800.000. Se generó malestar en el asociado y riesgo reputacional para la Cooperativa por la seguridad de sus productos transaccionales.</t>
  </si>
  <si>
    <t>La aseguradora objetó la reclamación del siniestro por el crédito de una asociada fallecida por $65 millones, argumentando que la deudora presentaba una preexistencia médica no declarada al momento de la vinculación.</t>
  </si>
  <si>
    <t>La aseguradora objetó la reclamación del siniestro correspondiente al crédito No. 1243992 por $65 millones de la señora Carmen Valderrama de Borrero (QEPD), quien falleció el 16 de mayo de 2022 tras haber pagado solo 13 de las 64 cuotas pactadas.</t>
  </si>
  <si>
    <t>La aseguradora argumentó que la asociada fallecida presentaba preexistencias médicas no declaradas al momento de la vinculación, lo que dio lugar a la objeción del siniestro.</t>
  </si>
  <si>
    <t>Exposición de Febor a una pérdida de $65 millones por el saldo insoluto del crédito. Se requirió gestión jurídica para controvertir la objeción de la aseguradora y defender el derecho al pago del siniestro.</t>
  </si>
  <si>
    <t>La factura de renovación de la Póliza Multirriesgo fue archivada por un funcionario sin continuar el trámite de aprobación y pago, generando un retraso en la renovación de la póliza y dejando temporalmente sin cobertura aseguradora a la Cooperativa.</t>
  </si>
  <si>
    <t>La factura de renovación de la Póliza Multirriesgo radicada el 17 de noviembre de 2022 fue archivada por el funcionario de gestión documental sin continuar el trámite, lo que suspendió el proceso de aprobación y pago. El error fue detectado el 13 de diciembre.</t>
  </si>
  <si>
    <t>Falla humana de un funcionario recientemente contratado que desconocía el proceso de tramitación de facturas en el sistema de Gestión Documental Orfeo, llevándolo a archivar la factura sin ejecutar los pasos subsiguientes.</t>
  </si>
  <si>
    <t>Retraso de 26 días en el trámite de renovación de la póliza de seguros. Riesgo de desprotección aseguradora para la Cooperativa durante el periodo de interrupción. Se requirió gestión urgente para reactivar el proceso con autorización de la Gerencia.</t>
  </si>
  <si>
    <t>Interrupción del canal PBX y de internet de la Cooperativa durante dos horas por caída del canal de TIGO-UNE, sin esquema de alta disponibilidad activo-activo. Se identificaron además errores en la configuración de los DNS de Febor.</t>
  </si>
  <si>
    <t>Se presentó una interrupción del canal PBX e internet de la Cooperativa por dos horas, originada por la caída del canal de TIGO-UNE, único canal habilitado para la salida de la oficina Centro.</t>
  </si>
  <si>
    <t>Caída del canal de TIGO-UNE, único proveedor habilitado para internet y PBX en la oficina Centro. Ausencia de esquema de alta disponibilidad activo-activo para los canales de internet y errores en la configuración de los DNS.</t>
  </si>
  <si>
    <t>Interrupción del servicio de PBX e internet por dos horas. Imposibilidad de atender llamadas entrantes durante el evento. Se identificaron vulnerabilidades en la infraestructura de conectividad de la Cooperativa.</t>
  </si>
  <si>
    <t>Se realizó una transferencia no autorizada de $1.450.000 desde la cuenta del asociado Darío Goez Ospina a través de la Cooperativa Digital, precedida de una actualización de datos no reconocida por el asociado.</t>
  </si>
  <si>
    <t>El 18 de enero, el asociado Darío Fernando Goez Ospina reportó una transferencia no autorizada de $1.450.000 desde su cuenta de ahorros voluntarios a través de la Cooperativa Digital, hecho que fue descubierto al comunicarse con Febor el 30 de enero.</t>
  </si>
  <si>
    <t>Acceso fraudulento a la Cooperativa Digital del asociado, precedido de una actualización de datos no reconocida por él. La verificación de la transacción fue realizada al número actualizado recientemente, que pertenecía al defraudador.</t>
  </si>
  <si>
    <t>Pérdida de $1.450.000 del asociado. La verificación de seguridad resultó inefectiva al haberse actualizado previamente el número de contacto. Se requirió bloqueo de la Cooperativa Digital y gestión de reintegro.</t>
  </si>
  <si>
    <t>Un error en la parametrización del sistema Wog generó el cálculo incorrecto de intereses en los CDAT, afectando a múltiples asociados. El caso fue descubierto cuando un asociado consultó sus intereses causados y encontró valores inconsistentes.</t>
  </si>
  <si>
    <t>El asociado Diego Vásquez detectó que su CDAT No. 01322000000001624 a 720 días al 7.5% EA mostraba intereses causados de $7.458.296 en lugar de $13.950.000. La revisión total evidenció que el problema afectaba la parametrización de todos los CDAT del sistema.</t>
  </si>
  <si>
    <t>Error en un parámetro del sistema Wog que afectó el cálculo automático de los intereses de los CDAT constituidos por los asociados.</t>
  </si>
  <si>
    <t>Cálculo incorrecto de intereses en los CDAT de múltiples asociados. Generación de desconfianza e incertidumbre en los asociados afectados. Se requirió revisión masiva y corrección del parámetro en el sistema.</t>
  </si>
  <si>
    <t>Terceros accedieron a la Cooperativa Digital de la asociada María Eugenia Serna Caicedo mediante cambio previo de datos de contacto, logrando transferir $2.067.000 de los $7.067.000 intentados, con recuperación parcial de $5.000.000.</t>
  </si>
  <si>
    <t>El 27 de febrero, la asociada María Eugenia Serna Caicedo fue víctima de fraude: terceros que habían ingresado previamente a la Cooperativa Digital para cambiar su número celular y correo electrónico intentaron transferir $7.067.000, logrando ejecutar $2.067.000.</t>
  </si>
  <si>
    <t>Acceso fraudulento a la Cooperativa Digital mediante ingeniería social, donde el defraudador obtuvo las claves de acceso de la asociada. Previamente realizó cambios en los datos de contacto para tomar control de las credenciales.</t>
  </si>
  <si>
    <t>Pérdida neta de $2.067.000 para la asociada. Se recuperaron $5.000.000 debido a un error del defraudador al registrar el número de cuenta. Riesgo reputacional por vulneración de la seguridad en el canal digital.</t>
  </si>
  <si>
    <t>El asociado Jesús Rodríguez fue víctima de atraco con amenaza, siendo obligado a entregar su tarjeta débito y clave. Los delincuentes realizaron 13 retiros de $600.000 por un total de $7.800.000 antes de que pudiera efectuarse el bloqueo.</t>
  </si>
  <si>
    <t>El sábado 14 de marzo, el asociado Jesús Antonio Rodríguez Roa fue víctima de atraco, siendo obligado bajo amenaza a entregar su tarjeta débito y clave, así como su celular bloqueado. Los delincuentes realizaron 13 retiros de $600.000, dejando la cuenta prácticamente vacía.</t>
  </si>
  <si>
    <t>Hurto mediante violencia física (atraco) al asociado. La demora en el bloqueo de la tarjeta se debió al control del celular por parte de los delincuentes, impidiendo al asociado comunicarse oportunamente con Febor.</t>
  </si>
  <si>
    <t>Pérdida de $7.800.000 del asociado por retiros fraudulentos. Imposibilidad de interponer denuncia de forma digital. Trauma psicológico del asociado. Se gestionó el bloqueo y asesoría para la denuncia formal ante la Fiscalía.</t>
  </si>
  <si>
    <t>Un asociado recibió un CDAT con plazo de 1 año en lugar del plazo de 6 meses solicitado, sin obtener corrección oportuna pese a múltiples comunicaciones. La queja fue escalada al Consejo de Administración por falta de respuesta.</t>
  </si>
  <si>
    <t>Un asociado solicitó CDATs a 6 meses e identificó que uno fue creado a 1 año. A pesar de haber reportado la novedad y recibido compromiso de solución, no obtuvo respuesta ni corrección, lo que lo llevó a escalar la queja ante el Consejo de Administración mediante la PQRSF N1461.</t>
  </si>
  <si>
    <t>Error en la creación del producto CDAT con un plazo diferente al solicitado por el asociado. Falta de seguimiento y respuesta oportuna por parte de las áreas responsables al escalamiento del caso.</t>
  </si>
  <si>
    <t>Insatisfacción del asociado y pérdida de confianza en el servicio de la Cooperativa. Escalamiento de la queja al Consejo de Administración. Afectación de la tasa de interés aplicable por el plazo incorrecto del producto.</t>
  </si>
  <si>
    <t>El módulo de impresión de cheques del sistema Wog presentó nuevamente desajuste en el formato, impidiendo la impresión correcta tanto en carta como en A4. El proveedor no ha dado solución definitiva, generando sobrecarga operativa en tesorería.</t>
  </si>
  <si>
    <t>El módulo de impresión de cheques del sistema Wog volvió a presentar desajuste en el formato de impresión, sin que fuera posible obtener una impresión correcta en ningún tamaño de papel, representando una recurrencia de una falla ya reportada anteriormente.</t>
  </si>
  <si>
    <t>Falla recurrente de configuración en el módulo de impresión de cheques de Wog, sin solución definitiva por parte del proveedor. Las soluciones temporales implementadas anteriormente no resolvieron el problema de fondo.</t>
  </si>
  <si>
    <t>Imposibilidad de imprimir cheques correctamente, obligando al área de tesorería a recurrir a procesos manuales. Sobrecarga operativa, riesgo de pérdida de trazabilidad y posibles retrasos en pagos y desembolsos.</t>
  </si>
  <si>
    <t>Un equipo de cómputo enviado desde Cali a Bogotá por mensajería fue hurtado durante el proceso de entrega por parte de Servientrega. La cobertura del seguro fue solo de $1.000.000, muy inferior al valor real del equipo.</t>
  </si>
  <si>
    <t>El portátil de la funcionaria Lina Susana Herrera fue hurtado por Servientrega durante el proceso de entrega en Bogotá, luego de ser enviado desde Cali con la guía 1151920637. La empresa de mensajería confirmó el hurto mediante correo electrónico.</t>
  </si>
  <si>
    <t>Hurto del equipo durante el proceso de transporte por parte de la empresa de mensajería Servientrega. El equipo fue asegurado únicamente por $1.000.000, valor muy inferior al costo real del activo.</t>
  </si>
  <si>
    <t>Pérdida del equipo de cómputo institucional. La indemnización por parte de Servientrega se limitó a $1.000.000. Se gestionó el cambio de credenciales de los sistemas y se garantizó la seguridad de la información gracias al cifrado BitLocker.</t>
  </si>
  <si>
    <t>El sistema Wog mostró el estado de cuenta de un asociado como completamente al día, omitiendo una cuota de aportes pendiente, lo que llevó a la asesora a brindar información incorrecta y casi aperturar un CDAT sin el requisito cumplido.</t>
  </si>
  <si>
    <t>Al intentar aperturar un CDAT al asociado Ernesto Guerrero Segura, la asesora detectó en taquilla que tenía una cuota de aportes pendiente de marzo, información que no reflejaba el estado de cuenta del sistema Wog, el cual mostraba al asociado totalmente al día.</t>
  </si>
  <si>
    <t>Inconsistencia en el sistema Wog que no reflejaba correctamente el estado real de los aportes del asociado en el estado de cuenta. La información errónea fue comunicada previamente al asociado con base en dicho reporte.</t>
  </si>
  <si>
    <t>Riesgo de incumplir la política de requisitos para la apertura de productos. Se brindó información incorrecta al asociado sobre su estado. Se requirió verificación manual adicional para detectar la inconsistencia.</t>
  </si>
  <si>
    <t>El proveedor Contactos y Negocios S.A.S. entregó a 89 asociados morosos cartas de cobro sin sobre y con un modelo desactualizado, exponiendo información confidencial de los deudores y violando el derecho al habeas data.</t>
  </si>
  <si>
    <t>En abril de 2023, el proveedor Contactos y Negocios S.A.S., encargado de visitas domiciliarias de cobro de cartera, entregó 89 cartas con el modelo incorrecto del mes y sin sobre cerrado en los lugares de residencia y/o trabajo de los asociados morosos.</t>
  </si>
  <si>
    <t>Incumplimiento del proveedor en las instrucciones de entrega de correspondencia, al no usar el modelo vigente y al distribuir las cartas sin sobre cerrado, exponiendo información confidencial de los asociados.</t>
  </si>
  <si>
    <t>Violación al derecho de habeas data de 89 asociados morosos. Riesgo legal para Febor por exposición de información financiera confidencial. Afectación reputacional y posibles reclamaciones por incumplimiento normativo en protección de datos.</t>
  </si>
  <si>
    <t>Se realizó un doble cobro del SOAT al asociado Raúl Eduardo Cañas, ya que pese a haber pagado en caja, el sistema realizó también un descuento automático de su cuenta de ahorros, evidenciando una falla en la conciliación entre la intermediaria de seguros y el área contable.</t>
  </si>
  <si>
    <t>Al asociado Raúl Eduardo Cañas de Lima se le realizó un descuento automático de su cuenta de ahorros voluntarios por el pago de un SOAT que ya había cancelado en caja el 2 de mayo, generando un doble cobro.</t>
  </si>
  <si>
    <t>Falla en los procedimientos internos de conciliación entre la intermediaria de seguros Yolanda Buitrago y el área contable de Febor, quienes no coordinaron oportunamente el registro del pago en efectivo antes de ejecutar el débito automático.</t>
  </si>
  <si>
    <t>Cobro doble al asociado por el valor del SOAT. Insatisfacción del asociado e inconformidad con el servicio. Necesidad de reproceso y reintegro del valor cobrado indebidamente. Evidencia de debilidades en el proceso de conciliación de seguros.</t>
  </si>
  <si>
    <t>Se enviaron mensajes de texto con información sobre compromisos de deuda a números celulares incorrectos, por error en la configuración de la base de datos de afiliados, exponiendo información privada de los asociados a terceros.</t>
  </si>
  <si>
    <t>Se enviaron mensajes de texto con detalles sobre el estado de compromisos de deuda de los asociados a números celulares que no correspondían a los destinatarios previstos.</t>
  </si>
  <si>
    <t>La base de datos de afiliados quedó incorrectamente configurada por la persona encargada de su actualización mensual, generando que los mensajes fueran enviados a números equivocados.</t>
  </si>
  <si>
    <t>Exposición de información financiera privada de asociados a terceros no autorizados. Riesgo de incumplimiento normativo en protección de datos. Necesidad de revisar el proceso de actualización y control de la base de datos de afiliados.</t>
  </si>
  <si>
    <t>El portátil de uso laboral del jefe jurídico fue hurtado durante un atraco a mano armada en la vía pública al salir de su residencia, exponiendo potencialmente información institucional confidencial.</t>
  </si>
  <si>
    <t>El funcionario Andrés Forero, jefe jurídico, fue víctima de atraco en el barrio Hayuelos de Bogotá cuando salía de su residencia, siendo robada la maleta que contenía su portátil de uso laboral.</t>
  </si>
  <si>
    <t>Hurto mediante violencia física (atraco) en la vía pública. El equipo de trabajo era transportado fuera de la oficina en la maleta del funcionario.</t>
  </si>
  <si>
    <t>Pérdida del equipo de cómputo institucional con posible exposición de información confidencial. Se gestionó la asignación de un equipo de reemplazo, la restauración de accesos desde backup y la reclamación ante la aseguradora por cobertura de hurto.</t>
  </si>
  <si>
    <t>Terceros realizaron una transferencia fraudulenta de $1.470.000 desde la cuenta del asociado hacia una cuenta bancaria externa creada fraudulentamente a su nombre, sin la autorización ni el conocimiento del titular.</t>
  </si>
  <si>
    <t>El 19 de agosto de 2023 se realizó una transferencia no autorizada de $1.470.000 desde la cuenta de ahorros voluntarios del asociado hacia una cuenta del Banco Caja Social abierta fraudulentamente a su nombre el 15 de agosto.</t>
  </si>
  <si>
    <t>Acceso no autorizado a los sistemas transaccionales del asociado por parte de terceros, quienes crearon una cuenta bancaria fraudulenta a nombre del asociado para recibir la transferencia sin que fuera fácilmente detectada.</t>
  </si>
  <si>
    <t>Pérdida de $1.470.000 del asociado. Cuenta destino calificada como fraudulenta por el banco receptor. Se requirió investigación interna para identificar el origen del acceso y determinar responsabilidades en la autorización de la operación.</t>
  </si>
  <si>
    <t>Actividades de mantenimiento realizadas por el área de informática sin planificación adecuada generaron la caída del sitio web de Febor, afectando su disponibilidad y acceso para los asociados y el público en general.</t>
  </si>
  <si>
    <t>El sitio web de Febor presentó errores e indisponibilidad como consecuencia de actividades de mejora de seguridad realizadas por la Dirección de Informática, que implicaron un cambio de IP no planificado que tardó más de lo estimado.</t>
  </si>
  <si>
    <t>Cambio de configuración de seguridad (proxy y cambio de IP) realizado durante horario laboral sin planificación de contingencia ni estimación adecuada del tiempo requerido, generando una interrupción no prevista del sitio web.</t>
  </si>
  <si>
    <t>Caída del sitio web de Febor durante un periodo extendido. Afectación en el acceso de asociados y público a la información institucional. Se evidenció la necesidad de planificar con antelación los cambios de infraestructura.</t>
  </si>
  <si>
    <t>La actualización de versión del sistema Wog el 26 de noviembre generó una irregularidad que desactivó cupos de créditos rotativos de varios asociados que ya habían realizado el pago total de su obligación.</t>
  </si>
  <si>
    <t>Tras la actualización de versión de Wog del 26 de noviembre, se detectó que los cupos de créditos rotativos de varios asociados que habían completado el pago de su obligación fueron cancelados incorrectamente.</t>
  </si>
  <si>
    <t>Falla en la actualización de versión del sistema Wog que generó una inconsistencia en los cupos de los créditos rotativos, desactivándolos aun cuando los asociados habían cumplido sus obligaciones.</t>
  </si>
  <si>
    <t>Inconformidad de asociados que no podían acceder a sus cupos de crédito rotativo. Se requirió reportar la incidencia 61118 a Wog y gestionar la activación urgente de los productos afectados. Se evidenció la necesidad de pruebas de funcionalidad tras actualizaciones.</t>
  </si>
  <si>
    <t>La App de Febor y la Cooperativa Digital presentaron errores simultáneos que impedían visualizar algunos productos y realizar transacciones, afectando la experiencia de los asociados y la operación.</t>
  </si>
  <si>
    <t>Se reportaron errores en la App de Febor y la Cooperativa Digital que impedían ver algunos productos y mostraban avisos de error al intentar realizar transacciones, incluyendo la inscripción y ejecución de transferencias a terceros.</t>
  </si>
  <si>
    <t>Falla técnica en las plataformas digitales, posiblemente vinculada al consumo de la plataforma BI, que afectó simultáneamente la App y la Cooperativa Digital administradas por el proveedor Wog.</t>
  </si>
  <si>
    <t>Interrupción en la prestación del servicio transaccional digital. Imposibilidad de realizar transacciones por parte de los asociados. Reputación afectada por la indisponibilidad de los canales digitales.</t>
  </si>
  <si>
    <t>Se admitió como nuevo asociado a una persona que tenía deudas morosas previas no saldadas con la Cooperativa, por omisión de controles en la verificación del historial en los sistemas internos durante el proceso de vinculación.</t>
  </si>
  <si>
    <t>Se realizó la admisión del señor Alfonso Serrano Parra como nuevo asociado, sin detectar que ya había tenido una relación previa con Febor como deudor moroso sin cobro efectivo, debido a una verificación incompleta.</t>
  </si>
  <si>
    <t>El analista responsable de la admisión verificó los requisitos únicamente en el sistema Orfeo, sin consultar los registros históricos de morosidad en otros sistemas disponibles, omitiendo el control completo requerido.</t>
  </si>
  <si>
    <t>Admisión de un asociado con historial de mora no saldada. Riesgo crediticio y de cartera para la Cooperativa. Evidencia de debilidades en el proceso de verificación de requisitos de admisión de asociados.</t>
  </si>
  <si>
    <t>Se distribuyeron calendarios institucionales 2024 con defectos de calidad provenientes del proveedor, sin que el área responsable los detectara previamente, afectando la imagen de la Cooperativa.</t>
  </si>
  <si>
    <t>Se distribuyeron los calendarios institucionales 2024, tanto de escritorio como de pared, los cuales presentaban defectos de calidad provenientes del proveedor. Los defectos fueron detectados por integrantes del Consejo y no por el área responsable de la recepción.</t>
  </si>
  <si>
    <t>El proceso de verificación de calidad del producto recibido fue insuficiente, con una muestra de revisión mínima que no permitió detectar los defectos generalizados en los calendarios antes de su distribución.</t>
  </si>
  <si>
    <t>Distribución de material institucional defectuoso afectando la imagen de la Cooperativa. Necesidad de reemplazar los calendarios a cargo del proveedor. Evidencia de debilidades en el proceso de control de calidad en la recepción de suministros.</t>
  </si>
  <si>
    <t>Se identificaron casos recurrentes de registro de CDAT en el sistema con fechas posteriores al mes de solicitud, lo que genera afectación en la tasa de interés aplicada e incumplimiento de políticas internas aprobadas por el Consejo.</t>
  </si>
  <si>
    <t>Durante los procesos de auditoría mensual de control interno, se identificaron casos en los que los CDAT fueron registrados en el sistema en un mes diferente al de su solicitud, especialmente cuando se solicitaban a final de mes.</t>
  </si>
  <si>
    <t>Los CDAT solicitados a finales de mes eran creados en el sistema a principios del mes siguiente, generando una diferencia entre la fecha de solicitud y la fecha de registro que afecta la tasa de interés vigente.</t>
  </si>
  <si>
    <t>Afectación de la tasa de interés reconocida a los asociados por sus depósitos. Incumplimiento de las políticas internas de creación de productos bajo condiciones aprobadas por el Consejo de Administración. Riesgo de reclamaciones por parte de los asociados afectados.</t>
  </si>
  <si>
    <t>Se identificaron dos declaraciones de origen de fondos con presuntas falsificaciones de firma y huella en operaciones en efectivo, realizadas en caja por dos asociados los días 6 y 9 de febrero de 2024.</t>
  </si>
  <si>
    <t>Durante la verificación de documentos de origen de fondos en operaciones en efectivo, se detectaron dos declaraciones con aparente falsificación de firma y huella, con indicios de autenticaciones cortadas y pegadas de otros documentos, correspondientes a dos asociados atendidos en caja.</t>
  </si>
  <si>
    <t>Posible falsificación de firma y huella por parte de los asociados en las declaraciones de origen de fondos, sin que la funcionaria de caja detectara las inconsistencias durante la atención presencial.</t>
  </si>
  <si>
    <t>Riesgo de incumplimiento normativo en procesos de prevención de lavado de activos (LAFT). Exposición legal y reputacional para la Cooperativa. El caso fue expuesto al equipo directivo para la toma de acciones pertinentes.</t>
  </si>
  <si>
    <t>La instrucción enviada por el área jurídica al área de operaciones para el proceso de cruce de cuentas en la exclusión de 26 asociados fue incompleta, generando una aplicación contable incorrecta que requirió reproceso.</t>
  </si>
  <si>
    <t>El área jurídica envió instrucciones incompletas al área de operaciones para ejecutar el cruce de cuentas de aportes y DAES de 26 asociados cuya exclusión fue aprobada el 20 de marzo de 2024, omitiendo la condición de condonar intereses y reducir capital.</t>
  </si>
  <si>
    <t>La instrucción del área jurídica al área de operaciones no incluyó de forma completa las condiciones aprobadas por el Consejo para la exclusión, generando una aplicación contable incorrecta.</t>
  </si>
  <si>
    <t>Necesidad de reprocesar la aplicación contable de los saldos de los 26 asociados para el cierre de abril de 2024. Riesgo de errores en los estados financieros y en el reconocimiento de las exclusiones aprobadas.</t>
  </si>
  <si>
    <t>Una funcionaria modificó la fecha del certificado de pensión de un asociado para facilitar el proceso de crédito, constituyendo un caso de fraude interno por falsificación documental, detectado en el comité de auditoría.</t>
  </si>
  <si>
    <t>La funcionaria Alejandra Rodríguez modificó la fecha del certificado de pensión del asociado José Agustín Martínez Cristancho en el proceso de crédito, alterando el documento para incluir la nómina de enero de 2024, sin registrar el documento original en el sistema.</t>
  </si>
  <si>
    <t>Decisión unilateral de la funcionaria de modificar un documento oficial para facilitar el trámite de crédito del asociado, sin seguir el proceso correcto de solicitud del documento original y sin autorización de sus superiores.</t>
  </si>
  <si>
    <t>Fraude interno por falsificación de documento oficial. Riesgo de pérdida crediticia por vinculación de un asociado con documentos alterados. Proceso disciplinario y legal contra la funcionaria. Riesgo reputacional para la Cooperativa.</t>
  </si>
  <si>
    <t>Dos consejeros de Febor fueron víctimas de fraude externo por robo y suplantación de identidad a través de canales transaccionales digitales, resultando en pérdidas por $2.100.000 y $27.000.000 respectivamente.</t>
  </si>
  <si>
    <t>Entre el 30 de mayo y el 7 de junio de 2024, dos consejeros de Febor, María Elvira Molano ($2.100.000) y Jaime Albeiro Martínez ($27.000.000), fueron víctimas de fraude externo mediante robo y suplantación de identidad por medios transaccionales digitales.</t>
  </si>
  <si>
    <t>Acceso fraudulento a las cuentas de los consejeros a través de los canales transaccionales digitales de la Cooperativa, mediante técnicas de suplantación de identidad por parte de terceros.</t>
  </si>
  <si>
    <t>Pérdida total de $29.100.000 entre los dos casos. Afectación directa a miembros del Consejo de Administración. Riesgo reputacional y de confianza en los canales digitales de la Cooperativa.</t>
  </si>
  <si>
    <t>Terceros suplantaron al asociado Fernando Arciniegas en la Cooperativa Digital, primero intentando transferir a cuenta Nequi y luego creando una cuenta Daviplata a su nombre para ejecutar una transferencia exitosa, aprovechando un proceso de desbloqueo mal ejecutado.</t>
  </si>
  <si>
    <t>Terceros intentaron y lograron transferir dinero desde la cuenta del asociado Fernando Arciniegas, primero a una cuenta Nequi (bloqueada) y luego a una cuenta Daviplata creada fraudulentamente a su nombre, aprovechando el acceso al correo del asociado.</t>
  </si>
  <si>
    <t>La funcionaria Erika realizó el desbloqueo de contraseña de la Cooperativa Digital del asociado sin asignar una nueva clave. El suplantador, que ya tenía acceso al correo del asociado, pudo ingresar y ejecutar las transferencias.</t>
  </si>
  <si>
    <t>Pérdida económica del asociado por la transferencia exitosa a la cuenta Daviplata fraudulenta. Evidencia de fallas en el proceso de desbloqueo de contraseñas de la Cooperativa Digital. Riesgo reputacional por vulneración de la seguridad en el canal digital.</t>
  </si>
  <si>
    <t>El 31 de julio de 2024 se procesaron incorrectamente 153 pagos, incluyendo 100 aplicaciones duplicadas de DAES a un mismo asociado, originadas por errores en el manejo manual de la plantilla de pagos.</t>
  </si>
  <si>
    <t>El 31 de julio de 2024 se procesaron erróneamente 153 pagos, incluyendo 100 aplicaciones de pago de DAES duplicadas para un mismo asociado, originadas por errores en la manipulación manual de la plantilla de pagos.</t>
  </si>
  <si>
    <t>Error humano en el manejo manual de la plantilla de pagos utilizada habitualmente para la aplicación de pagos de DAES, que no cuenta con controles automatizados para prevenir duplicidades.</t>
  </si>
  <si>
    <t>Procesamiento incorrecto de 153 pagos. Necesidad de reversar todas las operaciones afectadas. Sobrecarga operativa para el equipo de operaciones. Se evidenció la necesidad de automatizar el proceso de aplicación de pagos.</t>
  </si>
  <si>
    <t>En julio y agosto de 2024 se registraron casos de doble aplicación en pagos de tarjeta de crédito por fallas entre Wog y ASNET, afectando a 24 asociados en julio por $7.568.355 y casos adicionales en agosto.</t>
  </si>
  <si>
    <t>El 9 de julio se registraron 24 casos de doble aplicación en pagos de tarjeta de crédito por $7.568.355, causados por fallas entre los sistemas Wog y ASNET. En agosto se reportaron nuevos casos de la misma naturaleza.</t>
  </si>
  <si>
    <t>Fallas en la comunicación entre los sistemas Wog y ASNET que generaron la aplicación duplicada de pagos de tarjeta de crédito.</t>
  </si>
  <si>
    <t>Doble abono en las cuentas de 24 asociados en julio. La Cooperativa asumió el costo de los casos menores ($156.118 en 13 asociados) y gestionó la devolución con los restantes. Riesgo de pérdida económica y necesidad de corrección manual de los registros.</t>
  </si>
  <si>
    <t>La asociada Ingrid Frederick Obregón no obtuvo respuesta oportuna a su solicitud de endoso de póliza de vida radicada en abril de 2024, lo que la llevó a registrar una queja formal ante la Cooperativa por falta de gestión.</t>
  </si>
  <si>
    <t>La asociada Ingrid Frederick Obregón radicó en abril de 2024 una solicitud de endoso de póliza de vida deudor sobre su crédito, sin recibir respuesta ni solución oportuna, lo que la llevó a registrar una queja formal por falta de atención.</t>
  </si>
  <si>
    <t>Falta de seguimiento y gestión oportuna por parte de las áreas responsables (jurídica y de seguros) ante la solicitud de endoso de la póliza, generando demoras que superaron los tiempos de respuesta esperados.</t>
  </si>
  <si>
    <t>Insatisfacción de la asociada y pérdida de confianza en el servicio. Radicación de queja formal. Seguimiento de cobros de cuotas sin el ajuste del endoso, afectando la situación financiera del crédito de la asociada.</t>
  </si>
  <si>
    <t>El 22 de agosto de 2024 se suspendió el proceso de análisis de crédito por un error en el cálculo de la capacidad de pago, originado por discrepancias en la retención en la fuente, afectando cuatro casos de nómina.</t>
  </si>
  <si>
    <t>El 22 de agosto de 2024 se detectó un error en el cálculo de capacidad de pago para créditos con descuento por nómina en cuatro casos, por discrepancias entre la retención en la fuente calculada por el modelo y la reportada en los desprendibles, lo que llevó a suspender el análisis de crédito.</t>
  </si>
  <si>
    <t>Discrepancia entre la retención en la fuente calculada por el modelo interno de capacidad de pago y la reportada en los desprendibles de pago de los asociados afectados, generando imprecisiones en la evaluación crediticia.</t>
  </si>
  <si>
    <t>Suspensión temporal del proceso de análisis de crédito. Retraso en la aprobación de créditos en espera. Falta de un plan de contingencia activo para dar continuidad al proceso durante la corrección del error.</t>
  </si>
  <si>
    <t>Una falla en el proceso de renovación automática de CDAT el 12 de agosto de 2024 afectó a 72 títulos con vencimiento entre el 1 y el 11 de agosto, los cuales quedaron registrados con fecha de renovación incorrecta, generando afectación en el pago de intereses.</t>
  </si>
  <si>
    <t>El 12 de agosto de 2024 se detectó que 72 CDAT con vencimiento entre el 1 y el 11 de agosto no fueron renovados automáticamente, requiriendo renovación manual y quedando registrados con fecha de renovación del 14 de agosto en lugar de la fecha originalmente pactada.</t>
  </si>
  <si>
    <t>Falla en el proceso de renovación automática de CDAT en el sistema, cuyo origen no fue completamente esclarecido, generando que un grupo de títulos no fuera procesado en las fechas correspondientes.</t>
  </si>
  <si>
    <t>Reproceso en el pago de intereses del mes para 72 CDAT. Afectación de las condiciones originalmente pactadas con los asociados al registrar fechas de renovación incorrectas. Necesidad de gestión adicional con el proveedor para la corrección y formalización de las incidencias.</t>
  </si>
  <si>
    <t>Un error de configuración en el sistema generó la liquidación anticipada de 11 ahorros programados, incluyendo el del asociado Rodrigo Alzate, cuyo ahorro fue liquidado un mes antes de la fecha de vencimiento pactada.</t>
  </si>
  <si>
    <t>El 27 de agosto de 2024 el asociado Rodrigo Alzate reportó la liquidación anticipada de su ahorro programado No. 01424000000003852, originalmente pactado para retiro el 23 de septiembre. La revisión evidenció que otros 10 ahorros programados presentaban la misma situación.</t>
  </si>
  <si>
    <t>Error en la configuración del sistema que programó incorrectamente el plan de pagos de los ahorros programados afectados, generando su liquidación antes de la fecha de vencimiento pactada.</t>
  </si>
  <si>
    <t>11 asociados vieron liquidados anticipadamente sus ahorros programados. Riesgo de incumplimiento de las condiciones pactadas con los asociados. Se formalizó la incidencia 64672 ante el proveedor para la corrección y el reproceso de los productos afectados.</t>
  </si>
  <si>
    <t>Al cambiar de condición de empleado a pensionado, el servicio funerario de cortesía de Febor no fue reactivado para el asociado Fabián Díaz, lo que le impidió acceder oportunamente al servicio tras el fallecimiento de su madre.</t>
  </si>
  <si>
    <t>El 22 de septiembre, el asociado Fabián Díaz Urrea reportó que no pudo acceder oportunamente al servicio funerario de Coorserpark para atender el fallecimiento de su madre, al no encontrar activo el beneficio en su perfil.</t>
  </si>
  <si>
    <t>Tras el cambio de condición del asociado de empleado a pensionado, no se realizó el seguimiento necesario para reactivar el servicio funerario de cortesía que ofrece Febor, por falta de controles entre las áreas responsables de gestionar la transición de beneficios.</t>
  </si>
  <si>
    <t>El asociado no pudo acceder oportunamente al servicio funerario para gestionar la velación y trámites del fallecimiento de su madre. Insatisfacción y malestar del asociado. Daño a la imagen de la Cooperativa por incumplimiento del beneficio.</t>
  </si>
  <si>
    <t>Se enviaron mensajes de texto publicitarios de preaprobación de tarjetas de crédito a tres asociados que habían solicitado expresamente no recibir este tipo de comunicaciones, por omisión del filtro de exclusión en la base de datos.</t>
  </si>
  <si>
    <t>En agosto, durante el envío de mensajes de texto publicitarios sobre preaprobación de tarjetas de crédito, se incluyó a tres asociados que habían solicitado previamente ser excluidos de este tipo de comunicaciones.</t>
  </si>
  <si>
    <t>Omisión en el proceso de filtrado de la base de datos por parte de la Jefatura de Comunicaciones, al asumir erróneamente que la base ya contenía la exclusión de estos asociados sin verificarlo.</t>
  </si>
  <si>
    <t>Vulneración de la voluntad de tres asociados de no recibir publicidad. Riesgo de incumplimiento normativo en protección de datos y respeto a solicitudes de exclusión de comunicaciones comerciales.</t>
  </si>
  <si>
    <t>Múltiples asociados mayores con poca actividad reciente fueron víctimas de transferencias no autorizadas a través de la Cooperativa Digital, en un posible esquema de fraude organizado que utilizó como intermediario la cuenta de otro asociado.</t>
  </si>
  <si>
    <t>Dos asociados, Germán Molano y Carlos Sánchez, reportaron transferencias no autorizadas por la Cooperativa Digital hacia la cuenta del asociado Hernando Bahamón, quien a su vez transfirió los recursos a cuentas externas de terceros en un posible esquema de fraude organizado.</t>
  </si>
  <si>
    <t>Acceso fraudulento a las cuentas de asociados mayores con poca actividad reciente, posiblemente por compromiso de credenciales, permitiendo a los defraudadores operar mediante una cuenta intermediaria para dificultar la trazabilidad.</t>
  </si>
  <si>
    <t>Pérdida económica para los asociados afectados por las transferencias no autorizadas. Riesgo reputacional para la Cooperativa por vulneración de la seguridad en el canal digital. Se requirió investigación y gestión jurídica para la recuperación de los fondos.</t>
  </si>
  <si>
    <t>Múltiples solicitudes de auxilio educativo y de solidaridad no fueron incluidas oportunamente en los listados de evaluación de los comités correspondientes por errores y omisiones de las funcionarias responsables de recibirlas y procesarlas.</t>
  </si>
  <si>
    <t>En 2024 se presentaron múltiples casos en los que asociados que radicaron solicitudes de auxilio educativo y de solidaridad no fueron incluidos en los listados de los comités de evaluación, quedando por fuera del proceso de aprobación del periodo.</t>
  </si>
  <si>
    <t>Errores y omisiones humanas de las funcionarias responsables de recibir y procesar las solicitudes, quienes no incluyeron oportunamente las peticiones en los listados de evaluación de los comités.</t>
  </si>
  <si>
    <t>Asociados que cumplían requisitos no recibieron sus auxilios en el periodo correspondiente. Insatisfacción y afectación económica de los asociados perjudicados. Riesgo de incumplimiento de los beneficios ofrecidos por la Cooperativa.</t>
  </si>
  <si>
    <t>La aplicación de la Circular 54 de la SES para ampliar el plazo de dos créditos del asociado Nelson Riaño presentó inconsistencias en el plan de pagos por cuotas semestrales, generando reprocesos y necesidad de notificaciones adicionales.</t>
  </si>
  <si>
    <t>La solicitud del asociado Nelson Eduardo Riaño para extender el plazo de dos créditos a 108 meses bajo la Circular 54 de la SES presentó inconsistencias en la configuración del plan de pagos relacionadas con el manejo de cuotas extras semestrales por primas.</t>
  </si>
  <si>
    <t>Inconsistencias en la configuración del plan de pagos del sistema al procesar la reestructuración de créditos con cuotas extras semestrales asociadas a primas, evidenciando una limitación en la parametrización del sistema para estos casos.</t>
  </si>
  <si>
    <t>Necesidad de reprocesos y ajustes adicionales en la configuración del crédito. Retraso en la formalización de la reestructuración y comunicación tardía al asociado sobre las correcciones realizadas.</t>
  </si>
  <si>
    <t>La nómina electrónica de noviembre de 2024 fue reportada ante la DIAN con incumplimiento del plazo legal, y la funcionaria encargada informó erróneamente a su superior que ya había sido enviada, lo que impidió tomar acciones correctivas oportunas.</t>
  </si>
  <si>
    <t>La nómina electrónica de noviembre de 2024 fue presentada ante la DIAN el 3 de enero de 2025, incumpliendo el plazo legal del 10 de diciembre de 2024. Adicionalmente, la funcionaria encargada informó falsamente a su jefe el 16 de diciembre que ya había sido enviada.</t>
  </si>
  <si>
    <t>Saturación de actividades adicionales durante el mes que llevó a la funcionaria a incumplir el plazo de reporte. El reporte erróneo dado a su superior impidió la detección y corrección oportuna del incumplimiento.</t>
  </si>
  <si>
    <t>Incumplimiento regulatorio ante la DIAN por reporte extemporáneo de nómina electrónica. Riesgo de sanciones y multas. Pérdida de confianza en la información reportada internamente por el área responsable.</t>
  </si>
  <si>
    <t>Se realizó un descuento indebido de $200.000 adicionales en la nómina del funcionario Jasson Cepeda por un error en la fórmula del archivo Excel utilizado para el cálculo de pagos a Confiar, evidenciando la fragilidad de los procesos manuales.</t>
  </si>
  <si>
    <t>El 30 de diciembre de 2024, se identificó que al funcionario Jasson Cepeda se le descontaron $1.070.580 en lugar de los $870.580 autorizados para abono a Cooperativa Confiar, generando un cobro indebido de $200.000.</t>
  </si>
  <si>
    <t>Error en la fórmula del archivo Excel utilizado para calcular los pagos a Confiar, donde la suma total quedó mal formulada y la funcionaria no detectó la inconsistencia antes de ejecutar el pago.</t>
  </si>
  <si>
    <t>Descuento indebido de $200.000 en la nómina del funcionario. Necesidad de reproceso y reintegro del valor cobrado en exceso. Evidencia de la fragilidad de los procesos manuales en Excel para la gestión de pagos de nómina.</t>
  </si>
  <si>
    <t>El 16 de febrero de 2025 se presentó indisponibilidad en los canales transaccionales digitales de la Cooperativa, con fallas en CoopDigital y en la App Febor, afectando la autenticación y los pagos por convenio de recaudo.</t>
  </si>
  <si>
    <t>El 16 de febrero de 2025 los canales digitales de la Cooperativa presentaron fallas: CoopDigital se congelaba y no enviaba el código OTP, y la App Febor tenía inoperativa la opción de pago por convenio de recaudo, aunque sí funcionaban los pagos individuales por PSE.</t>
  </si>
  <si>
    <t>Falla técnica en los canales transaccionales digitales, probablemente asociada a la infraestructura del proveedor. Adicionalmente, se brindó información incorrecta a los asociados sobre los tiempos de procesamiento de pagos por PSE.</t>
  </si>
  <si>
    <t>Imposibilidad de autenticación y realización de transacciones por OTP. Pagos por convenio de recaudo no disponibles. Confusión y preocupación innecesaria en los asociados por información incorrecta sobre tiempos de pago.</t>
  </si>
  <si>
    <t>La nueva versión de la App de Febor fue lanzada anticipadamente sin comunicación previa a usuarios ni asesores, generando confusión y dificultades en la migración durante un periodo de fallas en los canales digitales.</t>
  </si>
  <si>
    <t>El 21 de febrero, en medio de las fallas en los canales digitales, se lanzó anticipadamente la nueva versión de la App de Febor, requiriendo que los usuarios descargaran una nueva aplicación, sin que esto hubiera sido comunicado previamente.</t>
  </si>
  <si>
    <t>La Dirección de TI gestionó la liberación anticipada de la nueva versión con Wog para aprovechar la funcionalidad de pagos. La implementación se realizó sin comunicación previa a los usuarios ni capacitación a los asesores comerciales.</t>
  </si>
  <si>
    <t>Confusión entre los usuarios sobre la necesidad de descargar la nueva app. Dificultades de los asesores para orientar a los asociados por falta de información. Afectación en la experiencia del servicio durante el proceso de migración.</t>
  </si>
  <si>
    <t>Un error humano en el ingreso de valores en la plataforma AvalPayCenter generó un pago de $216.089.791 en lugar de $2.160.897 en la tarjeta de crédito del asociado Yuber Cetina, durante un proceso de compra de cartera por PSE.</t>
  </si>
  <si>
    <t>El 26 de febrero se registró un pago errado en la tarjeta de crédito del asociado Yuber Cetina al realizar una compra de cartera por PSE: en lugar de pagar $2.160.897,91 se registró un pago de $216.089.791 por error en el ingreso de puntos y decimales en la plataforma AvalPayCenter.</t>
  </si>
  <si>
    <t>Error humano al digitar el valor del pago en AvalPayCenter, plataforma que solo acepta números enteros. Al ingresar la cifra con puntos y decimales, el sistema incrementó automáticamente dos dígitos adicionales al valor.</t>
  </si>
  <si>
    <t>Pago excesivo de $213.928.893 sobre el valor real adeudado. Afectación al flujo de caja de la Cooperativa. Se requirió gestión urgente de reversión con el banco y con la plataforma de pagos para recuperar el excedente.</t>
  </si>
  <si>
    <t>Se enviaron masivamente 351 mensajes con valores de devolución erróneos y 1.932 mensajes de alerta de devolución sin que correspondiera devolución alguna, por manipulación incorrecta de un archivo Excel con fórmulas vinculadas.</t>
  </si>
  <si>
    <t>El área de Operaciones envió masivamente 351 mensajes con valores de devolución incorrectos y 1.932 mensajes con alertas de devolución sin que hubiera devolución real, generando confusión entre los asociados incluyendo consejeros.</t>
  </si>
  <si>
    <t>El analista modificó un archivo Excel con vínculos y fórmulas activas generado por la jefe de operaciones, realizando ajustes que afectaron los valores calculados sin percatarse de que las fórmulas quedaron desvinculadas e incorrectas.</t>
  </si>
  <si>
    <t>Confusión generalizada entre los asociados por mensajes erróneos sobre devoluciones. Afectación de la confianza en los canales de comunicación institucional. Necesidad de gestión de aclaraciones masivas y reproceso de las comunicaciones.</t>
  </si>
  <si>
    <t>Fallas técnicas en el portal de Coopcentral y deficiencias en la coordinación entre las áreas de Tesorería y Operaciones generaron la duplicación de lotes de transferencia, resultando en un giro duplicado por aproximadamente $28 millones.</t>
  </si>
  <si>
    <t>El 12 de junio de 2025 fallas técnicas en el portal de Coopcentral impidieron la carga correcta de lotes de transferencia. Al realizar cargas paralelas para garantizar continuidad, se duplicaron varios lotes, siendo aprobado y girado uno por aproximadamente $28 millones.</t>
  </si>
  <si>
    <t>Fallas en el portal bancario de Coopcentral combinadas con deficiencias en la comunicación y coordinación entre las áreas de Tesorería y Operaciones, que realizaron cargas paralelas sin verificar la duplicidad antes de aprobar los giros.</t>
  </si>
  <si>
    <t>Desembolso duplicado de aproximadamente $28 millones. Riesgo de pérdida económica para la Cooperativa. Se requirió reunión con Coopcentral para gestionar la recuperación de los recursos girados en exceso.</t>
  </si>
  <si>
    <t>Se identificaron 622 cuentas DAES sin apertura de cuotas para los meses de junio y julio de 2025, lo que impedía la aplicación de pagos y requería ajustes manuales en el sistema como solución provisional.</t>
  </si>
  <si>
    <t>Durante el proceso de aplicación de pagos DAES, se detectó que 622 cuentas no tenían aperturadas las cuotas de junio y julio de 2025, impidiendo la correcta aplicación de los pagos recibidos.</t>
  </si>
  <si>
    <t>Falla en el sistema que impidió la apertura automática de las cuotas correspondientes a junio y julio en 622 cuentas DAES, sin que se identificara un patrón común entre los casos afectados.</t>
  </si>
  <si>
    <t>Imposibilidad de aplicar correctamente los pagos en 622 cuentas. Necesidad de realizar ajustes manuales en el sistema. Sobrecarga operativa y riesgo de errores en el procesamiento de pagos. Se escaló la incidencia al proveedor para su corrección masiva.</t>
  </si>
  <si>
    <t>El 21 de julio de 2025 múltiples asociados reportaron retiros no autorizados desde sus cuentas de ahorro mediante la funcionalidad de retiro sin tarjeta, evidenciando una posible vulneración de seguridad en el canal móvil.</t>
  </si>
  <si>
    <t>El 21 de julio de 2025 se recibieron múltiples reportes de asociados con retiros no autorizados realizados mediante la funcionalidad de retiro sin tarjeta de la App de Febor.</t>
  </si>
  <si>
    <t>Posible vulneración de la funcionalidad de retiro sin tarjeta en la App de Febor, posiblemente por compromiso de credenciales o explotación de una falla en el mecanismo de autenticación del canal.</t>
  </si>
  <si>
    <t>Pérdida económica para múltiples asociados afectados por retiros no autorizados. Riesgo reputacional y de confianza en los canales digitales. Se activó el equipo directivo para gestión de la emergencia y adopción de medidas correctivas.</t>
  </si>
  <si>
    <t>El 26 de agosto de 2025 se identificaron inconsistencias en la conciliación con Visionamos: 104 operaciones del 23 de agosto fueron compensadas pero no reflejadas en el Core WOG, afectando $29.398.716. Se recuperó la mayoría, quedando pendiente $410.708 de 4 asociados.</t>
  </si>
  <si>
    <t>El 26 de agosto de 2025, durante la conciliación de operaciones del fin de semana con Visionamos, se detectó que 104 transacciones del 23 de agosto aparecían compensadas pero no estaban debitadas en los ahorros a la vista del Core WOG.</t>
  </si>
  <si>
    <t>Inconsistencia entre los registros del switch de Enpacto y el Core WOG, donde las transacciones autorizadas por Enpacto el 23 de agosto no fueron debidamente reflejadas en los movimientos de ahorro del sistema.</t>
  </si>
  <si>
    <t>104 asociados con operaciones no debitadas por $29.398.716. Se gestionó recuperación con 100 asociados. Saldo pendiente por recuperar de $410.708 de 4 asociados. Riesgo operativo y de pérdida económica residual.</t>
  </si>
  <si>
    <t>El 31 de octubre, el banco reportó el cobro de $217 millones en débitos automáticos (vs. $239 millones programados) con resultados sospechosos, incluyendo débitos exitosos a asociados con más de 60 días de mora que históricamente eran rechazados, evidenciando posibles irregularidades en el proceso.</t>
  </si>
  <si>
    <t>El 31 de octubre se cargó el archivo de débitos automáticos al banco, reportando el cobro de $217 millones versus $239 millones programados. Se detectaron inconsistencias graves: débitos exitosos en asociados con más de 60 días de mora que normalmente eran rechazados.</t>
  </si>
  <si>
    <t>Inconsistencias en el proceso de cobro de débitos automáticos con el banco, donde se aprobaron cobros en cuentas que históricamente eran rechazadas, sin que el sistema o el analista detectaran la anomalía antes de procesar el archivo.</t>
  </si>
  <si>
    <t>Diferencia de $22 millones entre los montos programados y cobrados. Resultados inconsistentes con el comportamiento histórico del proceso. Riesgo operativo y financiero por posibles cobros indebidos o irregularidades en el sistema bancario.</t>
  </si>
  <si>
    <t>La analista Alejandra Villamil cometió un error al construir la plantilla de devolución de comisiones en Excel, generando valores incorrectos que fueron cargados masivamente en WOG, afectando las devoluciones del período.</t>
  </si>
  <si>
    <t>Durante el proceso semanal de compensación de comisiones por retiros con tarjeta débito, la analista Alejandra Villamil construyó incorrectamente la plantilla Excel de cargue masivo en WOG, generando valores de devolución erróneos.</t>
  </si>
  <si>
    <t>Error en la construcción de la plantilla base en Excel con fórmulas para calcular las devoluciones, lo que generó valores incorrectos en la plantilla de cargue masivo sin que fuera detectado antes de su procesamiento.</t>
  </si>
  <si>
    <t>Cargue masivo de valores de devolución incorrectos en WOG. Afectación en las cuentas de los asociados con devoluciones incorrectas. Necesidad de reversar y reprocesar las operaciones afectadas.</t>
  </si>
  <si>
    <t>La aplicación Zulu presentó fallas que impidieron la atención de llamadas entrantes en múltiples sedes durante varios días, evidenciando intermitencias desde la implementación de la aplicación Softphone.</t>
  </si>
  <si>
    <t>El 29 de septiembre la aplicación Zulu dejó de funcionar en múltiples sedes, impidiendo contestar las llamadas entrantes desde las 9:30 a.m. Las fallas se extendieron a lo largo del día y al día siguiente en la sede Centro, con restablecimiento parcial mediante teléfono físico.</t>
  </si>
  <si>
    <t>Fallas técnicas en la aplicación Zulu/Softphone implementada para la gestión de llamadas, que ha presentado intermitencias recurrentes desde su implementación en la Cooperativa.</t>
  </si>
  <si>
    <t>Imposibilidad de atender llamadas entrantes en múltiples sedes durante varias horas y días. Insatisfacción de asociados que no pudieron ser atendidos. Riesgo operativo por dependencia de un canal de atención con fallas recurrentes.</t>
  </si>
  <si>
    <t>El 6 de noviembre de 2025 se procesó un desembolso duplicado del crédito del asociado Víctor Arce por $41 millones, y en la misma semana se registró un segundo caso similar, por falta de verificación entre las áreas de Operaciones y Tesorería.</t>
  </si>
  <si>
    <t>El 6 de noviembre de 2025 el área de Operaciones realizó un nuevo cargue del crédito del asociado Víctor Arce, generando un desembolso duplicado de $41 millones, cuyo primer giro había sido realizado el 4 de noviembre por Tesorería. En la misma semana se registró un segundo caso similar.</t>
  </si>
  <si>
    <t>Falta de comunicación y verificación entre las áreas de Operaciones y Tesorería sobre el estado de los desembolsos, generando que el mismo crédito fuera procesado dos veces sin detección oportuna.</t>
  </si>
  <si>
    <t>Desembolso duplicado de $41 millones para el asociado Víctor Arce y un segundo caso similar en la misma semana. Riesgo de pérdida económica para la Cooperativa. Necesidad de gestionar la recuperación de los recursos girados en exceso.</t>
  </si>
  <si>
    <t>Durante el fin de semana del 31 de octubre de 2025, varios asociados no pudieron realizar transferencias a través del servicio Bre-B por insuficiencia de recursos en la Cuenta Única de Depósito (CUD) del Banco de la República, afectando la disponibilidad del servicio de pagos inmediatos.</t>
  </si>
  <si>
    <t>Durante el fin de semana del 31 de octubre de 2025, múltiples intentos de transferencia por el servicio Bre-B fallaron por insuficiencia de recursos en la CUD de Febor en el Banco de la República.</t>
  </si>
  <si>
    <t>Insuficiencia de recursos en la Cuenta Única de Depósito (CUD) del Banco de la República para soportar los pagos inmediatos de Bre-B durante el fin de semana, por fallas en el proceso de retanqueo de la cuenta.</t>
  </si>
  <si>
    <t>Imposibilidad de realizar transferencias por Bre-B para varios asociados durante el fin de semana. Insatisfacción de los usuarios del servicio. Riesgo reputacional y operativo por indisponibilidad del sistema de pagos inmediatos.</t>
  </si>
  <si>
    <t>El 1 de diciembre de 2025 se detectó un faltante de efectivo en la extensión de caja Mazurén, ocurrido en un contexto de múltiples situaciones de riesgo en el manejo del dinero y acceso de terceros a áreas sensibles.</t>
  </si>
  <si>
    <t>El 1 de diciembre de 2025 se detectó un faltante de efectivo en la extensión de caja Mazurén, identificado durante la reorganización de fajos de billetes en horas de la tarde, luego de múltiples situaciones irregulares durante la jornada.</t>
  </si>
  <si>
    <t>Concurrencia de múltiples situaciones de riesgo: inicio de operaciones sin conteo previo completo, atención de asociados con efectivo en verificación, acceso de un contratista a áreas cercanas a la caja fuerte sin acompañamiento y manipulación de bolsa de seguridad fuera de cámaras.</t>
  </si>
  <si>
    <t>Faltante de efectivo en caja cuyo monto y responsable no pudieron determinarse con certeza. Riesgo de pérdida económica para la Cooperativa. Evidencia de debilidades en los controles de seguridad física y operativa en el manejo de efectivo.</t>
  </si>
  <si>
    <t>El sistema de nómina Helisa presentó inconsistencias en el cálculo de la liquidación laboral del Director Financiero desvinculado, generando un pago en exceso al incluir automáticamente el total de cesantías sin descontar un anticipo previo.</t>
  </si>
  <si>
    <t>El 5 de diciembre se formalizó la desvinculación del Director Financiero. Al procesar la liquidación laboral, el sistema Helisa incorporó automáticamente el total de cesantías causadas sin descontar un anticipo previamente otorgado, generando un pago en exceso.</t>
  </si>
  <si>
    <t>El sistema de nómina Helisa presentó inconsistencias en el cálculo automático de la liquidación, combinadas con un proceso manual realizado para evitar retrasos en el pago que no contempló la deducción del anticipo de cesantías.</t>
  </si>
  <si>
    <t>Pago en exceso al exfuncionario por cesantías duplicadas. Riesgo de pérdida económica para la Cooperativa. Necesidad de gestión jurídica para la recuperación del valor pagado en exceso.</t>
  </si>
  <si>
    <t>Febor incumplió la obligación de registrar la responsabilidad N54 en el RUT y de presentar los reportes CRS ante la DIAN para las vigencias 2022, 2023 y 2024, por interpretación inadecuada del alcance normativo aplicable.</t>
  </si>
  <si>
    <t>Febor omitió el registro de la responsabilidad N54 en el RUT y la presentación de los reportes CRS ante la DIAN correspondientes a las vigencias 2022, 2023 y 2024.</t>
  </si>
  <si>
    <t>Interpretación inadecuada del alcance normativo, al asumir que las excepciones aplicables a FATCA también eximían a Febor del cumplimiento de las obligaciones CRS, sin validar correctamente la normativa aplicable para cooperativas de ahorro y crédito.</t>
  </si>
  <si>
    <t>Incumplimiento normativo ante la DIAN en tres vigencias consecutivas. Riesgo de sanciones regulatorias. Necesidad de realizar las correcciones en el RUT y presentar los reportes CRS extemporáneos. Exposición legal y reputacional de la Cooperativa.</t>
  </si>
  <si>
    <t>La no creación oportuna de los convenios de telefonía en el sistema para Comcel, Movistar y Tigo en febrero impidió el cobro de cuotas a 56 asociados por $5,07 millones, por ausencia de control en la continuidad del proceso.</t>
  </si>
  <si>
    <t>En febrero no se crearon oportunamente en el sistema los convenios de telefonía de Comcel, Movistar y Tigo, lo que impidió programar el cobro de la cuota a 56 asociados por un total de $5,07 millones durante ese período.</t>
  </si>
  <si>
    <t>La funcionaria habitual encargada de crear mensualmente los convenios de telefonía no ejecutó el proceso en el tiempo requerido, sin que existiera un control que garantizara la continuidad de la actividad ante ausencias o incumplimientos.</t>
  </si>
  <si>
    <t>No cobro de $5,07 millones en cuotas de convenio de telefonía a 56 asociados en el período. Afectación en el recaudo mensual. La novedad fue detectada de forma indirecta durante la programación de nómina de empleados.</t>
  </si>
  <si>
    <t>Incumplimiento reporte CRS</t>
  </si>
  <si>
    <t>Falla en creación de convenios</t>
  </si>
  <si>
    <t>Error en liquidación de nómina</t>
  </si>
  <si>
    <t xml:space="preserve">Directriz </t>
  </si>
  <si>
    <t>Fortalecer internamente la sensibilización sobre la responsabilidad en el cumplimiento de los procedimientos y la importancia de ejecutar de manera rigurosa las validaciones establecidas. En este caso la obligación de validar siempre contra los libros auxiliares contables fue una directriz de la Direcciòn Financiera para los analistas contables y la Jefatura de Talento humano.</t>
  </si>
  <si>
    <t>Seguimiento de pagos efectuados de las cuotas comprometidas. Se debe monitorear mensualmente los pagos efectuados por el Sr Jose Nelson Figueroa y reportar a la Gerencia las novedades y en caso de no verse reflejado el pago, reportar tambien al àrea jurìdica.</t>
  </si>
  <si>
    <t>Analista Contable
Directora Financiera</t>
  </si>
  <si>
    <t>Analista en el cargo durante el periodo de seguimiento
Nataly Malagón</t>
  </si>
  <si>
    <r>
      <rPr>
        <b/>
        <sz val="9"/>
        <color theme="1"/>
        <rFont val="Amasis MT Pro"/>
        <family val="1"/>
      </rPr>
      <t>Caso</t>
    </r>
    <r>
      <rPr>
        <sz val="9"/>
        <color theme="1"/>
        <rFont val="Amasis MT Pro"/>
        <family val="1"/>
      </rPr>
      <t xml:space="preserve">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t>
    </r>
    <r>
      <rPr>
        <b/>
        <sz val="9"/>
        <color theme="1"/>
        <rFont val="Amasis MT Pro"/>
        <family val="1"/>
      </rPr>
      <t>Impacto.</t>
    </r>
    <r>
      <rPr>
        <sz val="9"/>
        <color theme="1"/>
        <rFont val="Amasis MT Pro"/>
        <family val="1"/>
      </rPr>
      <t xml:space="preserve">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t>
    </r>
  </si>
  <si>
    <r>
      <rPr>
        <b/>
        <sz val="9"/>
        <color theme="1"/>
        <rFont val="Amasis MT Pro"/>
        <family val="1"/>
      </rPr>
      <t>Caso</t>
    </r>
    <r>
      <rPr>
        <sz val="9"/>
        <color theme="1"/>
        <rFont val="Amasis MT Pro"/>
        <family val="1"/>
      </rPr>
      <t xml:space="preserve">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t>
    </r>
    <r>
      <rPr>
        <b/>
        <sz val="9"/>
        <color theme="1"/>
        <rFont val="Amasis MT Pro"/>
        <family val="1"/>
      </rPr>
      <t>Causas</t>
    </r>
    <r>
      <rPr>
        <sz val="9"/>
        <color theme="1"/>
        <rFont val="Amasis MT Pro"/>
        <family val="1"/>
      </rPr>
      <t xml:space="preserve">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t>
    </r>
    <r>
      <rPr>
        <b/>
        <sz val="9"/>
        <color theme="1"/>
        <rFont val="Amasis MT Pro"/>
        <family val="1"/>
      </rPr>
      <t xml:space="preserve">
*Impacto económico.</t>
    </r>
    <r>
      <rPr>
        <sz val="9"/>
        <color theme="1"/>
        <rFont val="Amasis MT Pro"/>
        <family val="1"/>
      </rPr>
      <t xml:space="preserve">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t>
    </r>
    <r>
      <rPr>
        <b/>
        <sz val="9"/>
        <color theme="1"/>
        <rFont val="Amasis MT Pro"/>
        <family val="1"/>
      </rPr>
      <t>*Impacto operativo.</t>
    </r>
    <r>
      <rPr>
        <sz val="9"/>
        <color theme="1"/>
        <rFont val="Amasis MT Pro"/>
        <family val="1"/>
      </rPr>
      <t xml:space="preserve"> Se generaron reprocesos y una carga operativa no prevista, debido a la ejecución extemporánea de actividades que debieron atenderse oportunamente dentro del proceso normal de cumplimiento.
</t>
    </r>
    <r>
      <rPr>
        <b/>
        <sz val="9"/>
        <color theme="1"/>
        <rFont val="Amasis MT Pro"/>
        <family val="1"/>
      </rPr>
      <t>*Impacto reputacional</t>
    </r>
    <r>
      <rPr>
        <sz val="9"/>
        <color theme="1"/>
        <rFont val="Amasis MT Pro"/>
        <family val="1"/>
      </rPr>
      <t xml:space="preserve">. La situación evidenció una debilidad en la interpretación y gestión de obligaciones regulatorias, con potencial afectación frente a organismos de control y seguimiento.
</t>
    </r>
  </si>
  <si>
    <r>
      <rPr>
        <b/>
        <sz val="9"/>
        <color theme="1"/>
        <rFont val="Amasis MT Pro"/>
        <family val="1"/>
      </rPr>
      <t>Caso</t>
    </r>
    <r>
      <rPr>
        <sz val="9"/>
        <color theme="1"/>
        <rFont val="Amasis MT Pro"/>
        <family val="1"/>
      </rPr>
      <t xml:space="preserve">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t>
    </r>
    <r>
      <rPr>
        <b/>
        <sz val="9"/>
        <color theme="1"/>
        <rFont val="Amasis MT Pro"/>
        <family val="1"/>
      </rPr>
      <t xml:space="preserve">Causas </t>
    </r>
    <r>
      <rPr>
        <sz val="9"/>
        <color theme="1"/>
        <rFont val="Amasis MT Pro"/>
        <family val="1"/>
      </rPr>
      <t xml:space="preserve">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t>
    </r>
    <r>
      <rPr>
        <b/>
        <sz val="9"/>
        <color theme="1"/>
        <rFont val="Amasis MT Pro"/>
        <family val="1"/>
      </rPr>
      <t>Impacto</t>
    </r>
    <r>
      <rPr>
        <sz val="9"/>
        <color theme="1"/>
        <rFont val="Amasis MT Pro"/>
        <family val="1"/>
      </rPr>
      <t xml:space="preserve">
</t>
    </r>
    <r>
      <rPr>
        <b/>
        <sz val="9"/>
        <color theme="1"/>
        <rFont val="Amasis MT Pro"/>
        <family val="1"/>
      </rPr>
      <t>Impacto económico.</t>
    </r>
    <r>
      <rPr>
        <sz val="9"/>
        <color theme="1"/>
        <rFont val="Amasis MT Pro"/>
        <family val="1"/>
      </rPr>
      <t xml:space="preserve"> Se materializó un hurto de $4.301.000, generando una pérdida directa para la Cooperativa.Impacto operativo y administrativo  Se requirió destinar tiempo y recursos adicionales para la investigación del caso, revisión de registros, análisis de operaciones y gestión disciplinaria.</t>
    </r>
  </si>
  <si>
    <r>
      <rPr>
        <b/>
        <sz val="9"/>
        <color theme="1"/>
        <rFont val="Amasis MT Pro"/>
        <family val="1"/>
      </rPr>
      <t>Caso</t>
    </r>
    <r>
      <rPr>
        <sz val="9"/>
        <color theme="1"/>
        <rFont val="Amasis MT Pro"/>
        <family val="1"/>
      </rPr>
      <t xml:space="preserve">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
    </r>
    <r>
      <rPr>
        <b/>
        <sz val="9"/>
        <color theme="1"/>
        <rFont val="Amasis MT Pro"/>
        <family val="1"/>
      </rPr>
      <t>Trazabilidad y seguimiento a la mesa de ayuda del proveedor Helissa Documento:</t>
    </r>
    <r>
      <rPr>
        <sz val="9"/>
        <color theme="1"/>
        <rFont val="Amasis MT Pro"/>
        <family val="1"/>
      </rPr>
      <t xml:space="preserve">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t>
    </r>
    <r>
      <rPr>
        <b/>
        <sz val="9"/>
        <color theme="1"/>
        <rFont val="Amasis MT Pro"/>
        <family val="1"/>
      </rPr>
      <t>mpacto</t>
    </r>
    <r>
      <rPr>
        <sz val="9"/>
        <color theme="1"/>
        <rFont val="Amasis MT Pro"/>
        <family val="1"/>
      </rPr>
      <t xml:space="preserve">
</t>
    </r>
    <r>
      <rPr>
        <b/>
        <sz val="9"/>
        <color theme="1"/>
        <rFont val="Amasis MT Pro"/>
        <family val="1"/>
      </rPr>
      <t>*Impacto económico:</t>
    </r>
    <r>
      <rPr>
        <sz val="9"/>
        <color theme="1"/>
        <rFont val="Amasis MT Pro"/>
        <family val="1"/>
      </rPr>
      <t xml:space="preserve"> Pérdidas económicas por pagos adicionales.
</t>
    </r>
    <r>
      <rPr>
        <b/>
        <sz val="9"/>
        <color theme="1"/>
        <rFont val="Amasis MT Pro"/>
        <family val="1"/>
      </rPr>
      <t>*Impacto operativo:</t>
    </r>
    <r>
      <rPr>
        <sz val="9"/>
        <color theme="1"/>
        <rFont val="Amasis MT Pro"/>
        <family val="1"/>
      </rPr>
      <t xml:space="preserve"> Interrupción parcial de actividades del área por atención del incidente y su corrección.
</t>
    </r>
    <r>
      <rPr>
        <b/>
        <sz val="9"/>
        <color theme="1"/>
        <rFont val="Amasis MT Pro"/>
        <family val="1"/>
      </rPr>
      <t>*Impacto administrativo</t>
    </r>
    <r>
      <rPr>
        <sz val="9"/>
        <color theme="1"/>
        <rFont val="Amasis MT Pro"/>
        <family val="1"/>
      </rPr>
      <t>: Necesidad de adelantar procesos disciplinarios y aplicar medidas administrativas derivadas de las fallas identificadas en el proceso. Impacto jurídico: Posible generación de procesos judiciales para recuperar el valor pagado indebidamente.</t>
    </r>
  </si>
  <si>
    <r>
      <rPr>
        <b/>
        <sz val="9"/>
        <color theme="1"/>
        <rFont val="Amasis MT Pro"/>
        <family val="1"/>
      </rPr>
      <t>Caso</t>
    </r>
    <r>
      <rPr>
        <sz val="9"/>
        <color theme="1"/>
        <rFont val="Amasis MT Pro"/>
        <family val="1"/>
      </rPr>
      <t xml:space="preserve">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t>
    </r>
    <r>
      <rPr>
        <b/>
        <sz val="9"/>
        <color theme="1"/>
        <rFont val="Amasis MT Pro"/>
        <family val="1"/>
      </rPr>
      <t>Causas</t>
    </r>
    <r>
      <rPr>
        <sz val="9"/>
        <color theme="1"/>
        <rFont val="Amasis MT Pro"/>
        <family val="1"/>
      </rPr>
      <t xml:space="preserve">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t>
    </r>
    <r>
      <rPr>
        <b/>
        <sz val="9"/>
        <color theme="1"/>
        <rFont val="Amasis MT Pro"/>
        <family val="1"/>
      </rPr>
      <t>Impacto
Impacto comercial y reputacional</t>
    </r>
    <r>
      <rPr>
        <sz val="9"/>
        <color theme="1"/>
        <rFont val="Amasis MT Pro"/>
        <family val="1"/>
      </rPr>
      <t>: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t>
    </r>
  </si>
  <si>
    <r>
      <rPr>
        <b/>
        <sz val="9"/>
        <color theme="1"/>
        <rFont val="Amasis MT Pro"/>
        <family val="1"/>
      </rPr>
      <t>Caso</t>
    </r>
    <r>
      <rPr>
        <sz val="9"/>
        <color theme="1"/>
        <rFont val="Amasis MT Pro"/>
        <family val="1"/>
      </rPr>
      <t xml:space="preserve">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t>
    </r>
    <r>
      <rPr>
        <b/>
        <sz val="9"/>
        <color theme="1"/>
        <rFont val="Amasis MT Pro"/>
        <family val="1"/>
      </rPr>
      <t>Causas</t>
    </r>
    <r>
      <rPr>
        <sz val="9"/>
        <color theme="1"/>
        <rFont val="Amasis MT Pro"/>
        <family val="1"/>
      </rPr>
      <t xml:space="preserve">
El evento se produjo por debilidades en la validación posterior al rechazo de los lotes. Tras las fallas en la plataforma, los lotes fueron recargados sin verificar previamente si las operaciones ya habían sido procesadas, lo que permitió la ejecución duplicada de los giros.
</t>
    </r>
    <r>
      <rPr>
        <b/>
        <sz val="9"/>
        <color theme="1"/>
        <rFont val="Amasis MT Pro"/>
        <family val="1"/>
      </rPr>
      <t xml:space="preserve">
Impactos
Impacto económico</t>
    </r>
    <r>
      <rPr>
        <sz val="9"/>
        <color theme="1"/>
        <rFont val="Amasis MT Pro"/>
        <family val="1"/>
      </rPr>
      <t xml:space="preserve">: · Riesgo de pérdidas directas si no se logran revertir los giros duplicados.· Mayor exposición a contingencias financieras relacionadas con errores en la operación.     
</t>
    </r>
    <r>
      <rPr>
        <b/>
        <sz val="9"/>
        <color theme="1"/>
        <rFont val="Amasis MT Pro"/>
        <family val="1"/>
      </rPr>
      <t>Impacto reputacional:</t>
    </r>
    <r>
      <rPr>
        <sz val="9"/>
        <color theme="1"/>
        <rFont val="Amasis MT Pro"/>
        <family val="1"/>
      </rPr>
      <t xml:space="preserve"> Disminución en la confianza y satisfacción de los asociados, afectando la percepción de seguridad y control.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</si>
</sst>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 #,##0.00_-;\-&quot;$&quot;\ * #,##0.00_-;_-&quot;$&quot;\ * &quot;-&quot;??_-;_-@_-"/>
    <numFmt numFmtId="164" formatCode="_-&quot;$&quot;* #,##0.00_-;\-&quot;$&quot;* #,##0.00_-;_-&quot;$&quot;* &quot;-&quot;??_-;_-@_-"/>
    <numFmt numFmtId="165" formatCode="dd/mm/yyyy;@"/>
    <numFmt numFmtId="166" formatCode="[Red][&lt;0]\_xd83d_\_xdc40_;[Blue][=0]\✔#;[Blue]\✔#"/>
  </numFmts>
  <fonts count="48" x14ac:knownFonts="1">
    <font>
      <sz val="11"/>
      <color theme="1"/>
      <name val="Calibri"/>
      <family val="2"/>
      <scheme val="minor"/>
    </font>
    <font>
      <sz val="8"/>
      <name val="Calibri"/>
      <family val="2"/>
      <scheme val="minor"/>
    </font>
    <font>
      <sz val="11"/>
      <color theme="0"/>
      <name val="Calibri"/>
      <family val="2"/>
      <scheme val="minor"/>
    </font>
    <font>
      <sz val="9"/>
      <color theme="1"/>
      <name val="Amasis MT Pro"/>
      <family val="1"/>
    </font>
    <font>
      <sz val="11"/>
      <color theme="1"/>
      <name val="Calibri"/>
      <family val="2"/>
      <scheme val="minor"/>
    </font>
    <font>
      <u/>
      <sz val="11"/>
      <color theme="10"/>
      <name val="Calibri"/>
      <family val="2"/>
      <scheme val="minor"/>
    </font>
    <font>
      <sz val="10"/>
      <color rgb="FF000000"/>
      <name val="Calibri"/>
      <family val="2"/>
      <scheme val="minor"/>
    </font>
    <font>
      <b/>
      <sz val="12"/>
      <color theme="0"/>
      <name val="Lato"/>
      <family val="2"/>
    </font>
    <font>
      <b/>
      <sz val="10"/>
      <color theme="1"/>
      <name val="Lato"/>
      <family val="2"/>
    </font>
    <font>
      <b/>
      <sz val="12"/>
      <color theme="1" tint="0.249977111117893"/>
      <name val="Lato"/>
      <family val="2"/>
    </font>
    <font>
      <b/>
      <sz val="12"/>
      <name val="Lato"/>
      <family val="2"/>
    </font>
    <font>
      <sz val="9"/>
      <color theme="1"/>
      <name val="Calibri"/>
      <family val="2"/>
      <scheme val="minor"/>
    </font>
    <font>
      <sz val="9"/>
      <color theme="9" tint="-0.499984740745262"/>
      <name val="Amasis MT Pro"/>
      <family val="1"/>
    </font>
    <font>
      <b/>
      <sz val="14"/>
      <color theme="0"/>
      <name val="Lato"/>
      <family val="2"/>
    </font>
    <font>
      <sz val="8"/>
      <color theme="1"/>
      <name val="Calibri"/>
      <family val="2"/>
      <scheme val="minor"/>
    </font>
    <font>
      <b/>
      <sz val="8"/>
      <color theme="0"/>
      <name val="Lato"/>
      <family val="2"/>
    </font>
    <font>
      <b/>
      <sz val="11"/>
      <color theme="0"/>
      <name val="Calibri"/>
      <family val="2"/>
      <scheme val="minor"/>
    </font>
    <font>
      <b/>
      <sz val="11"/>
      <color theme="1"/>
      <name val="Calibri"/>
      <family val="2"/>
      <scheme val="minor"/>
    </font>
    <font>
      <b/>
      <sz val="26"/>
      <name val="Lato"/>
      <family val="2"/>
    </font>
    <font>
      <sz val="11"/>
      <color theme="1"/>
      <name val="Lato"/>
      <family val="2"/>
    </font>
    <font>
      <sz val="11"/>
      <color theme="0"/>
      <name val="Lato"/>
      <family val="2"/>
    </font>
    <font>
      <sz val="12"/>
      <name val="Lato"/>
      <family val="2"/>
    </font>
    <font>
      <sz val="9"/>
      <color theme="1"/>
      <name val="Lato"/>
      <family val="2"/>
    </font>
    <font>
      <b/>
      <sz val="9"/>
      <color theme="0"/>
      <name val="Lato"/>
      <family val="2"/>
    </font>
    <font>
      <b/>
      <sz val="11"/>
      <color theme="1"/>
      <name val="Lato"/>
      <family val="2"/>
    </font>
    <font>
      <b/>
      <sz val="11"/>
      <color rgb="FF0070C0"/>
      <name val="Lato"/>
      <family val="2"/>
    </font>
    <font>
      <u/>
      <sz val="11"/>
      <color theme="1"/>
      <name val="Lato"/>
      <family val="2"/>
    </font>
    <font>
      <b/>
      <sz val="11"/>
      <color theme="0"/>
      <name val="Lato"/>
      <family val="2"/>
    </font>
    <font>
      <sz val="10"/>
      <color theme="1"/>
      <name val="Lato"/>
      <family val="2"/>
    </font>
    <font>
      <b/>
      <sz val="10"/>
      <color rgb="FF002060"/>
      <name val="Lato"/>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color theme="1"/>
      <name val="Lato"/>
      <family val="2"/>
    </font>
    <font>
      <sz val="10"/>
      <color theme="1"/>
      <name val="Arial"/>
      <family val="2"/>
    </font>
    <font>
      <b/>
      <sz val="12"/>
      <color theme="1"/>
      <name val="Lato"/>
      <family val="2"/>
    </font>
    <font>
      <b/>
      <sz val="9"/>
      <color rgb="FFFFFFFF"/>
      <name val="Calibri"/>
      <family val="2"/>
    </font>
    <font>
      <b/>
      <sz val="9"/>
      <color theme="1"/>
      <name val="Amasis MT Pro"/>
      <family val="1"/>
    </font>
  </fonts>
  <fills count="46">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5" tint="-0.499984740745262"/>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499984740745262"/>
        <bgColor indexed="64"/>
      </patternFill>
    </fill>
    <fill>
      <patternFill patternType="solid">
        <fgColor theme="7" tint="0.79998168889431442"/>
        <bgColor theme="7" tint="0.79998168889431442"/>
      </patternFill>
    </fill>
    <fill>
      <patternFill patternType="solid">
        <fgColor theme="4" tint="-0.499984740745262"/>
        <bgColor indexed="64"/>
      </patternFill>
    </fill>
    <fill>
      <patternFill patternType="solid">
        <fgColor theme="4" tint="-0.499984740745262"/>
        <bgColor rgb="FF15803D"/>
      </patternFill>
    </fill>
    <fill>
      <patternFill patternType="solid">
        <fgColor theme="0"/>
        <bgColor theme="7" tint="0.79998168889431442"/>
      </patternFill>
    </fill>
    <fill>
      <patternFill patternType="solid">
        <fgColor theme="6" tint="0.79998168889431442"/>
        <bgColor theme="6" tint="0.79998168889431442"/>
      </patternFill>
    </fill>
  </fills>
  <borders count="54">
    <border>
      <left/>
      <right/>
      <top/>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right/>
      <top style="thin">
        <color theme="4" tint="0.39994506668294322"/>
      </top>
      <bottom/>
      <diagonal/>
    </border>
    <border>
      <left/>
      <right style="thin">
        <color theme="4" tint="0.39994506668294322"/>
      </right>
      <top style="thin">
        <color theme="4" tint="0.39994506668294322"/>
      </top>
      <bottom/>
      <diagonal/>
    </border>
    <border>
      <left/>
      <right style="thin">
        <color theme="4" tint="0.39994506668294322"/>
      </right>
      <top/>
      <bottom/>
      <diagonal/>
    </border>
    <border>
      <left/>
      <right/>
      <top/>
      <bottom style="thin">
        <color theme="4" tint="0.39994506668294322"/>
      </bottom>
      <diagonal/>
    </border>
    <border>
      <left/>
      <right style="thin">
        <color theme="4" tint="0.39994506668294322"/>
      </right>
      <top/>
      <bottom style="thin">
        <color theme="4" tint="0.39994506668294322"/>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style="thin">
        <color theme="4" tint="0.39994506668294322"/>
      </top>
      <bottom/>
      <diagonal/>
    </border>
    <border>
      <left style="thin">
        <color theme="4"/>
      </left>
      <right/>
      <top/>
      <bottom style="thin">
        <color theme="4" tint="0.39994506668294322"/>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ADADAD"/>
      </right>
      <top style="medium">
        <color rgb="FFBFBFBF"/>
      </top>
      <bottom style="medium">
        <color rgb="FFBFBFBF"/>
      </bottom>
      <diagonal/>
    </border>
    <border>
      <left/>
      <right style="medium">
        <color rgb="FFADADAD"/>
      </right>
      <top/>
      <bottom style="medium">
        <color rgb="FFBFBFBF"/>
      </bottom>
      <diagonal/>
    </border>
    <border>
      <left style="thin">
        <color theme="0"/>
      </left>
      <right/>
      <top style="thin">
        <color theme="0"/>
      </top>
      <bottom/>
      <diagonal/>
    </border>
    <border>
      <left style="thin">
        <color theme="7" tint="0.39997558519241921"/>
      </left>
      <right/>
      <top style="thin">
        <color theme="0"/>
      </top>
      <bottom/>
      <diagonal/>
    </border>
    <border>
      <left/>
      <right/>
      <top style="thin">
        <color theme="0"/>
      </top>
      <bottom/>
      <diagonal/>
    </border>
    <border>
      <left style="thin">
        <color theme="7" tint="0.39997558519241921"/>
      </left>
      <right/>
      <top style="thin">
        <color theme="7" tint="0.39997558519241921"/>
      </top>
      <bottom/>
      <diagonal/>
    </border>
    <border>
      <left/>
      <right/>
      <top style="thin">
        <color theme="7" tint="0.39997558519241921"/>
      </top>
      <bottom/>
      <diagonal/>
    </border>
    <border>
      <left/>
      <right/>
      <top style="thin">
        <color theme="6"/>
      </top>
      <bottom/>
      <diagonal/>
    </border>
    <border>
      <left style="thin">
        <color theme="6"/>
      </left>
      <right/>
      <top style="thin">
        <color theme="6"/>
      </top>
      <bottom/>
      <diagonal/>
    </border>
    <border>
      <left/>
      <right style="thin">
        <color theme="6"/>
      </right>
      <top style="thin">
        <color theme="6"/>
      </top>
      <bottom/>
      <diagonal/>
    </border>
    <border>
      <left style="thin">
        <color theme="0"/>
      </left>
      <right/>
      <top style="thin">
        <color theme="7" tint="0.39997558519241921"/>
      </top>
      <bottom/>
      <diagonal/>
    </border>
    <border>
      <left style="thin">
        <color rgb="FFCBD5E1"/>
      </left>
      <right/>
      <top style="thin">
        <color rgb="FFCBD5E1"/>
      </top>
      <bottom/>
      <diagonal/>
    </border>
    <border>
      <left style="thin">
        <color rgb="FFCBD5E1"/>
      </left>
      <right style="thin">
        <color rgb="FFCBD5E1"/>
      </right>
      <top style="thin">
        <color rgb="FFCBD5E1"/>
      </top>
      <bottom/>
      <diagonal/>
    </border>
    <border>
      <left style="thin">
        <color theme="7" tint="0.39997558519241921"/>
      </left>
      <right/>
      <top style="thin">
        <color rgb="FFCBD5E1"/>
      </top>
      <bottom/>
      <diagonal/>
    </border>
    <border>
      <left/>
      <right/>
      <top style="thin">
        <color rgb="FFCBD5E1"/>
      </top>
      <bottom/>
      <diagonal/>
    </border>
    <border>
      <left/>
      <right style="thin">
        <color theme="6"/>
      </right>
      <top style="thin">
        <color rgb="FFCBD5E1"/>
      </top>
      <bottom/>
      <diagonal/>
    </border>
    <border>
      <left style="thin">
        <color theme="7" tint="0.39997558519241921"/>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
      <left style="thin">
        <color theme="6"/>
      </left>
      <right/>
      <top/>
      <bottom/>
      <diagonal/>
    </border>
    <border>
      <left/>
      <right style="thin">
        <color theme="6"/>
      </right>
      <top/>
      <bottom/>
      <diagonal/>
    </border>
    <border>
      <left style="thin">
        <color indexed="64"/>
      </left>
      <right style="thin">
        <color indexed="64"/>
      </right>
      <top style="thin">
        <color indexed="64"/>
      </top>
      <bottom style="thin">
        <color theme="6" tint="0.39997558519241921"/>
      </bottom>
      <diagonal/>
    </border>
    <border>
      <left style="thin">
        <color theme="6" tint="0.39997558519241921"/>
      </left>
      <right style="medium">
        <color rgb="FFADADAD"/>
      </right>
      <top style="thin">
        <color theme="6" tint="0.39997558519241921"/>
      </top>
      <bottom style="medium">
        <color rgb="FFBFBFBF"/>
      </bottom>
      <diagonal/>
    </border>
  </borders>
  <cellStyleXfs count="47">
    <xf numFmtId="0" fontId="0" fillId="0" borderId="0"/>
    <xf numFmtId="0" fontId="6" fillId="0" borderId="0"/>
    <xf numFmtId="0" fontId="4" fillId="0" borderId="0"/>
    <xf numFmtId="0" fontId="5" fillId="0" borderId="0" applyNumberFormat="0" applyFill="0" applyBorder="0" applyAlignment="0" applyProtection="0"/>
    <xf numFmtId="164" fontId="4" fillId="0" borderId="0" applyFont="0" applyFill="0" applyBorder="0" applyAlignment="0" applyProtection="0"/>
    <xf numFmtId="44" fontId="4" fillId="0" borderId="0" applyFont="0" applyFill="0" applyBorder="0" applyAlignment="0" applyProtection="0"/>
    <xf numFmtId="0" fontId="30" fillId="0" borderId="0" applyNumberFormat="0" applyFill="0" applyBorder="0" applyAlignment="0" applyProtection="0"/>
    <xf numFmtId="0" fontId="31" fillId="0" borderId="21" applyNumberFormat="0" applyFill="0" applyAlignment="0" applyProtection="0"/>
    <xf numFmtId="0" fontId="32" fillId="0" borderId="22" applyNumberFormat="0" applyFill="0" applyAlignment="0" applyProtection="0"/>
    <xf numFmtId="0" fontId="33" fillId="0" borderId="23" applyNumberFormat="0" applyFill="0" applyAlignment="0" applyProtection="0"/>
    <xf numFmtId="0" fontId="33" fillId="0" borderId="0" applyNumberFormat="0" applyFill="0" applyBorder="0" applyAlignment="0" applyProtection="0"/>
    <xf numFmtId="0" fontId="34" fillId="8" borderId="0" applyNumberFormat="0" applyBorder="0" applyAlignment="0" applyProtection="0"/>
    <xf numFmtId="0" fontId="35" fillId="9" borderId="0" applyNumberFormat="0" applyBorder="0" applyAlignment="0" applyProtection="0"/>
    <xf numFmtId="0" fontId="36" fillId="10" borderId="0" applyNumberFormat="0" applyBorder="0" applyAlignment="0" applyProtection="0"/>
    <xf numFmtId="0" fontId="37" fillId="11" borderId="24" applyNumberFormat="0" applyAlignment="0" applyProtection="0"/>
    <xf numFmtId="0" fontId="38" fillId="12" borderId="25" applyNumberFormat="0" applyAlignment="0" applyProtection="0"/>
    <xf numFmtId="0" fontId="39" fillId="12" borderId="24" applyNumberFormat="0" applyAlignment="0" applyProtection="0"/>
    <xf numFmtId="0" fontId="40" fillId="0" borderId="26" applyNumberFormat="0" applyFill="0" applyAlignment="0" applyProtection="0"/>
    <xf numFmtId="0" fontId="16" fillId="13" borderId="27" applyNumberFormat="0" applyAlignment="0" applyProtection="0"/>
    <xf numFmtId="0" fontId="41" fillId="0" borderId="0" applyNumberFormat="0" applyFill="0" applyBorder="0" applyAlignment="0" applyProtection="0"/>
    <xf numFmtId="0" fontId="4" fillId="14" borderId="28" applyNumberFormat="0" applyFont="0" applyAlignment="0" applyProtection="0"/>
    <xf numFmtId="0" fontId="42" fillId="0" borderId="0" applyNumberFormat="0" applyFill="0" applyBorder="0" applyAlignment="0" applyProtection="0"/>
    <xf numFmtId="0" fontId="17" fillId="0" borderId="29" applyNumberFormat="0" applyFill="0" applyAlignment="0" applyProtection="0"/>
    <xf numFmtId="0" fontId="2"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2"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2"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2"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2"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cellStyleXfs>
  <cellXfs count="179">
    <xf numFmtId="0" fontId="0" fillId="0" borderId="0" xfId="0"/>
    <xf numFmtId="0" fontId="9" fillId="0" borderId="0" xfId="0" applyFont="1" applyAlignment="1">
      <alignment horizontal="left"/>
    </xf>
    <xf numFmtId="0" fontId="13" fillId="3" borderId="0" xfId="0" applyFont="1" applyFill="1" applyAlignment="1">
      <alignment horizontal="center" vertical="center" wrapText="1" shrinkToFit="1"/>
    </xf>
    <xf numFmtId="0" fontId="10" fillId="0" borderId="0" xfId="0" applyFont="1" applyAlignment="1">
      <alignment horizontal="center" vertical="center" shrinkToFit="1"/>
    </xf>
    <xf numFmtId="0" fontId="19" fillId="0" borderId="0" xfId="0" applyFont="1"/>
    <xf numFmtId="0" fontId="19" fillId="0" borderId="0" xfId="0" applyFont="1" applyAlignment="1">
      <alignment horizontal="center"/>
    </xf>
    <xf numFmtId="0" fontId="19" fillId="0" borderId="0" xfId="0" applyFont="1" applyAlignment="1">
      <alignment wrapText="1"/>
    </xf>
    <xf numFmtId="49" fontId="19" fillId="0" borderId="0" xfId="0" applyNumberFormat="1" applyFont="1"/>
    <xf numFmtId="49" fontId="19" fillId="2" borderId="0" xfId="0" applyNumberFormat="1" applyFont="1" applyFill="1"/>
    <xf numFmtId="0" fontId="19" fillId="2" borderId="0" xfId="0" applyFont="1" applyFill="1"/>
    <xf numFmtId="0" fontId="21" fillId="0" borderId="0" xfId="0" applyFont="1" applyAlignment="1">
      <alignment horizontal="center" vertical="center"/>
    </xf>
    <xf numFmtId="49" fontId="22" fillId="0" borderId="0" xfId="0" applyNumberFormat="1" applyFont="1" applyAlignment="1">
      <alignment horizontal="left"/>
    </xf>
    <xf numFmtId="0" fontId="23" fillId="3" borderId="0" xfId="0" applyFont="1" applyFill="1" applyAlignment="1">
      <alignment horizontal="center" vertical="center" wrapText="1"/>
    </xf>
    <xf numFmtId="49" fontId="23" fillId="3" borderId="0" xfId="0" applyNumberFormat="1" applyFont="1" applyFill="1" applyAlignment="1">
      <alignment horizontal="center" vertical="center" wrapText="1"/>
    </xf>
    <xf numFmtId="14" fontId="23" fillId="3" borderId="0" xfId="0" applyNumberFormat="1" applyFont="1" applyFill="1" applyAlignment="1">
      <alignment horizontal="center" vertical="center" wrapText="1"/>
    </xf>
    <xf numFmtId="0" fontId="23" fillId="5" borderId="0" xfId="0" applyFont="1" applyFill="1" applyAlignment="1">
      <alignment horizontal="center" vertical="center" wrapText="1"/>
    </xf>
    <xf numFmtId="165" fontId="23" fillId="5" borderId="0" xfId="0" applyNumberFormat="1" applyFont="1" applyFill="1" applyAlignment="1">
      <alignment horizontal="center" vertical="center" wrapText="1"/>
    </xf>
    <xf numFmtId="0" fontId="19" fillId="0" borderId="0" xfId="0" applyFont="1" applyAlignment="1">
      <alignment horizontal="center" vertical="center"/>
    </xf>
    <xf numFmtId="0" fontId="8" fillId="2" borderId="0" xfId="0" applyFont="1" applyFill="1" applyAlignment="1">
      <alignment horizontal="center" vertical="top"/>
    </xf>
    <xf numFmtId="0" fontId="19" fillId="2" borderId="0" xfId="0" applyFont="1" applyFill="1" applyAlignment="1">
      <alignment horizontal="center"/>
    </xf>
    <xf numFmtId="44" fontId="19" fillId="0" borderId="0" xfId="5" applyFont="1"/>
    <xf numFmtId="44" fontId="23" fillId="5" borderId="0" xfId="5" applyFont="1" applyFill="1" applyAlignment="1">
      <alignment horizontal="center" vertical="center" wrapText="1"/>
    </xf>
    <xf numFmtId="0" fontId="13" fillId="3" borderId="4" xfId="0" applyFont="1" applyFill="1" applyBorder="1" applyAlignment="1">
      <alignment horizontal="center" vertical="center" wrapText="1" shrinkToFit="1"/>
    </xf>
    <xf numFmtId="0" fontId="10" fillId="0" borderId="7" xfId="0" applyFont="1" applyBorder="1" applyAlignment="1">
      <alignment horizontal="center" vertical="center" shrinkToFit="1"/>
    </xf>
    <xf numFmtId="0" fontId="19" fillId="2" borderId="0" xfId="0" applyFont="1" applyFill="1" applyAlignment="1">
      <alignment horizontal="center" vertical="center"/>
    </xf>
    <xf numFmtId="0" fontId="20" fillId="0" borderId="0" xfId="0" applyFont="1" applyAlignment="1">
      <alignment horizontal="center"/>
    </xf>
    <xf numFmtId="0" fontId="20" fillId="0" borderId="0" xfId="0" applyFont="1" applyAlignment="1">
      <alignment horizontal="left" wrapText="1"/>
    </xf>
    <xf numFmtId="49" fontId="20" fillId="4" borderId="10" xfId="0" applyNumberFormat="1" applyFont="1" applyFill="1" applyBorder="1"/>
    <xf numFmtId="0" fontId="20" fillId="4" borderId="10" xfId="0" applyFont="1" applyFill="1" applyBorder="1"/>
    <xf numFmtId="0" fontId="20" fillId="4" borderId="11" xfId="0" applyFont="1" applyFill="1" applyBorder="1"/>
    <xf numFmtId="0" fontId="19" fillId="2" borderId="12" xfId="0" applyFont="1" applyFill="1" applyBorder="1" applyAlignment="1">
      <alignment horizontal="center"/>
    </xf>
    <xf numFmtId="0" fontId="19" fillId="2" borderId="13" xfId="0" applyFont="1" applyFill="1" applyBorder="1" applyAlignment="1">
      <alignment horizontal="center" vertical="center"/>
    </xf>
    <xf numFmtId="0" fontId="19" fillId="0" borderId="13" xfId="0" applyFont="1" applyBorder="1" applyAlignment="1">
      <alignment horizontal="center" vertical="center"/>
    </xf>
    <xf numFmtId="0" fontId="10" fillId="0" borderId="12" xfId="0" applyFont="1" applyBorder="1" applyAlignment="1">
      <alignment horizontal="center" vertical="center" shrinkToFit="1"/>
    </xf>
    <xf numFmtId="0" fontId="10" fillId="0" borderId="15" xfId="0" applyFont="1" applyBorder="1" applyAlignment="1">
      <alignment horizontal="center" vertical="center" shrinkToFit="1"/>
    </xf>
    <xf numFmtId="0" fontId="19" fillId="0" borderId="16" xfId="0" applyFont="1" applyBorder="1" applyAlignment="1">
      <alignment horizontal="center"/>
    </xf>
    <xf numFmtId="0" fontId="19" fillId="0" borderId="17" xfId="0" applyFont="1" applyBorder="1" applyAlignment="1">
      <alignment horizontal="center"/>
    </xf>
    <xf numFmtId="0" fontId="21" fillId="0" borderId="17" xfId="0" applyFont="1" applyBorder="1" applyAlignment="1">
      <alignment horizontal="center" vertical="center"/>
    </xf>
    <xf numFmtId="49" fontId="22" fillId="0" borderId="17" xfId="0" applyNumberFormat="1" applyFont="1" applyBorder="1" applyAlignment="1">
      <alignment horizontal="left"/>
    </xf>
    <xf numFmtId="0" fontId="19" fillId="0" borderId="17" xfId="0" applyFont="1" applyBorder="1"/>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28" fillId="0" borderId="0" xfId="0" applyFont="1" applyAlignment="1">
      <alignment horizontal="center" vertical="center"/>
    </xf>
    <xf numFmtId="0" fontId="19" fillId="0" borderId="19" xfId="0" applyFont="1" applyBorder="1" applyAlignment="1">
      <alignment horizontal="center" vertical="center"/>
    </xf>
    <xf numFmtId="0" fontId="19" fillId="0" borderId="19" xfId="0" applyFont="1" applyBorder="1" applyAlignment="1">
      <alignment vertical="center" wrapText="1"/>
    </xf>
    <xf numFmtId="0" fontId="19" fillId="0" borderId="19" xfId="0" applyFont="1" applyBorder="1" applyAlignment="1">
      <alignment vertical="center"/>
    </xf>
    <xf numFmtId="14" fontId="19" fillId="0" borderId="19" xfId="0" applyNumberFormat="1" applyFont="1" applyBorder="1" applyAlignment="1">
      <alignment horizontal="center" vertical="center"/>
    </xf>
    <xf numFmtId="0" fontId="24" fillId="0" borderId="19" xfId="0" applyFont="1" applyBorder="1" applyAlignment="1">
      <alignment horizontal="center" vertical="center"/>
    </xf>
    <xf numFmtId="165" fontId="19" fillId="0" borderId="19" xfId="0" applyNumberFormat="1" applyFont="1" applyBorder="1" applyAlignment="1">
      <alignment horizontal="center" vertical="center"/>
    </xf>
    <xf numFmtId="44" fontId="19" fillId="0" borderId="19" xfId="5" applyFont="1" applyBorder="1" applyAlignment="1">
      <alignment vertical="center"/>
    </xf>
    <xf numFmtId="0" fontId="0" fillId="0" borderId="19" xfId="0" applyBorder="1" applyAlignment="1">
      <alignment vertical="center" wrapText="1"/>
    </xf>
    <xf numFmtId="0" fontId="28" fillId="0" borderId="19" xfId="0" applyFont="1" applyBorder="1" applyAlignment="1">
      <alignment vertical="center" wrapText="1"/>
    </xf>
    <xf numFmtId="166" fontId="19" fillId="0" borderId="19" xfId="0" applyNumberFormat="1" applyFont="1" applyBorder="1" applyAlignment="1">
      <alignment horizontal="center" vertical="center"/>
    </xf>
    <xf numFmtId="0" fontId="19" fillId="0" borderId="19" xfId="0" applyFont="1" applyBorder="1" applyAlignment="1">
      <alignment horizontal="center" vertical="center" wrapText="1"/>
    </xf>
    <xf numFmtId="0" fontId="19" fillId="0" borderId="20" xfId="0" applyFont="1" applyBorder="1" applyAlignment="1">
      <alignment horizontal="center" vertical="center"/>
    </xf>
    <xf numFmtId="0" fontId="28" fillId="0" borderId="20" xfId="0" applyFont="1" applyBorder="1" applyAlignment="1">
      <alignment vertical="center" wrapText="1"/>
    </xf>
    <xf numFmtId="0" fontId="19" fillId="0" borderId="20" xfId="0" applyFont="1" applyBorder="1" applyAlignment="1">
      <alignment vertical="center"/>
    </xf>
    <xf numFmtId="14" fontId="19" fillId="0" borderId="20" xfId="0" applyNumberFormat="1" applyFont="1" applyBorder="1" applyAlignment="1">
      <alignment horizontal="center" vertical="center"/>
    </xf>
    <xf numFmtId="166" fontId="19" fillId="0" borderId="20" xfId="0" applyNumberFormat="1" applyFont="1" applyBorder="1" applyAlignment="1">
      <alignment horizontal="center" vertical="center"/>
    </xf>
    <xf numFmtId="0" fontId="19" fillId="0" borderId="20" xfId="0" applyFont="1" applyBorder="1" applyAlignment="1">
      <alignment vertical="center" wrapText="1"/>
    </xf>
    <xf numFmtId="165" fontId="19" fillId="0" borderId="20" xfId="0" applyNumberFormat="1" applyFont="1" applyBorder="1" applyAlignment="1">
      <alignment horizontal="center" vertical="center"/>
    </xf>
    <xf numFmtId="44" fontId="19" fillId="0" borderId="20" xfId="5" applyFont="1" applyBorder="1" applyAlignment="1">
      <alignment vertical="center"/>
    </xf>
    <xf numFmtId="0" fontId="19" fillId="0" borderId="19" xfId="0" applyFont="1" applyBorder="1" applyAlignment="1">
      <alignment horizontal="justify" vertical="center" wrapText="1"/>
    </xf>
    <xf numFmtId="0" fontId="19" fillId="0" borderId="20" xfId="0" applyFont="1" applyBorder="1" applyAlignment="1">
      <alignment horizontal="justify" vertical="center" wrapText="1"/>
    </xf>
    <xf numFmtId="0" fontId="0" fillId="0" borderId="0" xfId="0" applyAlignment="1">
      <alignment vertical="center"/>
    </xf>
    <xf numFmtId="0" fontId="43" fillId="0" borderId="20" xfId="0" applyFont="1" applyBorder="1" applyAlignment="1">
      <alignment vertical="center" wrapText="1"/>
    </xf>
    <xf numFmtId="0" fontId="22" fillId="0" borderId="17" xfId="0" applyFont="1" applyBorder="1" applyAlignment="1">
      <alignment horizontal="left"/>
    </xf>
    <xf numFmtId="0" fontId="22" fillId="0" borderId="0" xfId="0" applyFont="1" applyAlignment="1">
      <alignment horizontal="left"/>
    </xf>
    <xf numFmtId="0" fontId="19" fillId="0" borderId="20" xfId="0" applyFont="1" applyBorder="1" applyAlignment="1">
      <alignment horizontal="center" vertical="center" wrapText="1"/>
    </xf>
    <xf numFmtId="0" fontId="14" fillId="0" borderId="0" xfId="0" applyFont="1" applyAlignment="1">
      <alignment vertical="center" wrapText="1"/>
    </xf>
    <xf numFmtId="0" fontId="44" fillId="0" borderId="30" xfId="0" applyFont="1" applyBorder="1" applyAlignment="1">
      <alignment horizontal="justify" vertical="center" wrapText="1"/>
    </xf>
    <xf numFmtId="0" fontId="44" fillId="0" borderId="31" xfId="0" applyFont="1" applyBorder="1" applyAlignment="1">
      <alignment horizontal="justify" vertical="center" wrapText="1"/>
    </xf>
    <xf numFmtId="0" fontId="45" fillId="0" borderId="19" xfId="0" applyFont="1" applyBorder="1" applyAlignment="1">
      <alignment horizontal="center" vertical="center"/>
    </xf>
    <xf numFmtId="0" fontId="45" fillId="0" borderId="20" xfId="0" applyFont="1" applyBorder="1" applyAlignment="1">
      <alignment horizontal="center" vertical="center"/>
    </xf>
    <xf numFmtId="0" fontId="19" fillId="0" borderId="19" xfId="0" applyFont="1" applyBorder="1" applyAlignment="1">
      <alignment horizontal="left" vertical="center" wrapText="1"/>
    </xf>
    <xf numFmtId="0" fontId="20" fillId="4" borderId="10" xfId="0" applyFont="1" applyFill="1" applyBorder="1" applyAlignment="1">
      <alignment wrapText="1"/>
    </xf>
    <xf numFmtId="0" fontId="19" fillId="2" borderId="0" xfId="0" applyFont="1" applyFill="1" applyAlignment="1">
      <alignment wrapText="1"/>
    </xf>
    <xf numFmtId="0" fontId="19" fillId="0" borderId="17" xfId="0" applyFont="1" applyBorder="1" applyAlignment="1">
      <alignment wrapText="1"/>
    </xf>
    <xf numFmtId="0" fontId="19" fillId="39" borderId="19" xfId="0" applyFont="1" applyFill="1" applyBorder="1" applyAlignment="1">
      <alignment vertical="center" wrapText="1"/>
    </xf>
    <xf numFmtId="0" fontId="15" fillId="40" borderId="32" xfId="0" applyFont="1" applyFill="1" applyBorder="1" applyAlignment="1">
      <alignment horizontal="center" vertical="center" wrapText="1"/>
    </xf>
    <xf numFmtId="14" fontId="15" fillId="40" borderId="32" xfId="0" applyNumberFormat="1" applyFont="1" applyFill="1" applyBorder="1" applyAlignment="1">
      <alignment horizontal="center" vertical="center" wrapText="1"/>
    </xf>
    <xf numFmtId="44" fontId="15" fillId="40" borderId="32" xfId="5" applyFont="1" applyFill="1" applyBorder="1" applyAlignment="1">
      <alignment horizontal="center" vertical="center" wrapText="1"/>
    </xf>
    <xf numFmtId="0" fontId="0" fillId="0" borderId="37" xfId="0" applyBorder="1" applyAlignment="1">
      <alignment vertical="center"/>
    </xf>
    <xf numFmtId="0" fontId="0" fillId="0" borderId="39" xfId="0" applyBorder="1" applyAlignment="1">
      <alignment vertical="center"/>
    </xf>
    <xf numFmtId="0" fontId="0" fillId="0" borderId="38" xfId="0" applyBorder="1" applyAlignment="1">
      <alignment vertical="center"/>
    </xf>
    <xf numFmtId="14" fontId="0" fillId="0" borderId="37" xfId="0" applyNumberFormat="1" applyBorder="1" applyAlignment="1">
      <alignment vertical="center"/>
    </xf>
    <xf numFmtId="44" fontId="0" fillId="0" borderId="37" xfId="5" applyFont="1" applyBorder="1" applyAlignment="1">
      <alignment vertical="center"/>
    </xf>
    <xf numFmtId="44" fontId="0" fillId="0" borderId="37" xfId="5" applyFont="1" applyBorder="1" applyAlignment="1">
      <alignment horizontal="center" vertical="center"/>
    </xf>
    <xf numFmtId="0" fontId="0" fillId="0" borderId="37" xfId="0" applyBorder="1" applyAlignment="1">
      <alignment horizontal="center" vertical="center"/>
    </xf>
    <xf numFmtId="0" fontId="0" fillId="0" borderId="47" xfId="0" applyBorder="1" applyAlignment="1">
      <alignment vertical="center"/>
    </xf>
    <xf numFmtId="0" fontId="0" fillId="0" borderId="48" xfId="0" applyBorder="1" applyAlignment="1">
      <alignment vertical="center"/>
    </xf>
    <xf numFmtId="14" fontId="0" fillId="0" borderId="48" xfId="0" applyNumberFormat="1" applyBorder="1" applyAlignment="1">
      <alignment vertical="center"/>
    </xf>
    <xf numFmtId="44" fontId="0" fillId="0" borderId="48" xfId="5" applyFont="1" applyBorder="1" applyAlignment="1">
      <alignment vertical="center"/>
    </xf>
    <xf numFmtId="44" fontId="0" fillId="0" borderId="48" xfId="5" applyFont="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vertical="center"/>
    </xf>
    <xf numFmtId="0" fontId="44" fillId="0" borderId="0" xfId="0" applyFont="1" applyAlignment="1">
      <alignment vertical="center"/>
    </xf>
    <xf numFmtId="0" fontId="15" fillId="42" borderId="32" xfId="0" applyFont="1" applyFill="1" applyBorder="1" applyAlignment="1">
      <alignment horizontal="center" vertical="center" wrapText="1"/>
    </xf>
    <xf numFmtId="0" fontId="15" fillId="42" borderId="40" xfId="0" applyFont="1" applyFill="1" applyBorder="1" applyAlignment="1">
      <alignment horizontal="center" vertical="center" wrapText="1"/>
    </xf>
    <xf numFmtId="0" fontId="46" fillId="43" borderId="41" xfId="0" applyFont="1" applyFill="1" applyBorder="1" applyAlignment="1">
      <alignment horizontal="center" vertical="center" wrapText="1"/>
    </xf>
    <xf numFmtId="0" fontId="46" fillId="43" borderId="42" xfId="0" applyFont="1" applyFill="1" applyBorder="1" applyAlignment="1">
      <alignment horizontal="center" vertical="center" wrapText="1"/>
    </xf>
    <xf numFmtId="0" fontId="0" fillId="0" borderId="50" xfId="0" applyBorder="1" applyAlignment="1">
      <alignment vertical="center"/>
    </xf>
    <xf numFmtId="14" fontId="0" fillId="0" borderId="0" xfId="0" applyNumberFormat="1" applyAlignment="1">
      <alignment vertical="center"/>
    </xf>
    <xf numFmtId="44" fontId="0" fillId="0" borderId="0" xfId="5" applyFont="1" applyBorder="1" applyAlignment="1">
      <alignment vertical="center"/>
    </xf>
    <xf numFmtId="44" fontId="0" fillId="0" borderId="0" xfId="5" applyFont="1" applyBorder="1" applyAlignment="1">
      <alignment horizontal="center" vertical="center"/>
    </xf>
    <xf numFmtId="0" fontId="0" fillId="0" borderId="0" xfId="0" applyAlignment="1">
      <alignment horizontal="center" vertical="center"/>
    </xf>
    <xf numFmtId="0" fontId="0" fillId="0" borderId="51" xfId="0" applyBorder="1" applyAlignment="1">
      <alignment vertical="center"/>
    </xf>
    <xf numFmtId="0" fontId="3" fillId="41" borderId="34" xfId="0" applyFont="1" applyFill="1" applyBorder="1" applyAlignment="1">
      <alignment vertical="center" wrapText="1"/>
    </xf>
    <xf numFmtId="0" fontId="3" fillId="0" borderId="36" xfId="0" applyFont="1" applyBorder="1" applyAlignment="1">
      <alignment vertical="center" wrapText="1"/>
    </xf>
    <xf numFmtId="0" fontId="3" fillId="41" borderId="36" xfId="0" applyFont="1" applyFill="1" applyBorder="1" applyAlignment="1">
      <alignment vertical="center" wrapText="1"/>
    </xf>
    <xf numFmtId="0" fontId="0" fillId="0" borderId="0" xfId="0" applyAlignment="1">
      <alignment vertical="center" wrapText="1"/>
    </xf>
    <xf numFmtId="0" fontId="0" fillId="0" borderId="37" xfId="0" applyBorder="1" applyAlignment="1">
      <alignment vertical="center" wrapText="1"/>
    </xf>
    <xf numFmtId="0" fontId="11" fillId="0" borderId="0" xfId="0" applyFont="1" applyAlignment="1">
      <alignment vertical="center" wrapText="1"/>
    </xf>
    <xf numFmtId="0" fontId="3" fillId="41" borderId="33" xfId="0" applyFont="1" applyFill="1" applyBorder="1" applyAlignment="1">
      <alignment horizontal="center" vertical="center" wrapText="1"/>
    </xf>
    <xf numFmtId="0" fontId="12" fillId="41" borderId="34" xfId="0" applyFont="1" applyFill="1" applyBorder="1" applyAlignment="1">
      <alignment horizontal="center" vertical="center" wrapText="1"/>
    </xf>
    <xf numFmtId="0" fontId="3" fillId="41" borderId="34" xfId="0" applyFont="1" applyFill="1" applyBorder="1" applyAlignment="1">
      <alignment horizontal="left" vertical="center" wrapText="1"/>
    </xf>
    <xf numFmtId="14" fontId="3" fillId="41" borderId="34" xfId="0" applyNumberFormat="1" applyFont="1" applyFill="1" applyBorder="1" applyAlignment="1">
      <alignment horizontal="center" vertical="center" wrapText="1"/>
    </xf>
    <xf numFmtId="14" fontId="3" fillId="41" borderId="34" xfId="0" applyNumberFormat="1" applyFont="1" applyFill="1" applyBorder="1" applyAlignment="1">
      <alignment horizontal="left" vertical="center" wrapText="1"/>
    </xf>
    <xf numFmtId="44" fontId="3" fillId="41" borderId="34" xfId="5" applyFont="1" applyFill="1" applyBorder="1" applyAlignment="1">
      <alignment vertical="center" wrapText="1"/>
    </xf>
    <xf numFmtId="44" fontId="3" fillId="41" borderId="34" xfId="5" applyFont="1" applyFill="1" applyBorder="1" applyAlignment="1">
      <alignment horizontal="center" vertical="center" wrapText="1"/>
    </xf>
    <xf numFmtId="0" fontId="3" fillId="41" borderId="34" xfId="0" applyFont="1" applyFill="1" applyBorder="1" applyAlignment="1">
      <alignment horizontal="center" vertical="center" wrapText="1"/>
    </xf>
    <xf numFmtId="14" fontId="3" fillId="41" borderId="34" xfId="0" applyNumberFormat="1" applyFont="1" applyFill="1" applyBorder="1" applyAlignment="1">
      <alignment vertical="center" wrapText="1"/>
    </xf>
    <xf numFmtId="44" fontId="3" fillId="41" borderId="34" xfId="0" applyNumberFormat="1" applyFont="1" applyFill="1" applyBorder="1" applyAlignment="1">
      <alignment vertical="center" wrapText="1"/>
    </xf>
    <xf numFmtId="0" fontId="0" fillId="0" borderId="43" xfId="0" applyBorder="1" applyAlignment="1">
      <alignment vertical="center" wrapText="1"/>
    </xf>
    <xf numFmtId="0" fontId="0" fillId="0" borderId="44" xfId="0" applyBorder="1" applyAlignment="1">
      <alignment vertical="center" wrapText="1"/>
    </xf>
    <xf numFmtId="0" fontId="0" fillId="0" borderId="45" xfId="0" applyBorder="1" applyAlignment="1">
      <alignment vertical="center" wrapText="1"/>
    </xf>
    <xf numFmtId="0" fontId="3"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3" fillId="0" borderId="36" xfId="0" applyFont="1" applyBorder="1" applyAlignment="1">
      <alignment horizontal="left" vertical="center" wrapText="1"/>
    </xf>
    <xf numFmtId="14" fontId="3" fillId="0" borderId="36" xfId="0" applyNumberFormat="1" applyFont="1" applyBorder="1" applyAlignment="1">
      <alignment horizontal="center" vertical="center" wrapText="1"/>
    </xf>
    <xf numFmtId="14" fontId="3" fillId="0" borderId="36" xfId="0" applyNumberFormat="1" applyFont="1" applyBorder="1" applyAlignment="1">
      <alignment horizontal="left" vertical="center" wrapText="1"/>
    </xf>
    <xf numFmtId="44" fontId="3" fillId="0" borderId="36" xfId="5" applyFont="1" applyBorder="1" applyAlignment="1">
      <alignment vertical="center" wrapText="1"/>
    </xf>
    <xf numFmtId="44" fontId="3" fillId="0" borderId="36" xfId="5" applyFont="1" applyBorder="1" applyAlignment="1">
      <alignment horizontal="center" vertical="center" wrapText="1"/>
    </xf>
    <xf numFmtId="14" fontId="3" fillId="0" borderId="36" xfId="0" applyNumberFormat="1" applyFont="1" applyBorder="1" applyAlignment="1">
      <alignment vertical="center" wrapText="1"/>
    </xf>
    <xf numFmtId="0" fontId="3" fillId="0" borderId="36" xfId="0" applyFont="1" applyBorder="1" applyAlignment="1">
      <alignment horizontal="center" vertical="center" wrapText="1"/>
    </xf>
    <xf numFmtId="44" fontId="3" fillId="0" borderId="36" xfId="0" applyNumberFormat="1" applyFont="1" applyBorder="1" applyAlignment="1">
      <alignment vertical="center" wrapText="1"/>
    </xf>
    <xf numFmtId="0" fontId="0" fillId="0" borderId="46" xfId="0" applyBorder="1" applyAlignment="1">
      <alignment vertical="center" wrapText="1"/>
    </xf>
    <xf numFmtId="0" fontId="0" fillId="0" borderId="39" xfId="0" applyBorder="1" applyAlignment="1">
      <alignment vertical="center" wrapText="1"/>
    </xf>
    <xf numFmtId="0" fontId="3" fillId="41" borderId="35" xfId="0" applyFont="1" applyFill="1" applyBorder="1" applyAlignment="1">
      <alignment horizontal="center" vertical="center" wrapText="1"/>
    </xf>
    <xf numFmtId="0" fontId="12" fillId="41" borderId="36" xfId="0" applyFont="1" applyFill="1" applyBorder="1" applyAlignment="1">
      <alignment horizontal="center" vertical="center" wrapText="1"/>
    </xf>
    <xf numFmtId="0" fontId="3" fillId="41" borderId="36" xfId="0" applyFont="1" applyFill="1" applyBorder="1" applyAlignment="1">
      <alignment horizontal="left" vertical="center" wrapText="1"/>
    </xf>
    <xf numFmtId="14" fontId="3" fillId="41" borderId="36" xfId="0" applyNumberFormat="1" applyFont="1" applyFill="1" applyBorder="1" applyAlignment="1">
      <alignment horizontal="center" vertical="center" wrapText="1"/>
    </xf>
    <xf numFmtId="14" fontId="3" fillId="41" borderId="36" xfId="0" applyNumberFormat="1" applyFont="1" applyFill="1" applyBorder="1" applyAlignment="1">
      <alignment horizontal="left" vertical="center" wrapText="1"/>
    </xf>
    <xf numFmtId="44" fontId="3" fillId="41" borderId="36" xfId="5" applyFont="1" applyFill="1" applyBorder="1" applyAlignment="1">
      <alignment vertical="center" wrapText="1"/>
    </xf>
    <xf numFmtId="44" fontId="3" fillId="41" borderId="36" xfId="5" applyFont="1" applyFill="1" applyBorder="1" applyAlignment="1">
      <alignment horizontal="center" vertical="center" wrapText="1"/>
    </xf>
    <xf numFmtId="14" fontId="3" fillId="41" borderId="36" xfId="0" applyNumberFormat="1" applyFont="1" applyFill="1" applyBorder="1" applyAlignment="1">
      <alignment vertical="center" wrapText="1"/>
    </xf>
    <xf numFmtId="0" fontId="3" fillId="41" borderId="36" xfId="0" applyFont="1" applyFill="1" applyBorder="1" applyAlignment="1">
      <alignment horizontal="center" vertical="center" wrapText="1"/>
    </xf>
    <xf numFmtId="44" fontId="3" fillId="41" borderId="36" xfId="0" applyNumberFormat="1" applyFont="1" applyFill="1" applyBorder="1" applyAlignment="1">
      <alignment vertical="center" wrapText="1"/>
    </xf>
    <xf numFmtId="0" fontId="3" fillId="44" borderId="34" xfId="0" applyFont="1" applyFill="1" applyBorder="1" applyAlignment="1">
      <alignment horizontal="center" vertical="center" wrapText="1"/>
    </xf>
    <xf numFmtId="0" fontId="44" fillId="45" borderId="53" xfId="0" applyFont="1" applyFill="1" applyBorder="1" applyAlignment="1">
      <alignment horizontal="justify" vertical="center" wrapText="1"/>
    </xf>
    <xf numFmtId="0" fontId="19" fillId="45" borderId="19" xfId="0" applyFont="1" applyFill="1" applyBorder="1" applyAlignment="1">
      <alignment vertical="center" wrapText="1"/>
    </xf>
    <xf numFmtId="0" fontId="19" fillId="45" borderId="52" xfId="0" applyFont="1" applyFill="1" applyBorder="1" applyAlignment="1">
      <alignment vertical="center" wrapText="1"/>
    </xf>
    <xf numFmtId="14" fontId="19" fillId="45" borderId="52" xfId="0" applyNumberFormat="1" applyFont="1" applyFill="1" applyBorder="1" applyAlignment="1">
      <alignment horizontal="center" vertical="center"/>
    </xf>
    <xf numFmtId="0" fontId="15" fillId="40" borderId="32" xfId="0" applyFont="1" applyFill="1" applyBorder="1" applyAlignment="1">
      <alignment horizontal="justify" vertical="center" wrapText="1"/>
    </xf>
    <xf numFmtId="0" fontId="3" fillId="41" borderId="34" xfId="0" applyFont="1" applyFill="1" applyBorder="1" applyAlignment="1">
      <alignment horizontal="justify" vertical="center" wrapText="1"/>
    </xf>
    <xf numFmtId="0" fontId="3" fillId="0" borderId="36" xfId="0" applyFont="1" applyBorder="1" applyAlignment="1">
      <alignment horizontal="justify" vertical="center" wrapText="1"/>
    </xf>
    <xf numFmtId="0" fontId="3" fillId="41" borderId="36" xfId="0" applyFont="1" applyFill="1" applyBorder="1" applyAlignment="1">
      <alignment horizontal="justify" vertical="center" wrapText="1"/>
    </xf>
    <xf numFmtId="0" fontId="0" fillId="0" borderId="0" xfId="0" applyAlignment="1">
      <alignment horizontal="justify" vertical="center" wrapText="1"/>
    </xf>
    <xf numFmtId="0" fontId="0" fillId="0" borderId="48" xfId="0" applyBorder="1" applyAlignment="1">
      <alignment horizontal="justify" vertical="center" wrapText="1"/>
    </xf>
    <xf numFmtId="0" fontId="0" fillId="0" borderId="37" xfId="0" applyBorder="1" applyAlignment="1">
      <alignment horizontal="justify" vertical="center" wrapText="1"/>
    </xf>
    <xf numFmtId="0" fontId="18" fillId="0" borderId="0" xfId="0" applyFont="1" applyAlignment="1">
      <alignment horizontal="left" vertical="center"/>
    </xf>
    <xf numFmtId="0" fontId="7" fillId="3" borderId="14" xfId="0" applyFont="1" applyFill="1" applyBorder="1" applyAlignment="1">
      <alignment horizontal="center" vertical="center" wrapText="1" shrinkToFit="1"/>
    </xf>
    <xf numFmtId="0" fontId="7" fillId="3" borderId="12" xfId="0" applyFont="1" applyFill="1" applyBorder="1" applyAlignment="1">
      <alignment horizontal="center" vertical="center" wrapText="1" shrinkToFit="1"/>
    </xf>
    <xf numFmtId="0" fontId="13" fillId="4" borderId="9" xfId="0" applyFont="1" applyFill="1" applyBorder="1" applyAlignment="1">
      <alignment vertical="center"/>
    </xf>
    <xf numFmtId="0" fontId="13" fillId="4" borderId="10" xfId="0" applyFont="1" applyFill="1" applyBorder="1" applyAlignment="1">
      <alignment vertical="center"/>
    </xf>
    <xf numFmtId="0" fontId="29" fillId="6" borderId="1" xfId="0" applyFont="1" applyFill="1" applyBorder="1" applyAlignment="1">
      <alignment horizontal="center" vertical="center"/>
    </xf>
    <xf numFmtId="0" fontId="29"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7" fillId="3" borderId="4" xfId="0" applyFont="1" applyFill="1" applyBorder="1" applyAlignment="1">
      <alignment horizontal="center" vertical="center" wrapText="1" shrinkToFit="1"/>
    </xf>
    <xf numFmtId="0" fontId="7" fillId="3" borderId="5" xfId="0" applyFont="1" applyFill="1" applyBorder="1" applyAlignment="1">
      <alignment horizontal="center" vertical="center" wrapText="1" shrinkToFit="1"/>
    </xf>
    <xf numFmtId="0" fontId="7" fillId="3" borderId="0" xfId="0" applyFont="1" applyFill="1" applyAlignment="1">
      <alignment horizontal="center" vertical="center" wrapText="1" shrinkToFit="1"/>
    </xf>
    <xf numFmtId="0" fontId="7" fillId="3" borderId="6" xfId="0" applyFont="1" applyFill="1" applyBorder="1" applyAlignment="1">
      <alignment horizontal="center" vertical="center" wrapText="1" shrinkToFit="1"/>
    </xf>
    <xf numFmtId="0" fontId="9" fillId="0" borderId="7" xfId="0" applyFont="1" applyBorder="1" applyAlignment="1">
      <alignment horizontal="left"/>
    </xf>
    <xf numFmtId="0" fontId="9" fillId="0" borderId="8" xfId="0" applyFont="1" applyBorder="1" applyAlignment="1">
      <alignment horizontal="left"/>
    </xf>
    <xf numFmtId="0" fontId="9" fillId="0" borderId="0" xfId="0" applyFont="1" applyAlignment="1">
      <alignment horizontal="left"/>
    </xf>
    <xf numFmtId="0" fontId="9" fillId="0" borderId="6" xfId="0" applyFont="1" applyBorder="1" applyAlignment="1">
      <alignment horizontal="left"/>
    </xf>
  </cellXfs>
  <cellStyles count="47">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1" builtinId="26" customBuiltin="1"/>
    <cellStyle name="Cálculo" xfId="16" builtinId="22" customBuiltin="1"/>
    <cellStyle name="Celda de comprobación" xfId="18" builtinId="23" customBuiltin="1"/>
    <cellStyle name="Celda vinculada" xfId="17" builtinId="24" customBuiltin="1"/>
    <cellStyle name="Encabezado 1" xfId="7" builtinId="16" customBuiltin="1"/>
    <cellStyle name="Encabezado 4" xfId="10"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4" builtinId="20" customBuiltin="1"/>
    <cellStyle name="Hipervínculo 2" xfId="3" xr:uid="{1690D96A-BF57-46D2-A38D-D0A7F5501B2A}"/>
    <cellStyle name="Incorrecto" xfId="12" builtinId="27" customBuiltin="1"/>
    <cellStyle name="Moneda" xfId="5" builtinId="4"/>
    <cellStyle name="Moneda 2" xfId="4" xr:uid="{A28BB694-A3FA-44A8-BEE9-A75BA71D2868}"/>
    <cellStyle name="Neutral" xfId="13" builtinId="28" customBuiltin="1"/>
    <cellStyle name="Normal" xfId="0" builtinId="0"/>
    <cellStyle name="Normal 2" xfId="2" xr:uid="{2B50DAA0-5EDE-4A22-994F-F798DA552028}"/>
    <cellStyle name="Normal 2 2" xfId="1" xr:uid="{137D2BC3-D424-4477-A4C0-0E13604E4953}"/>
    <cellStyle name="Notas" xfId="20" builtinId="10" customBuiltin="1"/>
    <cellStyle name="Salida" xfId="15" builtinId="21" customBuiltin="1"/>
    <cellStyle name="Texto de advertencia" xfId="19" builtinId="11" customBuiltin="1"/>
    <cellStyle name="Texto explicativo" xfId="21" builtinId="53" customBuiltin="1"/>
    <cellStyle name="Título" xfId="6" builtinId="15" customBuiltin="1"/>
    <cellStyle name="Título 2" xfId="8" builtinId="17" customBuiltin="1"/>
    <cellStyle name="Título 3" xfId="9" builtinId="18" customBuiltin="1"/>
    <cellStyle name="Total" xfId="22" builtinId="25" customBuiltin="1"/>
  </cellStyles>
  <dxfs count="79">
    <dxf>
      <fill>
        <patternFill>
          <bgColor rgb="FF99FF99"/>
        </patternFill>
      </fill>
    </dxf>
    <dxf>
      <fill>
        <patternFill>
          <bgColor rgb="FFFFFF00"/>
        </patternFill>
      </fill>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6" formatCode="[Red][&lt;0]\_xd83d_\_xdc40_;[Blue][=0]\✔#;[Blu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Lato"/>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9" formatCode="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9" formatCode="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color theme="1"/>
        <name val="Lato"/>
        <family val="2"/>
        <scheme val="none"/>
      </font>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dxf>
    <dxf>
      <font>
        <b/>
        <i val="0"/>
        <strike val="0"/>
        <condense val="0"/>
        <extend val="0"/>
        <outline val="0"/>
        <shadow val="0"/>
        <u val="none"/>
        <vertAlign val="baseline"/>
        <sz val="9"/>
        <color theme="0"/>
        <name val="Lato"/>
        <family val="2"/>
        <scheme val="none"/>
      </font>
      <fill>
        <patternFill patternType="solid">
          <fgColor indexed="64"/>
          <bgColor theme="6" tint="-0.249977111117893"/>
        </patternFill>
      </fill>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border diagonalUp="0" diagonalDown="0" outline="0">
        <left/>
        <right style="thin">
          <color theme="6"/>
        </right>
        <top style="thin">
          <color theme="6"/>
        </top>
        <bottom/>
      </border>
    </dxf>
    <dxf>
      <numFmt numFmtId="0" formatCode="General"/>
      <alignment horizontal="general" vertical="center" textRotation="0" wrapText="1" indent="0" justifyLastLine="0" shrinkToFit="0" readingOrder="0"/>
      <border diagonalUp="0" diagonalDown="0" outline="0">
        <left/>
        <right/>
        <top style="thin">
          <color theme="6"/>
        </top>
        <bottom/>
      </border>
    </dxf>
    <dxf>
      <numFmt numFmtId="0" formatCode="General"/>
      <alignment horizontal="general" vertical="center" textRotation="0" wrapText="1" indent="0" justifyLastLine="0" shrinkToFit="0" readingOrder="0"/>
      <border diagonalUp="0" diagonalDown="0" outline="0">
        <left/>
        <right/>
        <top style="thin">
          <color theme="7" tint="0.39997558519241921"/>
        </top>
        <bottom/>
      </border>
    </dxf>
    <dxf>
      <numFmt numFmtId="0" formatCode="General"/>
      <alignment horizontal="general" vertical="center" textRotation="0" wrapText="1" indent="0" justifyLastLine="0" shrinkToFit="0" readingOrder="0"/>
      <border diagonalUp="0" diagonalDown="0" outline="0">
        <left style="thin">
          <color theme="7" tint="0.39997558519241921"/>
        </left>
        <right/>
        <top style="thin">
          <color theme="6"/>
        </top>
        <bottom/>
      </border>
    </dxf>
    <dxf>
      <font>
        <b val="0"/>
        <i val="0"/>
        <strike val="0"/>
        <condense val="0"/>
        <extend val="0"/>
        <outline val="0"/>
        <shadow val="0"/>
        <u val="none"/>
        <vertAlign val="baseline"/>
        <sz val="9"/>
        <color theme="1"/>
        <name val="Amasis MT Pro"/>
        <family val="1"/>
        <scheme val="none"/>
      </font>
      <numFmt numFmtId="34" formatCode="_-&quot;$&quot;\ * #,##0.00_-;\-&quot;$&quot;\ * #,##0.00_-;_-&quot;$&quot;\ * &quot;-&quot;??_-;_-@_-"/>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indexed="64"/>
          <bgColor rgb="FFFFFF00"/>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numFmt numFmtId="19" formatCode="d/mm/yyyy"/>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right/>
        <top style="thin">
          <color theme="0"/>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general"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justify" vertical="center" textRotation="0" wrapText="1" indent="0" justifyLastLine="0" shrinkToFit="0" readingOrder="0"/>
      <border diagonalUp="0" diagonalDown="0">
        <left/>
        <right/>
        <top style="thin">
          <color theme="7" tint="0.39997558519241921"/>
        </top>
        <bottom/>
      </border>
    </dxf>
    <dxf>
      <font>
        <b val="0"/>
        <i val="0"/>
        <strike val="0"/>
        <condense val="0"/>
        <extend val="0"/>
        <outline val="0"/>
        <shadow val="0"/>
        <u val="none"/>
        <vertAlign val="baseline"/>
        <sz val="9"/>
        <color theme="1"/>
        <name val="Amasis MT Pro"/>
        <family val="1"/>
        <scheme val="none"/>
      </font>
      <numFmt numFmtId="19" formatCode="d/mm/yyyy"/>
      <fill>
        <patternFill patternType="solid">
          <fgColor theme="7" tint="0.79998168889431442"/>
          <bgColor theme="7" tint="0.79998168889431442"/>
        </patternFill>
      </fill>
      <alignment horizontal="left"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numFmt numFmtId="19" formatCode="d/mm/yyyy"/>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numFmt numFmtId="19" formatCode="d/mm/yyyy"/>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left"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9" tint="-0.499984740745262"/>
        <name val="Amasis MT Pro"/>
        <family val="1"/>
        <scheme val="none"/>
      </font>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right/>
        <top style="thin">
          <color theme="7" tint="0.39997558519241921"/>
        </top>
        <bottom/>
      </border>
    </dxf>
    <dxf>
      <font>
        <b val="0"/>
        <i val="0"/>
        <strike val="0"/>
        <condense val="0"/>
        <extend val="0"/>
        <outline val="0"/>
        <shadow val="0"/>
        <u val="none"/>
        <vertAlign val="baseline"/>
        <sz val="9"/>
        <color theme="1"/>
        <name val="Amasis MT Pro"/>
        <family val="1"/>
        <scheme val="none"/>
      </font>
      <fill>
        <patternFill patternType="solid">
          <fgColor theme="7" tint="0.79998168889431442"/>
          <bgColor theme="7" tint="0.79998168889431442"/>
        </patternFill>
      </fill>
      <alignment horizontal="center" vertical="center" textRotation="0" wrapText="1" indent="0" justifyLastLine="0" shrinkToFit="0" readingOrder="0"/>
      <border diagonalUp="0" diagonalDown="0" outline="0">
        <left style="thin">
          <color theme="7" tint="0.39997558519241921"/>
        </left>
        <right/>
        <top style="thin">
          <color theme="7" tint="0.39997558519241921"/>
        </top>
        <bottom/>
      </border>
    </dxf>
    <dxf>
      <border outline="0">
        <bottom style="thin">
          <color theme="6"/>
        </bottom>
      </border>
    </dxf>
    <dxf>
      <alignment vertical="center" textRotation="0" wrapText="1" indent="0" justifyLastLine="0" shrinkToFit="0" readingOrder="0"/>
    </dxf>
    <dxf>
      <font>
        <b/>
        <i val="0"/>
        <strike val="0"/>
        <condense val="0"/>
        <extend val="0"/>
        <outline val="0"/>
        <shadow val="0"/>
        <u val="none"/>
        <vertAlign val="baseline"/>
        <sz val="9"/>
        <color rgb="FFFFFFFF"/>
        <name val="Calibri"/>
        <family val="2"/>
        <scheme val="none"/>
      </font>
      <fill>
        <patternFill patternType="solid">
          <fgColor rgb="FF15803D"/>
          <bgColor theme="4" tint="-0.499984740745262"/>
        </patternFill>
      </fill>
      <alignment horizontal="center" vertical="center" textRotation="0" wrapText="1"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ont>
        <b/>
        <color theme="8" tint="-0.249977111117893"/>
      </font>
    </dxf>
    <dxf>
      <font>
        <b/>
        <color theme="8" tint="-0.249977111117893"/>
      </font>
    </dxf>
    <dxf>
      <font>
        <b/>
        <color theme="8" tint="-0.249977111117893"/>
      </font>
      <border>
        <top style="thin">
          <color theme="8"/>
        </top>
      </border>
    </dxf>
    <dxf>
      <font>
        <b/>
        <color theme="8" tint="-0.249977111117893"/>
      </font>
      <fill>
        <patternFill>
          <bgColor rgb="FF00B0F0"/>
        </patternFill>
      </fill>
      <border>
        <bottom style="thin">
          <color theme="8"/>
        </bottom>
      </border>
    </dxf>
    <dxf>
      <font>
        <color theme="8" tint="-0.249977111117893"/>
      </font>
      <border>
        <top style="thin">
          <color theme="8"/>
        </top>
        <bottom style="thin">
          <color theme="8"/>
        </bottom>
      </border>
    </dxf>
    <dxf>
      <font>
        <b/>
        <color theme="1"/>
      </font>
      <fill>
        <patternFill>
          <bgColor theme="0"/>
        </patternFill>
      </fill>
      <border>
        <bottom style="thin">
          <color theme="8"/>
        </bottom>
        <vertical/>
        <horizontal/>
      </border>
    </dxf>
    <dxf>
      <font>
        <color theme="1"/>
      </font>
      <fill>
        <patternFill>
          <bgColor rgb="FF0070C0"/>
        </patternFill>
      </fill>
      <border>
        <left style="thin">
          <color theme="8"/>
        </left>
        <right style="thin">
          <color theme="8"/>
        </right>
        <top style="thin">
          <color theme="8"/>
        </top>
        <bottom style="thin">
          <color theme="8"/>
        </bottom>
        <vertical/>
        <horizontal/>
      </border>
    </dxf>
    <dxf>
      <font>
        <b/>
        <sz val="11"/>
        <color theme="1"/>
      </font>
    </dxf>
    <dxf>
      <fill>
        <patternFill patternType="solid">
          <fgColor theme="0"/>
          <bgColor theme="0"/>
        </patternFill>
      </fill>
      <border diagonalUp="0" diagonalDown="0">
        <left/>
        <right/>
        <top/>
        <bottom/>
        <vertical/>
        <horizontal/>
      </border>
    </dxf>
  </dxfs>
  <tableStyles count="3" defaultTableStyle="TableStyleMedium2" defaultPivotStyle="PivotStyleLight16">
    <tableStyle name="Estilo de escala de tiempo 1" pivot="0" table="0" count="8" xr9:uid="{F2FC6CC3-ECD5-416B-B4DD-3DBE773434DE}">
      <tableStyleElement type="wholeTable" dxfId="78"/>
      <tableStyleElement type="headerRow" dxfId="77"/>
    </tableStyle>
    <tableStyle name="SlicerStyleLight5 2" pivot="0" table="0" count="10" xr9:uid="{BCD6261C-8211-4CFF-8284-CE08BE065480}">
      <tableStyleElement type="wholeTable" dxfId="76"/>
      <tableStyleElement type="headerRow" dxfId="75"/>
    </tableStyle>
    <tableStyle name="TableStyleLight6 2" pivot="0" count="7" xr9:uid="{67DC7F2D-FD06-40E0-B773-1FE37926F747}">
      <tableStyleElement type="wholeTable" dxfId="74"/>
      <tableStyleElement type="headerRow" dxfId="73"/>
      <tableStyleElement type="totalRow" dxfId="72"/>
      <tableStyleElement type="firstColumn" dxfId="71"/>
      <tableStyleElement type="lastColumn" dxfId="70"/>
      <tableStyleElement type="firstRowStripe" dxfId="69"/>
      <tableStyleElement type="firstColumnStripe" dxfId="68"/>
    </tableStyle>
  </tableStyles>
  <colors>
    <mruColors>
      <color rgb="FF91CC8E"/>
      <color rgb="FFFF9933"/>
      <color rgb="FF58BB1B"/>
      <color rgb="FF00CC66"/>
      <color rgb="FF99CC00"/>
      <color rgb="FFFFFFA3"/>
      <color rgb="FFFFFFCC"/>
      <color rgb="FF4DB9E9"/>
      <color rgb="FF6CDAF4"/>
      <color rgb="FF99FF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Estilo de escala de tiempo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microsoft.com/office/2007/relationships/slicerCache" Target="slicerCaches/slicerCache2.xml"/><Relationship Id="rId9" Type="http://schemas.microsoft.com/office/2022/10/relationships/richValueRel" Target="richData/richValueRel.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3914235726842"/>
          <c:y val="9.2437489834068409E-2"/>
          <c:w val="0.52573558291898193"/>
          <c:h val="0.89296364309270615"/>
        </c:manualLayout>
      </c:layout>
      <c:doughnutChart>
        <c:varyColors val="1"/>
        <c:ser>
          <c:idx val="0"/>
          <c:order val="0"/>
          <c:spPr>
            <a:solidFill>
              <a:srgbClr val="CCFFCC"/>
            </a:solidFill>
          </c:spPr>
          <c:dPt>
            <c:idx val="0"/>
            <c:bubble3D val="0"/>
            <c:spPr>
              <a:solidFill>
                <a:srgbClr val="CCFFCC"/>
              </a:solidFill>
              <a:ln w="19050">
                <a:solidFill>
                  <a:schemeClr val="lt1"/>
                </a:solidFill>
              </a:ln>
              <a:effectLst/>
            </c:spPr>
            <c:extLst>
              <c:ext xmlns:c16="http://schemas.microsoft.com/office/drawing/2014/chart" uri="{C3380CC4-5D6E-409C-BE32-E72D297353CC}">
                <c16:uniqueId val="{00000003-3954-49BE-8C3D-089C27449FA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3954-49BE-8C3D-089C27449FAD}"/>
              </c:ext>
            </c:extLst>
          </c:dPt>
          <c:dLbls>
            <c:dLbl>
              <c:idx val="0"/>
              <c:layout>
                <c:manualLayout>
                  <c:x val="0.29291079585927166"/>
                  <c:y val="6.65928123617614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54-49BE-8C3D-089C27449FAD}"/>
                </c:ext>
              </c:extLst>
            </c:dLbl>
            <c:dLbl>
              <c:idx val="1"/>
              <c:layout>
                <c:manualLayout>
                  <c:x val="-0.24784759649630672"/>
                  <c:y val="-3.026946016443705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954-49BE-8C3D-089C27449FA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'Eventos-Tareas'!$J$11:$J$12</c:f>
              <c:strCache>
                <c:ptCount val="2"/>
                <c:pt idx="0">
                  <c:v>Cerrada</c:v>
                </c:pt>
                <c:pt idx="1">
                  <c:v>En proceso</c:v>
                </c:pt>
              </c:strCache>
            </c:strRef>
          </c:cat>
          <c:val>
            <c:numRef>
              <c:f>'Eventos-Tareas'!$K$11:$K$12</c:f>
              <c:numCache>
                <c:formatCode>General</c:formatCode>
                <c:ptCount val="2"/>
                <c:pt idx="0">
                  <c:v>314</c:v>
                </c:pt>
                <c:pt idx="1">
                  <c:v>3</c:v>
                </c:pt>
              </c:numCache>
            </c:numRef>
          </c:val>
          <c:extLst>
            <c:ext xmlns:c16="http://schemas.microsoft.com/office/drawing/2014/chart" uri="{C3380CC4-5D6E-409C-BE32-E72D297353CC}">
              <c16:uniqueId val="{00000000-3954-49BE-8C3D-089C27449F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s-CO"/>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57150</xdr:rowOff>
    </xdr:from>
    <xdr:to>
      <xdr:col>3</xdr:col>
      <xdr:colOff>555280</xdr:colOff>
      <xdr:row>4</xdr:row>
      <xdr:rowOff>19858</xdr:rowOff>
    </xdr:to>
    <xdr:pic>
      <xdr:nvPicPr>
        <xdr:cNvPr id="2" name="Imagen 1">
          <a:extLst>
            <a:ext uri="{FF2B5EF4-FFF2-40B4-BE49-F238E27FC236}">
              <a16:creationId xmlns:a16="http://schemas.microsoft.com/office/drawing/2014/main" id="{1132EF8B-0A17-4744-82CA-4BC3E3DF05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7150"/>
          <a:ext cx="1457615" cy="874568"/>
        </a:xfrm>
        <a:prstGeom prst="rect">
          <a:avLst/>
        </a:prstGeom>
      </xdr:spPr>
    </xdr:pic>
    <xdr:clientData/>
  </xdr:twoCellAnchor>
  <xdr:twoCellAnchor>
    <xdr:from>
      <xdr:col>8</xdr:col>
      <xdr:colOff>587375</xdr:colOff>
      <xdr:row>7</xdr:row>
      <xdr:rowOff>102054</xdr:rowOff>
    </xdr:from>
    <xdr:to>
      <xdr:col>12</xdr:col>
      <xdr:colOff>410350</xdr:colOff>
      <xdr:row>14</xdr:row>
      <xdr:rowOff>226176</xdr:rowOff>
    </xdr:to>
    <xdr:graphicFrame macro="">
      <xdr:nvGraphicFramePr>
        <xdr:cNvPr id="10" name="Gráfico 9">
          <a:extLst>
            <a:ext uri="{FF2B5EF4-FFF2-40B4-BE49-F238E27FC236}">
              <a16:creationId xmlns:a16="http://schemas.microsoft.com/office/drawing/2014/main" id="{3A497838-11E3-3FE8-84B1-D898532AF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751115</xdr:colOff>
      <xdr:row>6</xdr:row>
      <xdr:rowOff>22225</xdr:rowOff>
    </xdr:from>
    <xdr:to>
      <xdr:col>12</xdr:col>
      <xdr:colOff>64861</xdr:colOff>
      <xdr:row>7</xdr:row>
      <xdr:rowOff>192314</xdr:rowOff>
    </xdr:to>
    <xdr:sp macro="" textlink="">
      <xdr:nvSpPr>
        <xdr:cNvPr id="15" name="CuadroTexto 14">
          <a:extLst>
            <a:ext uri="{FF2B5EF4-FFF2-40B4-BE49-F238E27FC236}">
              <a16:creationId xmlns:a16="http://schemas.microsoft.com/office/drawing/2014/main" id="{C717C9A2-DFC3-D734-C751-1DC5E4733067}"/>
            </a:ext>
          </a:extLst>
        </xdr:cNvPr>
        <xdr:cNvSpPr txBox="1"/>
      </xdr:nvSpPr>
      <xdr:spPr>
        <a:xfrm>
          <a:off x="6103258" y="1428296"/>
          <a:ext cx="2978603" cy="22451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solidFill>
                <a:srgbClr val="002060"/>
              </a:solidFill>
              <a:latin typeface="Lato" panose="020F0502020204030203" pitchFamily="34" charset="0"/>
              <a:ea typeface="Lato" panose="020F0502020204030203" pitchFamily="34" charset="0"/>
              <a:cs typeface="Lato" panose="020F0502020204030203" pitchFamily="34" charset="0"/>
            </a:rPr>
            <a:t>Tareas</a:t>
          </a:r>
          <a:r>
            <a:rPr lang="es-CO" sz="1400" b="1" baseline="0">
              <a:solidFill>
                <a:srgbClr val="002060"/>
              </a:solidFill>
              <a:latin typeface="Lato" panose="020F0502020204030203" pitchFamily="34" charset="0"/>
              <a:ea typeface="Lato" panose="020F0502020204030203" pitchFamily="34" charset="0"/>
              <a:cs typeface="Lato" panose="020F0502020204030203" pitchFamily="34" charset="0"/>
            </a:rPr>
            <a:t> asignadas</a:t>
          </a:r>
          <a:endParaRPr lang="es-CO" sz="14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editAs="absolute">
    <xdr:from>
      <xdr:col>2</xdr:col>
      <xdr:colOff>23813</xdr:colOff>
      <xdr:row>16</xdr:row>
      <xdr:rowOff>58699</xdr:rowOff>
    </xdr:from>
    <xdr:to>
      <xdr:col>3</xdr:col>
      <xdr:colOff>328780</xdr:colOff>
      <xdr:row>19</xdr:row>
      <xdr:rowOff>592165</xdr:rowOff>
    </xdr:to>
    <mc:AlternateContent xmlns:mc="http://schemas.openxmlformats.org/markup-compatibility/2006" xmlns:sle15="http://schemas.microsoft.com/office/drawing/2012/slicer">
      <mc:Choice Requires="sle15">
        <xdr:graphicFrame macro="">
          <xdr:nvGraphicFramePr>
            <xdr:cNvPr id="19" name="Año">
              <a:extLst>
                <a:ext uri="{FF2B5EF4-FFF2-40B4-BE49-F238E27FC236}">
                  <a16:creationId xmlns:a16="http://schemas.microsoft.com/office/drawing/2014/main" id="{01FDDF2C-B793-4353-A538-0C61EB8A5EC6}"/>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310198" y="3842664"/>
              <a:ext cx="1197142" cy="1127826"/>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3</xdr:col>
      <xdr:colOff>441726</xdr:colOff>
      <xdr:row>16</xdr:row>
      <xdr:rowOff>57995</xdr:rowOff>
    </xdr:from>
    <xdr:to>
      <xdr:col>7</xdr:col>
      <xdr:colOff>1126228</xdr:colOff>
      <xdr:row>19</xdr:row>
      <xdr:rowOff>592455</xdr:rowOff>
    </xdr:to>
    <mc:AlternateContent xmlns:mc="http://schemas.openxmlformats.org/markup-compatibility/2006" xmlns:sle15="http://schemas.microsoft.com/office/drawing/2012/slicer">
      <mc:Choice Requires="sle15">
        <xdr:graphicFrame macro="">
          <xdr:nvGraphicFramePr>
            <xdr:cNvPr id="20" name="CLASE EVENTO NIVEL 1">
              <a:extLst>
                <a:ext uri="{FF2B5EF4-FFF2-40B4-BE49-F238E27FC236}">
                  <a16:creationId xmlns:a16="http://schemas.microsoft.com/office/drawing/2014/main" id="{52EE90C3-8DF3-418E-939A-B8920C46FC9A}"/>
                </a:ext>
              </a:extLst>
            </xdr:cNvPr>
            <xdr:cNvGraphicFramePr/>
          </xdr:nvGraphicFramePr>
          <xdr:xfrm>
            <a:off x="0" y="0"/>
            <a:ext cx="0" cy="0"/>
          </xdr:xfrm>
          <a:graphic>
            <a:graphicData uri="http://schemas.microsoft.com/office/drawing/2010/slicer">
              <sle:slicer xmlns:sle="http://schemas.microsoft.com/office/drawing/2010/slicer" name="CLASE EVENTO NIVEL 1"/>
            </a:graphicData>
          </a:graphic>
        </xdr:graphicFrame>
      </mc:Choice>
      <mc:Fallback xmlns="">
        <xdr:sp macro="" textlink="">
          <xdr:nvSpPr>
            <xdr:cNvPr id="0" name=""/>
            <xdr:cNvSpPr>
              <a:spLocks noTextEdit="1"/>
            </xdr:cNvSpPr>
          </xdr:nvSpPr>
          <xdr:spPr>
            <a:xfrm>
              <a:off x="1672900" y="3774741"/>
              <a:ext cx="8181360" cy="1133355"/>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0.33447</cdr:x>
      <cdr:y>0.38144</cdr:y>
    </cdr:from>
    <cdr:to>
      <cdr:x>0.49205</cdr:x>
      <cdr:y>0.68708</cdr:y>
    </cdr:to>
    <cdr:pic>
      <cdr:nvPicPr>
        <cdr:cNvPr id="2" name="Imagen 1" descr="Archivo Reenviar Icono Icono Registro Vector Vector PNG ,dibujos Icono,  Registro, Vector PNG y Vector para Descargar Gratis | Pngtree">
          <a:extLst xmlns:a="http://schemas.openxmlformats.org/drawingml/2006/main">
            <a:ext uri="{FF2B5EF4-FFF2-40B4-BE49-F238E27FC236}">
              <a16:creationId xmlns:a16="http://schemas.microsoft.com/office/drawing/2014/main" id="{B7073D2D-41A2-47F4-BCE4-8D375CDC3628}"/>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166586" y="722085"/>
          <a:ext cx="549599" cy="578593"/>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relSizeAnchor>
</c:userShape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505AABB6-DAFF-42C3-866C-5064FC2CD996}" sourceName="Año">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E_EVENTO_NIVEL_1" xr10:uid="{E9EC8FCA-C35B-4255-A600-3952A775E092}" sourceName="CLASE EVENTO NIVEL 1">
  <extLst>
    <x:ext xmlns:x15="http://schemas.microsoft.com/office/spreadsheetml/2010/11/main" uri="{2F2917AC-EB37-4324-AD4E-5DD8C200BD13}">
      <x15:tableSlicerCache tableId="4"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AD70BA54-4399-4A76-87C2-4CEEF0F63C8A}" cache="SegmentaciónDeDatos_Año" caption="Año" style="SlicerStyleDark3" rowHeight="241300"/>
  <slicer name="CLASE EVENTO NIVEL 1" xr10:uid="{536236F3-C055-4436-A1B3-45F4669EA275}" cache="SegmentaciónDeDatos_CLASE_EVENTO_NIVEL_1" caption="CLASE EVENTO NIVEL 1" columnCount="3"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371003-610D-4648-9F95-5D0AFC497D5B}" name="Tabla1" displayName="Tabla1" ref="B1:AE90" totalsRowShown="0" headerRowDxfId="67" dataDxfId="66" tableBorderDxfId="65">
  <autoFilter ref="B1:AE90" xr:uid="{67371003-610D-4648-9F95-5D0AFC497D5B}"/>
  <tableColumns count="30">
    <tableColumn id="1" xr3:uid="{D7B89377-DDF0-4EEF-A86E-3E480EB1E187}" name="REFERENCIA" dataDxfId="64"/>
    <tableColumn id="2" xr3:uid="{69C2F437-9316-4BCD-AF38-7E4015922B51}" name="Año" dataDxfId="63"/>
    <tableColumn id="3" xr3:uid="{FEB0C9CD-3D0E-4F1F-8790-42D0A720D234}" name="Mes" dataDxfId="62"/>
    <tableColumn id="4" xr3:uid="{8D838664-CEA7-443C-98A2-4ADD23E744F4}" name="FECHA INICIO" dataDxfId="61"/>
    <tableColumn id="5" xr3:uid="{DAC5336E-D0BB-423E-A9D4-0B9510A876C7}" name="FECHA FINALIZACION" dataDxfId="60"/>
    <tableColumn id="6" xr3:uid="{FCC9FC5D-7187-4990-B379-67E5862FA20A}" name="FECHA DESCUBRIMIENTO" dataDxfId="59"/>
    <tableColumn id="7" xr3:uid="{3366499B-268A-4772-BA4A-CDAEAA19BDFE}" name="DESCRIPCION EVENTO" dataDxfId="58"/>
    <tableColumn id="8" xr3:uid="{2CCD3218-7292-4089-B3D9-6BBFA175D922}" name="CUANTIA" dataDxfId="57" dataCellStyle="Moneda"/>
    <tableColumn id="9" xr3:uid="{B3DEE672-FE96-4442-A207-3105C48807C1}" name="CUANTIA TOTAL RECUPERADA" dataDxfId="56" dataCellStyle="Moneda"/>
    <tableColumn id="10" xr3:uid="{09A8A27E-0F69-4A68-83E5-7D9584E695AE}" name="CUANTIA RECUPERADA SEGUROS" dataDxfId="55" dataCellStyle="Moneda"/>
    <tableColumn id="11" xr3:uid="{CDD53F9F-C436-4E45-9FF6-C1820808299D}" name="CLASE EVENTO NIVEL 1" dataDxfId="54"/>
    <tableColumn id="12" xr3:uid="{869F7D55-5FD0-49B3-BEF7-6FDBC52B673D}" name="CLASE EVENTO NIVEL 2" dataDxfId="53"/>
    <tableColumn id="13" xr3:uid="{D9B7CB1D-16B2-421A-9FA9-B0FA87534668}" name="CLASE EVENTO NIVEL 3" dataDxfId="52"/>
    <tableColumn id="14" xr3:uid="{735B4501-4058-404C-8993-A37BF57450E0}" name="CUENTA CONTABLE" dataDxfId="51"/>
    <tableColumn id="15" xr3:uid="{88CB2AED-E9ED-410B-AF0A-5F6896EB45CE}" name="FECHA CONTABILIZACION" dataDxfId="50"/>
    <tableColumn id="16" xr3:uid="{3F0C4712-9D88-4B29-B81E-8F4E587A0DAE}" name="SERVICIO / PRODUCTO" dataDxfId="49"/>
    <tableColumn id="17" xr3:uid="{10810FC6-BE4B-46A4-84BF-D7B5E816E212}" name="CANAL ATENCION CLIENTE" dataDxfId="48"/>
    <tableColumn id="18" xr3:uid="{C0D505F9-FD3B-46B4-B7C4-0E6A4421417E}" name="NIT FUNCIONARIO REPORTE EVENTO" dataDxfId="47"/>
    <tableColumn id="19" xr3:uid="{D8D15CE3-4EFD-463A-BC04-EDCC84856A35}" name="NOMBRE FUNCIONARIO REPORTE EVENTO" dataDxfId="46"/>
    <tableColumn id="20" xr3:uid="{55DCEFD8-CE5C-49EF-B837-38340D7FE31E}" name="EMAIL FUNCIONARIO REPORTE EVENTO" dataDxfId="45"/>
    <tableColumn id="21" xr3:uid="{03F2089D-C355-4DF4-B499-5019C4BD9246}" name="ESTADO EVENTO" dataDxfId="44"/>
    <tableColumn id="22" xr3:uid="{FCC8917B-93F7-48F7-BC75-D22E7A0DB365}" name="REVISION EVENTO" dataDxfId="43"/>
    <tableColumn id="23" xr3:uid="{F24D3436-89A9-45A3-8D9C-20C2B9F5D9BC}" name="CATEGORÍA 4 (Interna)" dataDxfId="42"/>
    <tableColumn id="24" xr3:uid="{E8DE5C2E-F216-4D32-A158-5DDCC7689FEB}" name="RIESGOS" dataDxfId="41"/>
    <tableColumn id="25" xr3:uid="{D5743340-05D4-4127-ABC9-B2E90E915AC2}" name="TAREAS" dataDxfId="40">
      <calculatedColumnFormula>+COUNTIF('Eventos-Tareas'!$D$22:$D$1048576,'Eventos de riesgos'!$B2)</calculatedColumnFormula>
    </tableColumn>
    <tableColumn id="26" xr3:uid="{90AD06C9-B0C4-4725-BAD4-6ECD04AEBBD3}" name="PERDIDA TOTAL" dataDxfId="39">
      <calculatedColumnFormula>+'Eventos de riesgos'!$I2-'Eventos de riesgos'!$J2-'Eventos de riesgos'!$K2</calculatedColumnFormula>
    </tableColumn>
    <tableColumn id="27" xr3:uid="{C59E2C04-D3B4-4175-B6B6-59BCB8D0F6AF}" name="DESCRIPCIÓN DE RIESGO" dataDxfId="38"/>
    <tableColumn id="28" xr3:uid="{3B1B3FE3-7165-43D0-94E5-02FA2005B1B0}" name="EVENTO (Qué pasó)" dataDxfId="37"/>
    <tableColumn id="29" xr3:uid="{407A7A08-1113-46E7-A002-16F854EC1E94}" name="CAUSA (Por qué ocurrió)" dataDxfId="36"/>
    <tableColumn id="30" xr3:uid="{809E364A-A3B7-4A04-9F24-A887E1BB6BE4}" name="CONSECUENCIA (Impactos)" dataDxfId="35"/>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945766-5D50-4DC1-B58F-B50D443BD136}" name="Tabla15" displayName="Tabla15" ref="C22:AG339" totalsRowShown="0" headerRowDxfId="34" dataDxfId="33">
  <autoFilter ref="C22:AG339" xr:uid="{29945766-5D50-4DC1-B58F-B50D443BD136}"/>
  <tableColumns count="31">
    <tableColumn id="1" xr3:uid="{264382BE-77D5-486F-A83E-4637BA9A5844}" name="CD" dataDxfId="32">
      <calculatedColumnFormula>+Tabla15[[#This Row],[N° 
Evento]]&amp;"-"&amp;Tabla15[[#This Row],[N° Tarea]]</calculatedColumnFormula>
    </tableColumn>
    <tableColumn id="2" xr3:uid="{03153C7A-80C8-4884-8A85-40BEE3A192EA}" name="N° _x000a_Evento" dataDxfId="31"/>
    <tableColumn id="3" xr3:uid="{C037EFA2-4BDF-420C-B341-7BCF2CE61A52}" name="N° Tarea" dataDxfId="30"/>
    <tableColumn id="4" xr3:uid="{E2951426-FC5A-4373-B91D-765F85118A2C}" name="Descripción de la Tarea" dataDxfId="29"/>
    <tableColumn id="14" xr3:uid="{9FEF8A06-CFC4-401C-99F9-E7C3630213C9}" name="Tipo de acción" dataDxfId="28"/>
    <tableColumn id="5" xr3:uid="{718C6EFE-B2B3-43C6-A98C-44713AC03705}" name="Responsable (s)" dataDxfId="27"/>
    <tableColumn id="6" xr3:uid="{F12CDE5D-C3AB-4685-8FF8-045F4481DDEA}" name="Nombre" dataDxfId="26"/>
    <tableColumn id="7" xr3:uid="{D8E5609C-FBCC-47F7-94FA-D2B7E8CAA91D}" name="Fecha de Inicio" dataDxfId="25"/>
    <tableColumn id="8" xr3:uid="{23EE08BC-5255-4ADC-9C53-78E6824C89B4}" name="Fecha de Finalización" dataDxfId="24"/>
    <tableColumn id="9" xr3:uid="{CE586F7E-1A8E-46B2-880D-CF45957D512D}" name="Estado" dataDxfId="23">
      <calculatedColumnFormula>IF(Tabla15[[#This Row],[Fecha de Finalización]]&gt;0,"Cerrada","En Proceso")</calculatedColumnFormula>
    </tableColumn>
    <tableColumn id="10" xr3:uid="{60E3EC2A-7B8C-4650-95F4-3F23F5A72018}" name="Días Transcurridos" dataDxfId="22">
      <calculatedColumnFormula>+K23-J23</calculatedColumnFormula>
    </tableColumn>
    <tableColumn id="11" xr3:uid="{68FC005C-5DC6-4B14-AF16-6FC4C4145F72}" name="Observaciones" dataDxfId="21"/>
    <tableColumn id="12" xr3:uid="{E1E9F313-2BD2-485F-B6C0-D954F3C3A3C7}" name="Año" dataDxfId="20">
      <calculatedColumnFormula>VLOOKUP(Tabla15[[#This Row],[N° 
Evento]],'Eventos de riesgos'!B:C,2,0)</calculatedColumnFormula>
    </tableColumn>
    <tableColumn id="13" xr3:uid="{5C18823C-2841-43ED-85A7-4426DB2D6377}" name="Mes" dataDxfId="19">
      <calculatedColumnFormula>VLOOKUP(Tabla15[[#This Row],[N° 
Evento]],'Eventos de riesgos'!B:D,3,0)</calculatedColumnFormula>
    </tableColumn>
    <tableColumn id="15" xr3:uid="{51D60E67-90A0-402C-B19C-FEFD3D1B6E61}" name="FECHA INICIO" dataDxfId="18">
      <calculatedColumnFormula>VLOOKUP(Tabla15[[#This Row],[N° 
Evento]],'Eventos de riesgos'!B:E,4,0)</calculatedColumnFormula>
    </tableColumn>
    <tableColumn id="16" xr3:uid="{ADA99B95-5C69-46D8-AB5C-301CB92C18B3}" name="FECHA FINALIZACION" dataDxfId="17">
      <calculatedColumnFormula>VLOOKUP(Tabla15[[#This Row],[N° 
Evento]],'Eventos de riesgos'!B:F,5,0)</calculatedColumnFormula>
    </tableColumn>
    <tableColumn id="17" xr3:uid="{546ED371-5D87-4F10-A5C6-6C48F1A49E1F}" name="FECHA DESCUBRIMIENTO" dataDxfId="16">
      <calculatedColumnFormula>VLOOKUP(Tabla15[[#This Row],[N° 
Evento]],'Eventos de riesgos'!B:G,6,0)</calculatedColumnFormula>
    </tableColumn>
    <tableColumn id="18" xr3:uid="{25D09F37-20E3-4968-BCCF-DD6A7A73623F}" name="DESCRIPCION EVENTO" dataDxfId="15">
      <calculatedColumnFormula>VLOOKUP(Tabla15[[#This Row],[N° 
Evento]],'Eventos de riesgos'!B:H,7,0)</calculatedColumnFormula>
    </tableColumn>
    <tableColumn id="19" xr3:uid="{F8C75D07-97A6-4019-BACC-07E6992FA58C}" name="CUANTIA" dataDxfId="14" dataCellStyle="Moneda">
      <calculatedColumnFormula>VLOOKUP(Tabla15[[#This Row],[N° 
Evento]],'Eventos de riesgos'!B:I,8,0)</calculatedColumnFormula>
    </tableColumn>
    <tableColumn id="20" xr3:uid="{3C14388F-9C40-46CD-A0C5-49E69730ECC7}" name="CUANTIA TOTAL RECUPERADA" dataDxfId="13" dataCellStyle="Moneda">
      <calculatedColumnFormula>VLOOKUP(Tabla15[[#This Row],[N° 
Evento]],'Eventos de riesgos'!B:J,9,0)</calculatedColumnFormula>
    </tableColumn>
    <tableColumn id="21" xr3:uid="{9BB3652C-FCDA-4CD3-9AED-B4950C2D7FBA}" name="CUANTIA RECUPERADA SEGUROS" dataDxfId="12" dataCellStyle="Moneda">
      <calculatedColumnFormula>VLOOKUP(Tabla15[[#This Row],[N° 
Evento]],'Eventos de riesgos'!B:K,10,0)</calculatedColumnFormula>
    </tableColumn>
    <tableColumn id="22" xr3:uid="{7E199DF8-4BD7-4398-9CC2-4AE4D4C1F18A}" name="CLASE EVENTO NIVEL 1" dataDxfId="11">
      <calculatedColumnFormula>VLOOKUP(Tabla15[[#This Row],[N° 
Evento]],'Eventos de riesgos'!B:L,11,0)</calculatedColumnFormula>
    </tableColumn>
    <tableColumn id="23" xr3:uid="{0B2EABE6-BF55-4BBB-B7E7-119932FC8B37}" name="CLASE EVENTO NIVEL 2" dataDxfId="10">
      <calculatedColumnFormula>VLOOKUP(Tabla15[[#This Row],[N° 
Evento]],'Eventos de riesgos'!B:M,12,0)</calculatedColumnFormula>
    </tableColumn>
    <tableColumn id="24" xr3:uid="{2437DAD8-4B60-4E37-A59D-FA910A49B7CC}" name="CLASE EVENTO NIVEL 3" dataDxfId="9">
      <calculatedColumnFormula>VLOOKUP(Tabla15[[#This Row],[N° 
Evento]],'Eventos de riesgos'!B:N,13,0)</calculatedColumnFormula>
    </tableColumn>
    <tableColumn id="35" xr3:uid="{21BFC07A-26D9-45C9-A2F1-BC4CA982C35B}" name="CATEGORÍA 4 (Interna)" dataDxfId="8">
      <calculatedColumnFormula>+VLOOKUP(Tabla15[[#This Row],[N° 
Evento]],'Eventos de riesgos'!$B$1:$AA$87,23,0)</calculatedColumnFormula>
    </tableColumn>
    <tableColumn id="25" xr3:uid="{FF77AD71-C403-4090-AAA1-B076C1D053DF}" name="CUENTA CONTABLE" dataDxfId="7">
      <calculatedColumnFormula>VLOOKUP(Tabla15[[#This Row],[N° 
Evento]],'Eventos de riesgos'!B:O,14,0)</calculatedColumnFormula>
    </tableColumn>
    <tableColumn id="26" xr3:uid="{59FF7A4D-EAAF-442F-B346-309ACD12F093}" name="FECHA CONTABILIZACION" dataDxfId="6">
      <calculatedColumnFormula>VLOOKUP(Tabla15[[#This Row],[N° 
Evento]],'Eventos de riesgos'!B:P,15,0)</calculatedColumnFormula>
    </tableColumn>
    <tableColumn id="27" xr3:uid="{46DD6D5A-899F-4871-A01C-7F41DB3B17E4}" name="SERVICIO / PRODUCTO" dataDxfId="5">
      <calculatedColumnFormula>VLOOKUP(Tabla15[[#This Row],[N° 
Evento]],'Eventos de riesgos'!B:Q,16,0)</calculatedColumnFormula>
    </tableColumn>
    <tableColumn id="28" xr3:uid="{3FBD9F26-E4E5-48C3-A7CC-951C1A482B71}" name="CANAL ATENCION CLIENTE" dataDxfId="4">
      <calculatedColumnFormula>VLOOKUP(Tabla15[[#This Row],[N° 
Evento]],'Eventos de riesgos'!B:R,17,0)</calculatedColumnFormula>
    </tableColumn>
    <tableColumn id="32" xr3:uid="{489065A3-2E22-4110-AF98-96CB2CCE7242}" name="ESTADO EVENTO" dataDxfId="3">
      <calculatedColumnFormula>VLOOKUP(Tabla15[[#This Row],[N° 
Evento]],'Eventos de riesgos'!B:V,21,0)</calculatedColumnFormula>
    </tableColumn>
    <tableColumn id="33" xr3:uid="{B4566A76-9928-46A5-AB85-7A237163FCAE}" name="REVISION EVENTO" dataDxfId="2">
      <calculatedColumnFormula>VLOOKUP(Tabla15[[#This Row],[N° 
Evento]],'Eventos de riesgos'!B:W,22,0)</calculatedColumnFormula>
    </tableColumn>
  </tableColumns>
  <tableStyleInfo name="TableStyleMedium25" showFirstColumn="0" showLastColumn="0" showRowStripes="1" showColumnStripes="0"/>
</table>
</file>

<file path=xl/theme/theme1.xml><?xml version="1.0" encoding="utf-8"?>
<a:theme xmlns:a="http://schemas.openxmlformats.org/drawingml/2006/main" name="Tema de Office">
  <a:themeElements>
    <a:clrScheme name="Violeta">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574E4-DBB9-449A-A388-8A9FB43E6B47}">
  <sheetPr codeName="Hoja1">
    <tabColor rgb="FF002060"/>
  </sheetPr>
  <dimension ref="A1:AE1048576"/>
  <sheetViews>
    <sheetView showGridLines="0" tabSelected="1" topLeftCell="W1" zoomScale="90" zoomScaleNormal="90" zoomScaleSheetLayoutView="70" workbookViewId="0">
      <pane ySplit="1" topLeftCell="A90" activePane="bottomLeft" state="frozen"/>
      <selection pane="bottomLeft" activeCell="AB90" sqref="AB90"/>
    </sheetView>
  </sheetViews>
  <sheetFormatPr baseColWidth="10" defaultRowHeight="14.5" x14ac:dyDescent="0.35"/>
  <cols>
    <col min="1" max="1" width="0.90625" style="64" customWidth="1"/>
    <col min="2" max="2" width="14" style="84" bestFit="1" customWidth="1"/>
    <col min="3" max="4" width="7.453125" style="82" customWidth="1"/>
    <col min="5" max="5" width="14.1796875" style="85" customWidth="1"/>
    <col min="6" max="6" width="18.453125" style="85" customWidth="1"/>
    <col min="7" max="7" width="21.1796875" style="85" customWidth="1"/>
    <col min="8" max="8" width="88.36328125" style="159" customWidth="1"/>
    <col min="9" max="9" width="15.90625" style="86" customWidth="1"/>
    <col min="10" max="10" width="25.453125" style="86" customWidth="1"/>
    <col min="11" max="11" width="27.26953125" style="87" customWidth="1"/>
    <col min="12" max="12" width="30.08984375" style="82" customWidth="1"/>
    <col min="13" max="13" width="38.1796875" style="82" customWidth="1"/>
    <col min="14" max="14" width="36.54296875" style="82" customWidth="1"/>
    <col min="15" max="15" width="17.1796875" style="88" customWidth="1"/>
    <col min="16" max="16" width="21.81640625" style="82" customWidth="1"/>
    <col min="17" max="17" width="19.453125" style="82" customWidth="1"/>
    <col min="18" max="18" width="22.1796875" style="82" customWidth="1"/>
    <col min="19" max="19" width="21.08984375" style="82" customWidth="1"/>
    <col min="20" max="20" width="33.26953125" style="82" customWidth="1"/>
    <col min="21" max="21" width="31.26953125" style="82" customWidth="1"/>
    <col min="22" max="22" width="15" style="82" customWidth="1"/>
    <col min="23" max="23" width="18.81640625" style="82" customWidth="1"/>
    <col min="24" max="24" width="45.08984375" style="82" customWidth="1"/>
    <col min="25" max="25" width="10.90625" style="82" customWidth="1"/>
    <col min="26" max="26" width="10.90625" style="88"/>
    <col min="27" max="27" width="16" style="82" customWidth="1"/>
    <col min="28" max="28" width="27.1796875" style="82" customWidth="1"/>
    <col min="29" max="30" width="20.453125" style="82" customWidth="1"/>
    <col min="31" max="31" width="21.1796875" style="83" customWidth="1"/>
    <col min="32" max="32" width="20.453125" style="64" customWidth="1"/>
    <col min="33" max="16384" width="10.90625" style="64"/>
  </cols>
  <sheetData>
    <row r="1" spans="1:31" s="69" customFormat="1" ht="33.5" customHeight="1" x14ac:dyDescent="0.35">
      <c r="B1" s="79" t="s">
        <v>2</v>
      </c>
      <c r="C1" s="79" t="s">
        <v>0</v>
      </c>
      <c r="D1" s="79" t="s">
        <v>1</v>
      </c>
      <c r="E1" s="80" t="s">
        <v>3</v>
      </c>
      <c r="F1" s="80" t="s">
        <v>4</v>
      </c>
      <c r="G1" s="80" t="s">
        <v>5</v>
      </c>
      <c r="H1" s="153" t="s">
        <v>6</v>
      </c>
      <c r="I1" s="81" t="s">
        <v>7</v>
      </c>
      <c r="J1" s="81" t="s">
        <v>8</v>
      </c>
      <c r="K1" s="81" t="s">
        <v>9</v>
      </c>
      <c r="L1" s="79" t="s">
        <v>10</v>
      </c>
      <c r="M1" s="79" t="s">
        <v>11</v>
      </c>
      <c r="N1" s="79" t="s">
        <v>12</v>
      </c>
      <c r="O1" s="79" t="s">
        <v>13</v>
      </c>
      <c r="P1" s="79" t="s">
        <v>14</v>
      </c>
      <c r="Q1" s="79" t="s">
        <v>15</v>
      </c>
      <c r="R1" s="79" t="s">
        <v>16</v>
      </c>
      <c r="S1" s="79" t="s">
        <v>17</v>
      </c>
      <c r="T1" s="79" t="s">
        <v>18</v>
      </c>
      <c r="U1" s="79" t="s">
        <v>19</v>
      </c>
      <c r="V1" s="79" t="s">
        <v>20</v>
      </c>
      <c r="W1" s="79" t="s">
        <v>21</v>
      </c>
      <c r="X1" s="97" t="s">
        <v>22</v>
      </c>
      <c r="Y1" s="97" t="s">
        <v>686</v>
      </c>
      <c r="Z1" s="97" t="s">
        <v>687</v>
      </c>
      <c r="AA1" s="98" t="s">
        <v>1050</v>
      </c>
      <c r="AB1" s="99" t="s">
        <v>1054</v>
      </c>
      <c r="AC1" s="99" t="s">
        <v>1055</v>
      </c>
      <c r="AD1" s="99" t="s">
        <v>1056</v>
      </c>
      <c r="AE1" s="100" t="s">
        <v>1057</v>
      </c>
    </row>
    <row r="2" spans="1:31" s="110" customFormat="1" ht="63.5" customHeight="1" x14ac:dyDescent="0.35">
      <c r="A2" s="112"/>
      <c r="B2" s="113">
        <v>1</v>
      </c>
      <c r="C2" s="114">
        <v>2021</v>
      </c>
      <c r="D2" s="115" t="s">
        <v>403</v>
      </c>
      <c r="E2" s="116">
        <v>44440.834722222222</v>
      </c>
      <c r="F2" s="116">
        <v>44531.834722222222</v>
      </c>
      <c r="G2" s="117">
        <v>44531.834722222222</v>
      </c>
      <c r="H2" s="154" t="s">
        <v>23</v>
      </c>
      <c r="I2" s="118">
        <v>344885519</v>
      </c>
      <c r="J2" s="118">
        <v>344885519</v>
      </c>
      <c r="K2" s="119">
        <v>0</v>
      </c>
      <c r="L2" s="107" t="s">
        <v>493</v>
      </c>
      <c r="M2" s="107" t="s">
        <v>24</v>
      </c>
      <c r="N2" s="107" t="s">
        <v>25</v>
      </c>
      <c r="O2" s="120" t="s">
        <v>26</v>
      </c>
      <c r="P2" s="121">
        <v>44561</v>
      </c>
      <c r="Q2" s="107" t="s">
        <v>27</v>
      </c>
      <c r="R2" s="107" t="s">
        <v>1108</v>
      </c>
      <c r="S2" s="107">
        <v>52974192</v>
      </c>
      <c r="T2" s="107" t="s">
        <v>28</v>
      </c>
      <c r="U2" s="107" t="s">
        <v>29</v>
      </c>
      <c r="V2" s="107" t="s">
        <v>30</v>
      </c>
      <c r="W2" s="107" t="s">
        <v>31</v>
      </c>
      <c r="X2" s="107" t="s">
        <v>696</v>
      </c>
      <c r="Y2" s="107"/>
      <c r="Z2" s="120">
        <f>+COUNTIF('Eventos-Tareas'!$D$22:$D$1048576,'Eventos de riesgos'!$B2)</f>
        <v>1</v>
      </c>
      <c r="AA2" s="122">
        <f>+'Eventos de riesgos'!$I2-'Eventos de riesgos'!$J2-'Eventos de riesgos'!$K2</f>
        <v>0</v>
      </c>
      <c r="AB2" s="123" t="s">
        <v>1124</v>
      </c>
      <c r="AC2" s="124" t="s">
        <v>1125</v>
      </c>
      <c r="AD2" s="124" t="s">
        <v>1126</v>
      </c>
      <c r="AE2" s="125" t="s">
        <v>1127</v>
      </c>
    </row>
    <row r="3" spans="1:31" s="110" customFormat="1" ht="63.5" customHeight="1" x14ac:dyDescent="0.35">
      <c r="A3" s="112"/>
      <c r="B3" s="126">
        <v>2</v>
      </c>
      <c r="C3" s="127">
        <v>2021</v>
      </c>
      <c r="D3" s="128" t="s">
        <v>404</v>
      </c>
      <c r="E3" s="129">
        <v>44286</v>
      </c>
      <c r="F3" s="129">
        <v>44286</v>
      </c>
      <c r="G3" s="130">
        <v>44489</v>
      </c>
      <c r="H3" s="155" t="s">
        <v>32</v>
      </c>
      <c r="I3" s="131">
        <v>7943416</v>
      </c>
      <c r="J3" s="131">
        <v>4365767</v>
      </c>
      <c r="K3" s="132">
        <v>0</v>
      </c>
      <c r="L3" s="108" t="s">
        <v>33</v>
      </c>
      <c r="M3" s="108" t="s">
        <v>34</v>
      </c>
      <c r="N3" s="108" t="s">
        <v>35</v>
      </c>
      <c r="O3" s="120" t="s">
        <v>26</v>
      </c>
      <c r="P3" s="133">
        <v>44500</v>
      </c>
      <c r="Q3" s="108" t="s">
        <v>27</v>
      </c>
      <c r="R3" s="107" t="s">
        <v>1108</v>
      </c>
      <c r="S3" s="108">
        <v>52974192</v>
      </c>
      <c r="T3" s="108" t="s">
        <v>36</v>
      </c>
      <c r="U3" s="108" t="s">
        <v>29</v>
      </c>
      <c r="V3" s="108" t="s">
        <v>30</v>
      </c>
      <c r="W3" s="108" t="s">
        <v>37</v>
      </c>
      <c r="X3" s="108" t="s">
        <v>696</v>
      </c>
      <c r="Y3" s="108"/>
      <c r="Z3" s="134">
        <f>+COUNTIF('Eventos-Tareas'!$D$22:$D$1048576,'Eventos de riesgos'!$B3)</f>
        <v>1</v>
      </c>
      <c r="AA3" s="135">
        <f>+'Eventos de riesgos'!$I3-'Eventos de riesgos'!$J3-'Eventos de riesgos'!$K3</f>
        <v>3577649</v>
      </c>
      <c r="AB3" s="136" t="s">
        <v>1128</v>
      </c>
      <c r="AC3" s="111" t="s">
        <v>1129</v>
      </c>
      <c r="AD3" s="111" t="s">
        <v>1130</v>
      </c>
      <c r="AE3" s="137" t="s">
        <v>1131</v>
      </c>
    </row>
    <row r="4" spans="1:31" s="110" customFormat="1" ht="63.5" customHeight="1" x14ac:dyDescent="0.35">
      <c r="A4" s="112"/>
      <c r="B4" s="138">
        <v>3</v>
      </c>
      <c r="C4" s="139">
        <v>2021</v>
      </c>
      <c r="D4" s="140" t="s">
        <v>403</v>
      </c>
      <c r="E4" s="141">
        <v>44529</v>
      </c>
      <c r="F4" s="141">
        <v>44533</v>
      </c>
      <c r="G4" s="142">
        <v>44533</v>
      </c>
      <c r="H4" s="156" t="s">
        <v>38</v>
      </c>
      <c r="I4" s="143">
        <v>0</v>
      </c>
      <c r="J4" s="143">
        <v>0</v>
      </c>
      <c r="K4" s="144">
        <v>0</v>
      </c>
      <c r="L4" s="109" t="s">
        <v>493</v>
      </c>
      <c r="M4" s="109" t="s">
        <v>39</v>
      </c>
      <c r="N4" s="109" t="s">
        <v>40</v>
      </c>
      <c r="O4" s="120" t="s">
        <v>26</v>
      </c>
      <c r="P4" s="145">
        <v>44561</v>
      </c>
      <c r="Q4" s="109" t="s">
        <v>41</v>
      </c>
      <c r="R4" s="107" t="s">
        <v>1108</v>
      </c>
      <c r="S4" s="109">
        <v>52974192</v>
      </c>
      <c r="T4" s="109" t="s">
        <v>36</v>
      </c>
      <c r="U4" s="109" t="s">
        <v>29</v>
      </c>
      <c r="V4" s="109" t="s">
        <v>30</v>
      </c>
      <c r="W4" s="109" t="s">
        <v>42</v>
      </c>
      <c r="X4" s="109" t="s">
        <v>697</v>
      </c>
      <c r="Y4" s="109"/>
      <c r="Z4" s="146">
        <f>+COUNTIF('Eventos-Tareas'!$D$22:$D$1048576,'Eventos de riesgos'!$B4)</f>
        <v>1</v>
      </c>
      <c r="AA4" s="147">
        <f>+'Eventos de riesgos'!$I4-'Eventos de riesgos'!$J4-'Eventos de riesgos'!$K4</f>
        <v>0</v>
      </c>
      <c r="AB4" s="136" t="s">
        <v>1132</v>
      </c>
      <c r="AC4" s="111" t="s">
        <v>1133</v>
      </c>
      <c r="AD4" s="111" t="s">
        <v>1134</v>
      </c>
      <c r="AE4" s="137" t="s">
        <v>1135</v>
      </c>
    </row>
    <row r="5" spans="1:31" s="110" customFormat="1" ht="63.5" customHeight="1" x14ac:dyDescent="0.35">
      <c r="A5" s="112"/>
      <c r="B5" s="126">
        <v>4</v>
      </c>
      <c r="C5" s="127">
        <v>1900</v>
      </c>
      <c r="D5" s="128" t="s">
        <v>405</v>
      </c>
      <c r="E5" s="129"/>
      <c r="F5" s="129"/>
      <c r="G5" s="130"/>
      <c r="H5" s="155" t="s">
        <v>43</v>
      </c>
      <c r="I5" s="131"/>
      <c r="J5" s="131"/>
      <c r="K5" s="132"/>
      <c r="L5" s="108" t="s">
        <v>415</v>
      </c>
      <c r="M5" s="108" t="s">
        <v>415</v>
      </c>
      <c r="N5" s="108"/>
      <c r="O5" s="120" t="s">
        <v>26</v>
      </c>
      <c r="P5" s="133"/>
      <c r="Q5" s="108" t="s">
        <v>1108</v>
      </c>
      <c r="R5" s="107" t="s">
        <v>1108</v>
      </c>
      <c r="S5" s="108"/>
      <c r="T5" s="108"/>
      <c r="U5" s="108"/>
      <c r="V5" s="108"/>
      <c r="W5" s="108"/>
      <c r="X5" s="108"/>
      <c r="Y5" s="108"/>
      <c r="Z5" s="134">
        <f>+COUNTIF('Eventos-Tareas'!$D$22:$D$1048576,'Eventos de riesgos'!$B5)</f>
        <v>0</v>
      </c>
      <c r="AA5" s="135">
        <f>+'Eventos de riesgos'!$I5-'Eventos de riesgos'!$J5-'Eventos de riesgos'!$K5</f>
        <v>0</v>
      </c>
      <c r="AB5" s="136">
        <v>0</v>
      </c>
      <c r="AC5" s="111">
        <v>0</v>
      </c>
      <c r="AD5" s="111">
        <v>0</v>
      </c>
      <c r="AE5" s="137">
        <v>0</v>
      </c>
    </row>
    <row r="6" spans="1:31" s="110" customFormat="1" ht="63.5" customHeight="1" x14ac:dyDescent="0.35">
      <c r="A6" s="112"/>
      <c r="B6" s="138">
        <v>5</v>
      </c>
      <c r="C6" s="139">
        <v>2022</v>
      </c>
      <c r="D6" s="140" t="s">
        <v>405</v>
      </c>
      <c r="E6" s="141">
        <v>44562</v>
      </c>
      <c r="F6" s="141">
        <v>44562</v>
      </c>
      <c r="G6" s="142">
        <v>44562</v>
      </c>
      <c r="H6" s="156" t="s">
        <v>44</v>
      </c>
      <c r="I6" s="143">
        <v>0</v>
      </c>
      <c r="J6" s="143">
        <v>0</v>
      </c>
      <c r="K6" s="144">
        <v>0</v>
      </c>
      <c r="L6" s="109" t="s">
        <v>45</v>
      </c>
      <c r="M6" s="109" t="s">
        <v>46</v>
      </c>
      <c r="N6" s="109" t="s">
        <v>47</v>
      </c>
      <c r="O6" s="120" t="s">
        <v>26</v>
      </c>
      <c r="P6" s="145">
        <v>44592</v>
      </c>
      <c r="Q6" s="109" t="s">
        <v>1117</v>
      </c>
      <c r="R6" s="109" t="s">
        <v>48</v>
      </c>
      <c r="S6" s="109">
        <v>1033706838</v>
      </c>
      <c r="T6" s="109" t="s">
        <v>49</v>
      </c>
      <c r="U6" s="109" t="s">
        <v>50</v>
      </c>
      <c r="V6" s="109" t="s">
        <v>30</v>
      </c>
      <c r="W6" s="109" t="s">
        <v>51</v>
      </c>
      <c r="X6" s="109" t="s">
        <v>52</v>
      </c>
      <c r="Y6" s="109"/>
      <c r="Z6" s="146">
        <f>+COUNTIF('Eventos-Tareas'!$D$22:$D$1048576,'Eventos de riesgos'!$B6)</f>
        <v>1</v>
      </c>
      <c r="AA6" s="147">
        <f>+'Eventos de riesgos'!$I6-'Eventos de riesgos'!$J6-'Eventos de riesgos'!$K6</f>
        <v>0</v>
      </c>
      <c r="AB6" s="136" t="s">
        <v>1136</v>
      </c>
      <c r="AC6" s="111" t="s">
        <v>1137</v>
      </c>
      <c r="AD6" s="111" t="s">
        <v>1138</v>
      </c>
      <c r="AE6" s="137" t="s">
        <v>1139</v>
      </c>
    </row>
    <row r="7" spans="1:31" s="110" customFormat="1" ht="63.5" customHeight="1" x14ac:dyDescent="0.35">
      <c r="A7" s="112"/>
      <c r="B7" s="126">
        <v>6</v>
      </c>
      <c r="C7" s="127">
        <v>1900</v>
      </c>
      <c r="D7" s="128" t="s">
        <v>405</v>
      </c>
      <c r="E7" s="129"/>
      <c r="F7" s="129"/>
      <c r="G7" s="130"/>
      <c r="H7" s="155" t="s">
        <v>43</v>
      </c>
      <c r="I7" s="131"/>
      <c r="J7" s="131"/>
      <c r="K7" s="132"/>
      <c r="L7" s="108" t="s">
        <v>415</v>
      </c>
      <c r="M7" s="108" t="s">
        <v>415</v>
      </c>
      <c r="N7" s="108"/>
      <c r="O7" s="120" t="s">
        <v>26</v>
      </c>
      <c r="P7" s="133"/>
      <c r="Q7" s="108" t="s">
        <v>1108</v>
      </c>
      <c r="R7" s="107" t="s">
        <v>1108</v>
      </c>
      <c r="S7" s="108"/>
      <c r="T7" s="108"/>
      <c r="U7" s="108"/>
      <c r="V7" s="108"/>
      <c r="W7" s="108"/>
      <c r="X7" s="108"/>
      <c r="Y7" s="108"/>
      <c r="Z7" s="134">
        <f>+COUNTIF('Eventos-Tareas'!$D$22:$D$1048576,'Eventos de riesgos'!$B7)</f>
        <v>0</v>
      </c>
      <c r="AA7" s="135">
        <f>+'Eventos de riesgos'!$I7-'Eventos de riesgos'!$J7-'Eventos de riesgos'!$K7</f>
        <v>0</v>
      </c>
      <c r="AB7" s="136">
        <v>0</v>
      </c>
      <c r="AC7" s="111">
        <v>0</v>
      </c>
      <c r="AD7" s="111">
        <v>0</v>
      </c>
      <c r="AE7" s="137">
        <v>0</v>
      </c>
    </row>
    <row r="8" spans="1:31" s="110" customFormat="1" ht="63.5" customHeight="1" x14ac:dyDescent="0.35">
      <c r="A8" s="112"/>
      <c r="B8" s="138">
        <v>7</v>
      </c>
      <c r="C8" s="139">
        <v>1900</v>
      </c>
      <c r="D8" s="140" t="s">
        <v>405</v>
      </c>
      <c r="E8" s="141"/>
      <c r="F8" s="141"/>
      <c r="G8" s="142"/>
      <c r="H8" s="156" t="s">
        <v>43</v>
      </c>
      <c r="I8" s="143"/>
      <c r="J8" s="143"/>
      <c r="K8" s="144"/>
      <c r="L8" s="109" t="s">
        <v>415</v>
      </c>
      <c r="M8" s="109" t="s">
        <v>415</v>
      </c>
      <c r="N8" s="109"/>
      <c r="O8" s="120" t="s">
        <v>26</v>
      </c>
      <c r="P8" s="145"/>
      <c r="Q8" s="108" t="s">
        <v>1108</v>
      </c>
      <c r="R8" s="107" t="s">
        <v>1108</v>
      </c>
      <c r="S8" s="109"/>
      <c r="T8" s="109"/>
      <c r="U8" s="109"/>
      <c r="V8" s="109"/>
      <c r="W8" s="109"/>
      <c r="X8" s="109"/>
      <c r="Y8" s="109"/>
      <c r="Z8" s="146">
        <f>+COUNTIF('Eventos-Tareas'!$D$22:$D$1048576,'Eventos de riesgos'!$B8)</f>
        <v>0</v>
      </c>
      <c r="AA8" s="147">
        <f>+'Eventos de riesgos'!$I8-'Eventos de riesgos'!$J8-'Eventos de riesgos'!$K8</f>
        <v>0</v>
      </c>
      <c r="AB8" s="136">
        <v>0</v>
      </c>
      <c r="AC8" s="111">
        <v>0</v>
      </c>
      <c r="AD8" s="111">
        <v>0</v>
      </c>
      <c r="AE8" s="137">
        <v>0</v>
      </c>
    </row>
    <row r="9" spans="1:31" s="110" customFormat="1" ht="63.5" customHeight="1" x14ac:dyDescent="0.35">
      <c r="A9" s="112"/>
      <c r="B9" s="126">
        <v>8</v>
      </c>
      <c r="C9" s="127">
        <v>2022</v>
      </c>
      <c r="D9" s="128" t="s">
        <v>406</v>
      </c>
      <c r="E9" s="129">
        <v>43870</v>
      </c>
      <c r="F9" s="129">
        <v>43871</v>
      </c>
      <c r="G9" s="130">
        <v>44602</v>
      </c>
      <c r="H9" s="155" t="s">
        <v>53</v>
      </c>
      <c r="I9" s="131">
        <v>0</v>
      </c>
      <c r="J9" s="131">
        <v>0</v>
      </c>
      <c r="K9" s="132">
        <v>0</v>
      </c>
      <c r="L9" s="108" t="s">
        <v>33</v>
      </c>
      <c r="M9" s="108" t="s">
        <v>34</v>
      </c>
      <c r="N9" s="108" t="s">
        <v>54</v>
      </c>
      <c r="O9" s="120" t="s">
        <v>26</v>
      </c>
      <c r="P9" s="133">
        <v>44620</v>
      </c>
      <c r="Q9" s="108" t="s">
        <v>1108</v>
      </c>
      <c r="R9" s="108" t="s">
        <v>55</v>
      </c>
      <c r="S9" s="108">
        <v>53166187</v>
      </c>
      <c r="T9" s="108" t="s">
        <v>56</v>
      </c>
      <c r="U9" s="108" t="s">
        <v>57</v>
      </c>
      <c r="V9" s="108" t="s">
        <v>30</v>
      </c>
      <c r="W9" s="108" t="s">
        <v>58</v>
      </c>
      <c r="X9" s="108" t="s">
        <v>799</v>
      </c>
      <c r="Y9" s="108"/>
      <c r="Z9" s="134">
        <f>+COUNTIF('Eventos-Tareas'!$D$22:$D$1048576,'Eventos de riesgos'!$B9)</f>
        <v>1</v>
      </c>
      <c r="AA9" s="135">
        <f>+'Eventos de riesgos'!$I9-'Eventos de riesgos'!$J9-'Eventos de riesgos'!$K9</f>
        <v>0</v>
      </c>
      <c r="AB9" s="136" t="s">
        <v>1140</v>
      </c>
      <c r="AC9" s="111" t="s">
        <v>1141</v>
      </c>
      <c r="AD9" s="111" t="s">
        <v>1142</v>
      </c>
      <c r="AE9" s="137" t="s">
        <v>1143</v>
      </c>
    </row>
    <row r="10" spans="1:31" s="110" customFormat="1" ht="63.5" customHeight="1" x14ac:dyDescent="0.35">
      <c r="A10" s="112"/>
      <c r="B10" s="138">
        <v>9</v>
      </c>
      <c r="C10" s="139">
        <v>2022</v>
      </c>
      <c r="D10" s="140" t="s">
        <v>406</v>
      </c>
      <c r="E10" s="141">
        <v>44606</v>
      </c>
      <c r="F10" s="141">
        <v>44607</v>
      </c>
      <c r="G10" s="142">
        <v>44606</v>
      </c>
      <c r="H10" s="156" t="s">
        <v>59</v>
      </c>
      <c r="I10" s="143">
        <v>0</v>
      </c>
      <c r="J10" s="143">
        <v>0</v>
      </c>
      <c r="K10" s="144">
        <v>0</v>
      </c>
      <c r="L10" s="109" t="s">
        <v>45</v>
      </c>
      <c r="M10" s="109" t="s">
        <v>46</v>
      </c>
      <c r="N10" s="109" t="s">
        <v>60</v>
      </c>
      <c r="O10" s="120" t="s">
        <v>26</v>
      </c>
      <c r="P10" s="145">
        <v>44620</v>
      </c>
      <c r="Q10" s="109" t="s">
        <v>27</v>
      </c>
      <c r="R10" s="109" t="s">
        <v>1109</v>
      </c>
      <c r="S10" s="109">
        <v>1016071699</v>
      </c>
      <c r="T10" s="109" t="s">
        <v>61</v>
      </c>
      <c r="U10" s="109" t="s">
        <v>62</v>
      </c>
      <c r="V10" s="109" t="s">
        <v>30</v>
      </c>
      <c r="W10" s="109" t="s">
        <v>63</v>
      </c>
      <c r="X10" s="109" t="s">
        <v>698</v>
      </c>
      <c r="Y10" s="109"/>
      <c r="Z10" s="146">
        <f>+COUNTIF('Eventos-Tareas'!$D$22:$D$1048576,'Eventos de riesgos'!$B10)</f>
        <v>2</v>
      </c>
      <c r="AA10" s="147">
        <f>+'Eventos de riesgos'!$I10-'Eventos de riesgos'!$J10-'Eventos de riesgos'!$K10</f>
        <v>0</v>
      </c>
      <c r="AB10" s="136" t="s">
        <v>1144</v>
      </c>
      <c r="AC10" s="111" t="s">
        <v>1145</v>
      </c>
      <c r="AD10" s="111" t="s">
        <v>1146</v>
      </c>
      <c r="AE10" s="137" t="s">
        <v>1147</v>
      </c>
    </row>
    <row r="11" spans="1:31" s="110" customFormat="1" ht="63.5" customHeight="1" x14ac:dyDescent="0.35">
      <c r="A11" s="112"/>
      <c r="B11" s="126">
        <v>10</v>
      </c>
      <c r="C11" s="127">
        <v>2022</v>
      </c>
      <c r="D11" s="128" t="s">
        <v>405</v>
      </c>
      <c r="E11" s="129">
        <v>44556</v>
      </c>
      <c r="F11" s="129">
        <v>44564</v>
      </c>
      <c r="G11" s="130">
        <v>44564</v>
      </c>
      <c r="H11" s="155" t="s">
        <v>64</v>
      </c>
      <c r="I11" s="131">
        <v>110500</v>
      </c>
      <c r="J11" s="131">
        <v>110500</v>
      </c>
      <c r="K11" s="132">
        <v>0</v>
      </c>
      <c r="L11" s="108" t="s">
        <v>493</v>
      </c>
      <c r="M11" s="108" t="s">
        <v>39</v>
      </c>
      <c r="N11" s="108" t="s">
        <v>65</v>
      </c>
      <c r="O11" s="120" t="s">
        <v>26</v>
      </c>
      <c r="P11" s="133">
        <v>44592</v>
      </c>
      <c r="Q11" s="108" t="s">
        <v>66</v>
      </c>
      <c r="R11" s="107" t="s">
        <v>1108</v>
      </c>
      <c r="S11" s="108">
        <v>1016071699</v>
      </c>
      <c r="T11" s="108" t="s">
        <v>61</v>
      </c>
      <c r="U11" s="108" t="s">
        <v>62</v>
      </c>
      <c r="V11" s="108" t="s">
        <v>30</v>
      </c>
      <c r="W11" s="108" t="s">
        <v>67</v>
      </c>
      <c r="X11" s="108" t="s">
        <v>699</v>
      </c>
      <c r="Y11" s="108"/>
      <c r="Z11" s="134">
        <f>+COUNTIF('Eventos-Tareas'!$D$22:$D$1048576,'Eventos de riesgos'!$B11)</f>
        <v>1</v>
      </c>
      <c r="AA11" s="135">
        <f>+'Eventos de riesgos'!$I11-'Eventos de riesgos'!$J11-'Eventos de riesgos'!$K11</f>
        <v>0</v>
      </c>
      <c r="AB11" s="136" t="s">
        <v>1148</v>
      </c>
      <c r="AC11" s="111" t="s">
        <v>1149</v>
      </c>
      <c r="AD11" s="111" t="s">
        <v>1150</v>
      </c>
      <c r="AE11" s="137" t="s">
        <v>1151</v>
      </c>
    </row>
    <row r="12" spans="1:31" s="110" customFormat="1" ht="63.5" customHeight="1" x14ac:dyDescent="0.35">
      <c r="A12" s="112"/>
      <c r="B12" s="138">
        <v>11</v>
      </c>
      <c r="C12" s="139">
        <v>2021</v>
      </c>
      <c r="D12" s="140" t="s">
        <v>403</v>
      </c>
      <c r="E12" s="141">
        <v>44535</v>
      </c>
      <c r="F12" s="141">
        <v>44536</v>
      </c>
      <c r="G12" s="142">
        <v>44536</v>
      </c>
      <c r="H12" s="156" t="s">
        <v>68</v>
      </c>
      <c r="I12" s="143">
        <v>41000000</v>
      </c>
      <c r="J12" s="143">
        <v>41000000</v>
      </c>
      <c r="K12" s="144">
        <v>0</v>
      </c>
      <c r="L12" s="109" t="s">
        <v>493</v>
      </c>
      <c r="M12" s="109" t="s">
        <v>24</v>
      </c>
      <c r="N12" s="109" t="s">
        <v>25</v>
      </c>
      <c r="O12" s="120" t="s">
        <v>26</v>
      </c>
      <c r="P12" s="145">
        <v>44561</v>
      </c>
      <c r="Q12" s="109" t="s">
        <v>27</v>
      </c>
      <c r="R12" s="107" t="s">
        <v>1108</v>
      </c>
      <c r="S12" s="109">
        <v>1016071699</v>
      </c>
      <c r="T12" s="109" t="s">
        <v>61</v>
      </c>
      <c r="U12" s="109" t="s">
        <v>62</v>
      </c>
      <c r="V12" s="109" t="s">
        <v>30</v>
      </c>
      <c r="W12" s="109" t="s">
        <v>69</v>
      </c>
      <c r="X12" s="109" t="s">
        <v>70</v>
      </c>
      <c r="Y12" s="109"/>
      <c r="Z12" s="146">
        <f>+COUNTIF('Eventos-Tareas'!$D$22:$D$1048576,'Eventos de riesgos'!$B12)</f>
        <v>1</v>
      </c>
      <c r="AA12" s="147">
        <f>+'Eventos de riesgos'!$I12-'Eventos de riesgos'!$J12-'Eventos de riesgos'!$K12</f>
        <v>0</v>
      </c>
      <c r="AB12" s="136" t="s">
        <v>1152</v>
      </c>
      <c r="AC12" s="111" t="s">
        <v>1153</v>
      </c>
      <c r="AD12" s="111" t="s">
        <v>1154</v>
      </c>
      <c r="AE12" s="137" t="s">
        <v>1155</v>
      </c>
    </row>
    <row r="13" spans="1:31" s="110" customFormat="1" ht="63.5" customHeight="1" x14ac:dyDescent="0.35">
      <c r="A13" s="112"/>
      <c r="B13" s="126">
        <v>12</v>
      </c>
      <c r="C13" s="127">
        <v>2022</v>
      </c>
      <c r="D13" s="128" t="s">
        <v>406</v>
      </c>
      <c r="E13" s="129">
        <v>44609.585416666669</v>
      </c>
      <c r="F13" s="129">
        <v>44610.594444444447</v>
      </c>
      <c r="G13" s="130">
        <v>44609.594444444447</v>
      </c>
      <c r="H13" s="155" t="s">
        <v>71</v>
      </c>
      <c r="I13" s="131">
        <v>0</v>
      </c>
      <c r="J13" s="131">
        <v>0</v>
      </c>
      <c r="K13" s="132">
        <v>0</v>
      </c>
      <c r="L13" s="108" t="s">
        <v>72</v>
      </c>
      <c r="M13" s="108" t="s">
        <v>685</v>
      </c>
      <c r="N13" s="108" t="s">
        <v>73</v>
      </c>
      <c r="O13" s="120" t="s">
        <v>26</v>
      </c>
      <c r="P13" s="133">
        <v>44620</v>
      </c>
      <c r="Q13" s="108" t="s">
        <v>66</v>
      </c>
      <c r="R13" s="108" t="s">
        <v>48</v>
      </c>
      <c r="S13" s="108">
        <v>1020809741</v>
      </c>
      <c r="T13" s="108" t="s">
        <v>74</v>
      </c>
      <c r="U13" s="108" t="s">
        <v>75</v>
      </c>
      <c r="V13" s="108" t="s">
        <v>30</v>
      </c>
      <c r="W13" s="108" t="s">
        <v>76</v>
      </c>
      <c r="X13" s="108" t="s">
        <v>77</v>
      </c>
      <c r="Y13" s="108"/>
      <c r="Z13" s="134">
        <f>+COUNTIF('Eventos-Tareas'!$D$22:$D$1048576,'Eventos de riesgos'!$B13)</f>
        <v>1</v>
      </c>
      <c r="AA13" s="135">
        <f>+'Eventos de riesgos'!$I13-'Eventos de riesgos'!$J13-'Eventos de riesgos'!$K13</f>
        <v>0</v>
      </c>
      <c r="AB13" s="136" t="s">
        <v>1156</v>
      </c>
      <c r="AC13" s="111" t="s">
        <v>1157</v>
      </c>
      <c r="AD13" s="111" t="s">
        <v>1158</v>
      </c>
      <c r="AE13" s="137" t="s">
        <v>1159</v>
      </c>
    </row>
    <row r="14" spans="1:31" s="110" customFormat="1" ht="63.5" customHeight="1" x14ac:dyDescent="0.35">
      <c r="A14" s="112"/>
      <c r="B14" s="138">
        <v>13</v>
      </c>
      <c r="C14" s="139">
        <v>2022</v>
      </c>
      <c r="D14" s="140" t="s">
        <v>408</v>
      </c>
      <c r="E14" s="141">
        <v>44655.405555555553</v>
      </c>
      <c r="F14" s="141">
        <v>44656.405555555553</v>
      </c>
      <c r="G14" s="142">
        <v>44655.405555555553</v>
      </c>
      <c r="H14" s="156" t="s">
        <v>78</v>
      </c>
      <c r="I14" s="143">
        <v>0</v>
      </c>
      <c r="J14" s="143">
        <v>0</v>
      </c>
      <c r="K14" s="144">
        <v>0</v>
      </c>
      <c r="L14" s="109" t="s">
        <v>33</v>
      </c>
      <c r="M14" s="109" t="s">
        <v>34</v>
      </c>
      <c r="N14" s="109" t="s">
        <v>79</v>
      </c>
      <c r="O14" s="120" t="s">
        <v>26</v>
      </c>
      <c r="P14" s="145">
        <v>44681</v>
      </c>
      <c r="Q14" s="109" t="s">
        <v>1108</v>
      </c>
      <c r="R14" s="107" t="s">
        <v>1108</v>
      </c>
      <c r="S14" s="109">
        <v>1033706838</v>
      </c>
      <c r="T14" s="109" t="s">
        <v>49</v>
      </c>
      <c r="U14" s="109" t="s">
        <v>50</v>
      </c>
      <c r="V14" s="109" t="s">
        <v>30</v>
      </c>
      <c r="W14" s="109" t="s">
        <v>80</v>
      </c>
      <c r="X14" s="109" t="s">
        <v>700</v>
      </c>
      <c r="Y14" s="109"/>
      <c r="Z14" s="146">
        <f>+COUNTIF('Eventos-Tareas'!$D$22:$D$1048576,'Eventos de riesgos'!$B14)</f>
        <v>1</v>
      </c>
      <c r="AA14" s="147">
        <f>+'Eventos de riesgos'!$I14-'Eventos de riesgos'!$J14-'Eventos de riesgos'!$K14</f>
        <v>0</v>
      </c>
      <c r="AB14" s="136" t="s">
        <v>1160</v>
      </c>
      <c r="AC14" s="111" t="s">
        <v>1161</v>
      </c>
      <c r="AD14" s="111" t="s">
        <v>1162</v>
      </c>
      <c r="AE14" s="137" t="s">
        <v>1163</v>
      </c>
    </row>
    <row r="15" spans="1:31" s="110" customFormat="1" ht="63.5" customHeight="1" x14ac:dyDescent="0.35">
      <c r="A15" s="112"/>
      <c r="B15" s="126">
        <v>14</v>
      </c>
      <c r="C15" s="127">
        <v>2022</v>
      </c>
      <c r="D15" s="128" t="s">
        <v>409</v>
      </c>
      <c r="E15" s="129">
        <v>44686.898611111108</v>
      </c>
      <c r="F15" s="129">
        <v>44687.899305555555</v>
      </c>
      <c r="G15" s="130">
        <v>44687.899305555555</v>
      </c>
      <c r="H15" s="155" t="s">
        <v>81</v>
      </c>
      <c r="I15" s="131">
        <v>0</v>
      </c>
      <c r="J15" s="131">
        <v>0</v>
      </c>
      <c r="K15" s="132">
        <v>0</v>
      </c>
      <c r="L15" s="108" t="s">
        <v>493</v>
      </c>
      <c r="M15" s="108" t="s">
        <v>39</v>
      </c>
      <c r="N15" s="108" t="s">
        <v>82</v>
      </c>
      <c r="O15" s="120" t="s">
        <v>26</v>
      </c>
      <c r="P15" s="133">
        <v>44712</v>
      </c>
      <c r="Q15" s="108" t="s">
        <v>27</v>
      </c>
      <c r="R15" s="108" t="s">
        <v>88</v>
      </c>
      <c r="S15" s="108">
        <v>1033706838</v>
      </c>
      <c r="T15" s="108" t="s">
        <v>49</v>
      </c>
      <c r="U15" s="108" t="s">
        <v>50</v>
      </c>
      <c r="V15" s="108" t="s">
        <v>30</v>
      </c>
      <c r="W15" s="108" t="s">
        <v>83</v>
      </c>
      <c r="X15" s="108" t="s">
        <v>84</v>
      </c>
      <c r="Y15" s="108"/>
      <c r="Z15" s="134">
        <f>+COUNTIF('Eventos-Tareas'!$D$22:$D$1048576,'Eventos de riesgos'!$B15)</f>
        <v>1</v>
      </c>
      <c r="AA15" s="135">
        <f>+'Eventos de riesgos'!$I15-'Eventos de riesgos'!$J15-'Eventos de riesgos'!$K15</f>
        <v>0</v>
      </c>
      <c r="AB15" s="136" t="s">
        <v>1164</v>
      </c>
      <c r="AC15" s="111" t="s">
        <v>1165</v>
      </c>
      <c r="AD15" s="111" t="s">
        <v>1166</v>
      </c>
      <c r="AE15" s="137" t="s">
        <v>1167</v>
      </c>
    </row>
    <row r="16" spans="1:31" s="110" customFormat="1" ht="63.5" customHeight="1" x14ac:dyDescent="0.35">
      <c r="A16" s="112"/>
      <c r="B16" s="138">
        <v>15</v>
      </c>
      <c r="C16" s="139">
        <v>2022</v>
      </c>
      <c r="D16" s="140" t="s">
        <v>408</v>
      </c>
      <c r="E16" s="141">
        <v>44679.722222222219</v>
      </c>
      <c r="F16" s="141">
        <v>44679.722222222219</v>
      </c>
      <c r="G16" s="142">
        <v>44679.722222222219</v>
      </c>
      <c r="H16" s="156" t="s">
        <v>85</v>
      </c>
      <c r="I16" s="143">
        <v>0</v>
      </c>
      <c r="J16" s="143">
        <v>0</v>
      </c>
      <c r="K16" s="144">
        <v>0</v>
      </c>
      <c r="L16" s="109" t="s">
        <v>493</v>
      </c>
      <c r="M16" s="109" t="s">
        <v>39</v>
      </c>
      <c r="N16" s="109" t="s">
        <v>86</v>
      </c>
      <c r="O16" s="120" t="s">
        <v>26</v>
      </c>
      <c r="P16" s="145">
        <v>44681</v>
      </c>
      <c r="Q16" s="109" t="s">
        <v>87</v>
      </c>
      <c r="R16" s="109" t="s">
        <v>88</v>
      </c>
      <c r="S16" s="109">
        <v>1033706838</v>
      </c>
      <c r="T16" s="109" t="s">
        <v>49</v>
      </c>
      <c r="U16" s="109" t="s">
        <v>50</v>
      </c>
      <c r="V16" s="109" t="s">
        <v>30</v>
      </c>
      <c r="W16" s="109" t="s">
        <v>89</v>
      </c>
      <c r="X16" s="109" t="s">
        <v>701</v>
      </c>
      <c r="Y16" s="109"/>
      <c r="Z16" s="146">
        <f>+COUNTIF('Eventos-Tareas'!$D$22:$D$1048576,'Eventos de riesgos'!$B16)</f>
        <v>2</v>
      </c>
      <c r="AA16" s="147">
        <f>+'Eventos de riesgos'!$I16-'Eventos de riesgos'!$J16-'Eventos de riesgos'!$K16</f>
        <v>0</v>
      </c>
      <c r="AB16" s="136" t="s">
        <v>1168</v>
      </c>
      <c r="AC16" s="111" t="s">
        <v>1169</v>
      </c>
      <c r="AD16" s="111" t="s">
        <v>1170</v>
      </c>
      <c r="AE16" s="137" t="s">
        <v>1171</v>
      </c>
    </row>
    <row r="17" spans="1:31" s="110" customFormat="1" ht="63.5" customHeight="1" x14ac:dyDescent="0.35">
      <c r="A17" s="112"/>
      <c r="B17" s="126">
        <v>16</v>
      </c>
      <c r="C17" s="127">
        <v>2022</v>
      </c>
      <c r="D17" s="128" t="s">
        <v>409</v>
      </c>
      <c r="E17" s="129">
        <v>44702.541666666664</v>
      </c>
      <c r="F17" s="129">
        <v>44703.4375</v>
      </c>
      <c r="G17" s="130">
        <v>44705.875</v>
      </c>
      <c r="H17" s="155" t="s">
        <v>90</v>
      </c>
      <c r="I17" s="131">
        <v>9649785</v>
      </c>
      <c r="J17" s="131">
        <v>9649785</v>
      </c>
      <c r="K17" s="132">
        <v>0</v>
      </c>
      <c r="L17" s="108" t="s">
        <v>33</v>
      </c>
      <c r="M17" s="108" t="s">
        <v>34</v>
      </c>
      <c r="N17" s="108" t="s">
        <v>35</v>
      </c>
      <c r="O17" s="120" t="s">
        <v>26</v>
      </c>
      <c r="P17" s="133">
        <v>44712</v>
      </c>
      <c r="Q17" s="108" t="s">
        <v>27</v>
      </c>
      <c r="R17" s="107" t="s">
        <v>1108</v>
      </c>
      <c r="S17" s="108">
        <v>1018433978</v>
      </c>
      <c r="T17" s="108" t="s">
        <v>91</v>
      </c>
      <c r="U17" s="108" t="s">
        <v>29</v>
      </c>
      <c r="V17" s="108" t="s">
        <v>30</v>
      </c>
      <c r="W17" s="108" t="s">
        <v>92</v>
      </c>
      <c r="X17" s="108" t="s">
        <v>696</v>
      </c>
      <c r="Y17" s="108"/>
      <c r="Z17" s="134">
        <f>+COUNTIF('Eventos-Tareas'!$D$22:$D$1048576,'Eventos de riesgos'!$B17)</f>
        <v>1</v>
      </c>
      <c r="AA17" s="135">
        <f>+'Eventos de riesgos'!$I17-'Eventos de riesgos'!$J17-'Eventos de riesgos'!$K17</f>
        <v>0</v>
      </c>
      <c r="AB17" s="136" t="s">
        <v>1172</v>
      </c>
      <c r="AC17" s="111" t="s">
        <v>1173</v>
      </c>
      <c r="AD17" s="111" t="s">
        <v>1174</v>
      </c>
      <c r="AE17" s="137" t="s">
        <v>1175</v>
      </c>
    </row>
    <row r="18" spans="1:31" s="110" customFormat="1" ht="63.5" customHeight="1" x14ac:dyDescent="0.35">
      <c r="A18" s="112"/>
      <c r="B18" s="138">
        <v>17</v>
      </c>
      <c r="C18" s="139">
        <v>2022</v>
      </c>
      <c r="D18" s="140" t="s">
        <v>409</v>
      </c>
      <c r="E18" s="141">
        <v>44704.5</v>
      </c>
      <c r="F18" s="141">
        <v>44712.791666666664</v>
      </c>
      <c r="G18" s="142">
        <v>44704.541666666664</v>
      </c>
      <c r="H18" s="156" t="s">
        <v>93</v>
      </c>
      <c r="I18" s="143">
        <v>1100000</v>
      </c>
      <c r="J18" s="143">
        <v>1100000</v>
      </c>
      <c r="K18" s="144">
        <v>0</v>
      </c>
      <c r="L18" s="109" t="s">
        <v>493</v>
      </c>
      <c r="M18" s="109" t="s">
        <v>39</v>
      </c>
      <c r="N18" s="109" t="s">
        <v>94</v>
      </c>
      <c r="O18" s="120" t="s">
        <v>26</v>
      </c>
      <c r="P18" s="145">
        <v>44712</v>
      </c>
      <c r="Q18" s="109" t="s">
        <v>1108</v>
      </c>
      <c r="R18" s="109" t="s">
        <v>1110</v>
      </c>
      <c r="S18" s="109">
        <v>53166187</v>
      </c>
      <c r="T18" s="109" t="s">
        <v>95</v>
      </c>
      <c r="U18" s="109" t="s">
        <v>57</v>
      </c>
      <c r="V18" s="109" t="s">
        <v>30</v>
      </c>
      <c r="W18" s="109" t="s">
        <v>96</v>
      </c>
      <c r="X18" s="109" t="s">
        <v>702</v>
      </c>
      <c r="Y18" s="109"/>
      <c r="Z18" s="146">
        <f>+COUNTIF('Eventos-Tareas'!$D$22:$D$1048576,'Eventos de riesgos'!$B18)</f>
        <v>1</v>
      </c>
      <c r="AA18" s="147">
        <f>+'Eventos de riesgos'!$I18-'Eventos de riesgos'!$J18-'Eventos de riesgos'!$K18</f>
        <v>0</v>
      </c>
      <c r="AB18" s="136" t="s">
        <v>1176</v>
      </c>
      <c r="AC18" s="111" t="s">
        <v>1177</v>
      </c>
      <c r="AD18" s="111" t="s">
        <v>1178</v>
      </c>
      <c r="AE18" s="137" t="s">
        <v>1179</v>
      </c>
    </row>
    <row r="19" spans="1:31" s="110" customFormat="1" ht="63.5" customHeight="1" x14ac:dyDescent="0.35">
      <c r="A19" s="112"/>
      <c r="B19" s="126">
        <v>18</v>
      </c>
      <c r="C19" s="127">
        <v>2022</v>
      </c>
      <c r="D19" s="128" t="s">
        <v>409</v>
      </c>
      <c r="E19" s="129">
        <v>44711.635416666664</v>
      </c>
      <c r="F19" s="129">
        <v>44711.636111111111</v>
      </c>
      <c r="G19" s="130">
        <v>44712.916666666664</v>
      </c>
      <c r="H19" s="155" t="s">
        <v>97</v>
      </c>
      <c r="I19" s="131">
        <v>0</v>
      </c>
      <c r="J19" s="131">
        <v>0</v>
      </c>
      <c r="K19" s="132">
        <v>0</v>
      </c>
      <c r="L19" s="108" t="s">
        <v>33</v>
      </c>
      <c r="M19" s="108" t="s">
        <v>34</v>
      </c>
      <c r="N19" s="108" t="s">
        <v>79</v>
      </c>
      <c r="O19" s="120" t="s">
        <v>26</v>
      </c>
      <c r="P19" s="133">
        <v>44712</v>
      </c>
      <c r="Q19" s="108" t="s">
        <v>41</v>
      </c>
      <c r="R19" s="107" t="s">
        <v>1108</v>
      </c>
      <c r="S19" s="108">
        <v>1010200415</v>
      </c>
      <c r="T19" s="108" t="s">
        <v>98</v>
      </c>
      <c r="U19" s="108" t="s">
        <v>99</v>
      </c>
      <c r="V19" s="108" t="s">
        <v>30</v>
      </c>
      <c r="W19" s="108" t="s">
        <v>100</v>
      </c>
      <c r="X19" s="108" t="s">
        <v>703</v>
      </c>
      <c r="Y19" s="108"/>
      <c r="Z19" s="134">
        <f>+COUNTIF('Eventos-Tareas'!$D$22:$D$1048576,'Eventos de riesgos'!$B19)</f>
        <v>2</v>
      </c>
      <c r="AA19" s="135">
        <f>+'Eventos de riesgos'!$I19-'Eventos de riesgos'!$J19-'Eventos de riesgos'!$K19</f>
        <v>0</v>
      </c>
      <c r="AB19" s="136" t="s">
        <v>1180</v>
      </c>
      <c r="AC19" s="111" t="s">
        <v>1181</v>
      </c>
      <c r="AD19" s="111" t="s">
        <v>1182</v>
      </c>
      <c r="AE19" s="137" t="s">
        <v>1183</v>
      </c>
    </row>
    <row r="20" spans="1:31" s="110" customFormat="1" ht="63.5" customHeight="1" x14ac:dyDescent="0.35">
      <c r="A20" s="112"/>
      <c r="B20" s="138">
        <v>19</v>
      </c>
      <c r="C20" s="139">
        <v>2022</v>
      </c>
      <c r="D20" s="140" t="s">
        <v>409</v>
      </c>
      <c r="E20" s="141">
        <v>44705.416666666664</v>
      </c>
      <c r="F20" s="141">
        <v>44705.416666666664</v>
      </c>
      <c r="G20" s="142">
        <v>44705.416666666664</v>
      </c>
      <c r="H20" s="156" t="s">
        <v>101</v>
      </c>
      <c r="I20" s="143">
        <v>0</v>
      </c>
      <c r="J20" s="143">
        <v>0</v>
      </c>
      <c r="K20" s="144">
        <v>0</v>
      </c>
      <c r="L20" s="109" t="s">
        <v>493</v>
      </c>
      <c r="M20" s="109" t="s">
        <v>102</v>
      </c>
      <c r="N20" s="109" t="s">
        <v>103</v>
      </c>
      <c r="O20" s="120" t="s">
        <v>26</v>
      </c>
      <c r="P20" s="145">
        <v>44712</v>
      </c>
      <c r="Q20" s="109" t="s">
        <v>1108</v>
      </c>
      <c r="R20" s="107" t="s">
        <v>1108</v>
      </c>
      <c r="S20" s="109">
        <v>72179606</v>
      </c>
      <c r="T20" s="109" t="s">
        <v>104</v>
      </c>
      <c r="U20" s="109" t="s">
        <v>105</v>
      </c>
      <c r="V20" s="109" t="s">
        <v>30</v>
      </c>
      <c r="W20" s="109" t="s">
        <v>106</v>
      </c>
      <c r="X20" s="109" t="s">
        <v>786</v>
      </c>
      <c r="Y20" s="109"/>
      <c r="Z20" s="146">
        <f>+COUNTIF('Eventos-Tareas'!$D$22:$D$1048576,'Eventos de riesgos'!$B20)</f>
        <v>1</v>
      </c>
      <c r="AA20" s="147">
        <f>+'Eventos de riesgos'!$I20-'Eventos de riesgos'!$J20-'Eventos de riesgos'!$K20</f>
        <v>0</v>
      </c>
      <c r="AB20" s="136" t="s">
        <v>1184</v>
      </c>
      <c r="AC20" s="111" t="s">
        <v>1185</v>
      </c>
      <c r="AD20" s="111" t="s">
        <v>1186</v>
      </c>
      <c r="AE20" s="137" t="s">
        <v>1187</v>
      </c>
    </row>
    <row r="21" spans="1:31" s="110" customFormat="1" ht="63.5" customHeight="1" x14ac:dyDescent="0.35">
      <c r="A21" s="112"/>
      <c r="B21" s="126">
        <v>20</v>
      </c>
      <c r="C21" s="127">
        <v>2022</v>
      </c>
      <c r="D21" s="128" t="s">
        <v>410</v>
      </c>
      <c r="E21" s="129">
        <v>44700.604861111111</v>
      </c>
      <c r="F21" s="129">
        <v>44708.605555555558</v>
      </c>
      <c r="G21" s="130">
        <v>44713.604861111111</v>
      </c>
      <c r="H21" s="155" t="s">
        <v>107</v>
      </c>
      <c r="I21" s="131">
        <v>0</v>
      </c>
      <c r="J21" s="131">
        <v>0</v>
      </c>
      <c r="K21" s="132">
        <v>0</v>
      </c>
      <c r="L21" s="108" t="s">
        <v>493</v>
      </c>
      <c r="M21" s="108" t="s">
        <v>39</v>
      </c>
      <c r="N21" s="108" t="s">
        <v>108</v>
      </c>
      <c r="O21" s="120" t="s">
        <v>26</v>
      </c>
      <c r="P21" s="133">
        <v>44742</v>
      </c>
      <c r="Q21" s="108" t="s">
        <v>27</v>
      </c>
      <c r="R21" s="108" t="s">
        <v>1111</v>
      </c>
      <c r="S21" s="108">
        <v>52155644</v>
      </c>
      <c r="T21" s="108" t="s">
        <v>109</v>
      </c>
      <c r="U21" s="108" t="s">
        <v>110</v>
      </c>
      <c r="V21" s="108" t="s">
        <v>30</v>
      </c>
      <c r="W21" s="108" t="s">
        <v>111</v>
      </c>
      <c r="X21" s="108" t="s">
        <v>787</v>
      </c>
      <c r="Y21" s="108"/>
      <c r="Z21" s="134">
        <f>+COUNTIF('Eventos-Tareas'!$D$22:$D$1048576,'Eventos de riesgos'!$B21)</f>
        <v>2</v>
      </c>
      <c r="AA21" s="135">
        <f>+'Eventos de riesgos'!$I21-'Eventos de riesgos'!$J21-'Eventos de riesgos'!$K21</f>
        <v>0</v>
      </c>
      <c r="AB21" s="136" t="s">
        <v>1188</v>
      </c>
      <c r="AC21" s="111" t="s">
        <v>1189</v>
      </c>
      <c r="AD21" s="111" t="s">
        <v>1190</v>
      </c>
      <c r="AE21" s="137" t="s">
        <v>1191</v>
      </c>
    </row>
    <row r="22" spans="1:31" s="110" customFormat="1" ht="63.5" customHeight="1" x14ac:dyDescent="0.35">
      <c r="A22" s="112"/>
      <c r="B22" s="138">
        <v>21</v>
      </c>
      <c r="C22" s="139">
        <v>2022</v>
      </c>
      <c r="D22" s="140" t="s">
        <v>411</v>
      </c>
      <c r="E22" s="141">
        <v>44743.009722222225</v>
      </c>
      <c r="F22" s="141">
        <v>44743.009722222225</v>
      </c>
      <c r="G22" s="142">
        <v>44749.009722222225</v>
      </c>
      <c r="H22" s="156" t="s">
        <v>112</v>
      </c>
      <c r="I22" s="143">
        <v>0</v>
      </c>
      <c r="J22" s="143">
        <v>0</v>
      </c>
      <c r="K22" s="144">
        <v>0</v>
      </c>
      <c r="L22" s="109" t="s">
        <v>493</v>
      </c>
      <c r="M22" s="109" t="s">
        <v>39</v>
      </c>
      <c r="N22" s="109" t="s">
        <v>113</v>
      </c>
      <c r="O22" s="120" t="s">
        <v>26</v>
      </c>
      <c r="P22" s="145">
        <v>44773</v>
      </c>
      <c r="Q22" s="109" t="s">
        <v>87</v>
      </c>
      <c r="R22" s="107" t="s">
        <v>1108</v>
      </c>
      <c r="S22" s="109">
        <v>1033706838</v>
      </c>
      <c r="T22" s="109" t="s">
        <v>49</v>
      </c>
      <c r="U22" s="109" t="s">
        <v>50</v>
      </c>
      <c r="V22" s="109" t="s">
        <v>30</v>
      </c>
      <c r="W22" s="109" t="s">
        <v>114</v>
      </c>
      <c r="X22" s="109" t="s">
        <v>788</v>
      </c>
      <c r="Y22" s="109"/>
      <c r="Z22" s="146">
        <f>+COUNTIF('Eventos-Tareas'!$D$22:$D$1048576,'Eventos de riesgos'!$B22)</f>
        <v>2</v>
      </c>
      <c r="AA22" s="147">
        <f>+'Eventos de riesgos'!$I22-'Eventos de riesgos'!$J22-'Eventos de riesgos'!$K22</f>
        <v>0</v>
      </c>
      <c r="AB22" s="136" t="s">
        <v>1192</v>
      </c>
      <c r="AC22" s="111" t="s">
        <v>1193</v>
      </c>
      <c r="AD22" s="111" t="s">
        <v>1194</v>
      </c>
      <c r="AE22" s="137" t="s">
        <v>1195</v>
      </c>
    </row>
    <row r="23" spans="1:31" s="110" customFormat="1" ht="63.5" customHeight="1" x14ac:dyDescent="0.35">
      <c r="A23" s="112"/>
      <c r="B23" s="126">
        <v>22</v>
      </c>
      <c r="C23" s="127">
        <v>2022</v>
      </c>
      <c r="D23" s="128" t="s">
        <v>414</v>
      </c>
      <c r="E23" s="129">
        <v>44779.34652777778</v>
      </c>
      <c r="F23" s="129">
        <v>44782.34652777778</v>
      </c>
      <c r="G23" s="130">
        <v>44781.34652777778</v>
      </c>
      <c r="H23" s="155" t="s">
        <v>115</v>
      </c>
      <c r="I23" s="131">
        <v>0</v>
      </c>
      <c r="J23" s="131">
        <v>0</v>
      </c>
      <c r="K23" s="132">
        <v>0</v>
      </c>
      <c r="L23" s="108" t="s">
        <v>33</v>
      </c>
      <c r="M23" s="108" t="s">
        <v>34</v>
      </c>
      <c r="N23" s="108" t="s">
        <v>79</v>
      </c>
      <c r="O23" s="120" t="s">
        <v>26</v>
      </c>
      <c r="P23" s="133">
        <v>44804</v>
      </c>
      <c r="Q23" s="108" t="s">
        <v>116</v>
      </c>
      <c r="R23" s="108" t="s">
        <v>55</v>
      </c>
      <c r="S23" s="108">
        <v>53166187</v>
      </c>
      <c r="T23" s="108" t="s">
        <v>117</v>
      </c>
      <c r="U23" s="108" t="s">
        <v>57</v>
      </c>
      <c r="V23" s="108" t="s">
        <v>30</v>
      </c>
      <c r="W23" s="108" t="s">
        <v>118</v>
      </c>
      <c r="X23" s="108" t="s">
        <v>789</v>
      </c>
      <c r="Y23" s="108"/>
      <c r="Z23" s="134">
        <f>+COUNTIF('Eventos-Tareas'!$D$22:$D$1048576,'Eventos de riesgos'!$B23)</f>
        <v>3</v>
      </c>
      <c r="AA23" s="135">
        <f>+'Eventos de riesgos'!$I23-'Eventos de riesgos'!$J23-'Eventos de riesgos'!$K23</f>
        <v>0</v>
      </c>
      <c r="AB23" s="136" t="s">
        <v>1196</v>
      </c>
      <c r="AC23" s="111" t="s">
        <v>1197</v>
      </c>
      <c r="AD23" s="111" t="s">
        <v>1198</v>
      </c>
      <c r="AE23" s="137" t="s">
        <v>1199</v>
      </c>
    </row>
    <row r="24" spans="1:31" s="110" customFormat="1" ht="63.5" customHeight="1" x14ac:dyDescent="0.35">
      <c r="A24" s="112"/>
      <c r="B24" s="138">
        <v>23</v>
      </c>
      <c r="C24" s="139">
        <v>2022</v>
      </c>
      <c r="D24" s="140" t="s">
        <v>414</v>
      </c>
      <c r="E24" s="141">
        <v>44785.414583333331</v>
      </c>
      <c r="F24" s="141">
        <v>44788.414583333331</v>
      </c>
      <c r="G24" s="142">
        <v>44785.414583333331</v>
      </c>
      <c r="H24" s="156" t="s">
        <v>119</v>
      </c>
      <c r="I24" s="143">
        <v>0</v>
      </c>
      <c r="J24" s="143">
        <v>0</v>
      </c>
      <c r="K24" s="144">
        <v>0</v>
      </c>
      <c r="L24" s="109" t="s">
        <v>33</v>
      </c>
      <c r="M24" s="109" t="s">
        <v>34</v>
      </c>
      <c r="N24" s="109" t="s">
        <v>79</v>
      </c>
      <c r="O24" s="120" t="s">
        <v>26</v>
      </c>
      <c r="P24" s="145">
        <v>44804</v>
      </c>
      <c r="Q24" s="109" t="s">
        <v>41</v>
      </c>
      <c r="R24" s="107" t="s">
        <v>1108</v>
      </c>
      <c r="S24" s="109">
        <v>52155644</v>
      </c>
      <c r="T24" s="109" t="s">
        <v>120</v>
      </c>
      <c r="U24" s="109" t="s">
        <v>110</v>
      </c>
      <c r="V24" s="109" t="s">
        <v>30</v>
      </c>
      <c r="W24" s="109" t="s">
        <v>121</v>
      </c>
      <c r="X24" s="109" t="s">
        <v>790</v>
      </c>
      <c r="Y24" s="109"/>
      <c r="Z24" s="146">
        <f>+COUNTIF('Eventos-Tareas'!$D$22:$D$1048576,'Eventos de riesgos'!$B24)</f>
        <v>2</v>
      </c>
      <c r="AA24" s="147">
        <f>+'Eventos de riesgos'!$I24-'Eventos de riesgos'!$J24-'Eventos de riesgos'!$K24</f>
        <v>0</v>
      </c>
      <c r="AB24" s="136" t="s">
        <v>1200</v>
      </c>
      <c r="AC24" s="111" t="s">
        <v>1201</v>
      </c>
      <c r="AD24" s="111" t="s">
        <v>1202</v>
      </c>
      <c r="AE24" s="137" t="s">
        <v>1203</v>
      </c>
    </row>
    <row r="25" spans="1:31" s="110" customFormat="1" ht="63.5" customHeight="1" x14ac:dyDescent="0.35">
      <c r="A25" s="112"/>
      <c r="B25" s="126">
        <v>24</v>
      </c>
      <c r="C25" s="127">
        <v>2022</v>
      </c>
      <c r="D25" s="128" t="s">
        <v>414</v>
      </c>
      <c r="E25" s="129">
        <v>44795.700694444444</v>
      </c>
      <c r="F25" s="129">
        <v>44796.70416666667</v>
      </c>
      <c r="G25" s="130">
        <v>44795.70416666667</v>
      </c>
      <c r="H25" s="155" t="s">
        <v>122</v>
      </c>
      <c r="I25" s="131">
        <v>0</v>
      </c>
      <c r="J25" s="131">
        <v>0</v>
      </c>
      <c r="K25" s="132">
        <v>0</v>
      </c>
      <c r="L25" s="108" t="s">
        <v>33</v>
      </c>
      <c r="M25" s="108" t="s">
        <v>34</v>
      </c>
      <c r="N25" s="108" t="s">
        <v>79</v>
      </c>
      <c r="O25" s="148" t="s">
        <v>26</v>
      </c>
      <c r="P25" s="133">
        <v>44804</v>
      </c>
      <c r="Q25" s="108" t="s">
        <v>41</v>
      </c>
      <c r="R25" s="107" t="s">
        <v>1108</v>
      </c>
      <c r="S25" s="108">
        <v>1033706838</v>
      </c>
      <c r="T25" s="108" t="s">
        <v>123</v>
      </c>
      <c r="U25" s="108" t="s">
        <v>50</v>
      </c>
      <c r="V25" s="108" t="s">
        <v>30</v>
      </c>
      <c r="W25" s="108" t="s">
        <v>124</v>
      </c>
      <c r="X25" s="108" t="s">
        <v>791</v>
      </c>
      <c r="Y25" s="108"/>
      <c r="Z25" s="134">
        <f>+COUNTIF('Eventos-Tareas'!$D$22:$D$1048576,'Eventos de riesgos'!$B25)</f>
        <v>2</v>
      </c>
      <c r="AA25" s="135">
        <f>+'Eventos de riesgos'!$I25-'Eventos de riesgos'!$J25-'Eventos de riesgos'!$K25</f>
        <v>0</v>
      </c>
      <c r="AB25" s="136" t="s">
        <v>1204</v>
      </c>
      <c r="AC25" s="111" t="s">
        <v>1205</v>
      </c>
      <c r="AD25" s="111" t="s">
        <v>1206</v>
      </c>
      <c r="AE25" s="137" t="s">
        <v>1207</v>
      </c>
    </row>
    <row r="26" spans="1:31" s="110" customFormat="1" ht="63.5" customHeight="1" x14ac:dyDescent="0.35">
      <c r="A26" s="112"/>
      <c r="B26" s="138">
        <v>25</v>
      </c>
      <c r="C26" s="139">
        <v>2022</v>
      </c>
      <c r="D26" s="140" t="s">
        <v>414</v>
      </c>
      <c r="E26" s="141">
        <v>44803.726388888892</v>
      </c>
      <c r="F26" s="141">
        <v>44807.732638888891</v>
      </c>
      <c r="G26" s="142">
        <v>44803.726388888892</v>
      </c>
      <c r="H26" s="156" t="s">
        <v>125</v>
      </c>
      <c r="I26" s="143">
        <v>0</v>
      </c>
      <c r="J26" s="143">
        <v>0</v>
      </c>
      <c r="K26" s="144">
        <v>0</v>
      </c>
      <c r="L26" s="109" t="s">
        <v>33</v>
      </c>
      <c r="M26" s="109" t="s">
        <v>34</v>
      </c>
      <c r="N26" s="109" t="s">
        <v>79</v>
      </c>
      <c r="O26" s="120" t="s">
        <v>26</v>
      </c>
      <c r="P26" s="145">
        <v>44804</v>
      </c>
      <c r="Q26" s="109" t="s">
        <v>87</v>
      </c>
      <c r="R26" s="107" t="s">
        <v>1108</v>
      </c>
      <c r="S26" s="109">
        <v>53166187</v>
      </c>
      <c r="T26" s="109" t="s">
        <v>117</v>
      </c>
      <c r="U26" s="109" t="s">
        <v>57</v>
      </c>
      <c r="V26" s="109" t="s">
        <v>30</v>
      </c>
      <c r="W26" s="109" t="s">
        <v>126</v>
      </c>
      <c r="X26" s="109" t="s">
        <v>127</v>
      </c>
      <c r="Y26" s="109"/>
      <c r="Z26" s="146">
        <f>+COUNTIF('Eventos-Tareas'!$D$22:$D$1048576,'Eventos de riesgos'!$B26)</f>
        <v>4</v>
      </c>
      <c r="AA26" s="147">
        <f>+'Eventos de riesgos'!$I26-'Eventos de riesgos'!$J26-'Eventos de riesgos'!$K26</f>
        <v>0</v>
      </c>
      <c r="AB26" s="136" t="s">
        <v>1208</v>
      </c>
      <c r="AC26" s="111" t="s">
        <v>1209</v>
      </c>
      <c r="AD26" s="111" t="s">
        <v>1210</v>
      </c>
      <c r="AE26" s="137" t="s">
        <v>1211</v>
      </c>
    </row>
    <row r="27" spans="1:31" s="110" customFormat="1" ht="63.5" customHeight="1" x14ac:dyDescent="0.35">
      <c r="A27" s="112"/>
      <c r="B27" s="126">
        <v>26</v>
      </c>
      <c r="C27" s="127">
        <v>2022</v>
      </c>
      <c r="D27" s="128" t="s">
        <v>412</v>
      </c>
      <c r="E27" s="129">
        <v>44817.412499999999</v>
      </c>
      <c r="F27" s="129">
        <v>44817.413194444445</v>
      </c>
      <c r="G27" s="130">
        <v>44817.413194444445</v>
      </c>
      <c r="H27" s="155" t="s">
        <v>128</v>
      </c>
      <c r="I27" s="131">
        <v>0</v>
      </c>
      <c r="J27" s="131">
        <v>0</v>
      </c>
      <c r="K27" s="132">
        <v>0</v>
      </c>
      <c r="L27" s="108" t="s">
        <v>33</v>
      </c>
      <c r="M27" s="108" t="s">
        <v>34</v>
      </c>
      <c r="N27" s="108" t="s">
        <v>79</v>
      </c>
      <c r="O27" s="148" t="s">
        <v>26</v>
      </c>
      <c r="P27" s="133">
        <v>44834</v>
      </c>
      <c r="Q27" s="108" t="s">
        <v>41</v>
      </c>
      <c r="R27" s="107" t="s">
        <v>1112</v>
      </c>
      <c r="S27" s="108">
        <v>53166187</v>
      </c>
      <c r="T27" s="108" t="s">
        <v>117</v>
      </c>
      <c r="U27" s="108" t="s">
        <v>57</v>
      </c>
      <c r="V27" s="108" t="s">
        <v>30</v>
      </c>
      <c r="W27" s="108" t="s">
        <v>129</v>
      </c>
      <c r="X27" s="108" t="s">
        <v>792</v>
      </c>
      <c r="Y27" s="108"/>
      <c r="Z27" s="134">
        <f>+COUNTIF('Eventos-Tareas'!$D$22:$D$1048576,'Eventos de riesgos'!$B27)</f>
        <v>2</v>
      </c>
      <c r="AA27" s="135">
        <f>+'Eventos de riesgos'!$I27-'Eventos de riesgos'!$J27-'Eventos de riesgos'!$K27</f>
        <v>0</v>
      </c>
      <c r="AB27" s="136" t="s">
        <v>1212</v>
      </c>
      <c r="AC27" s="111" t="s">
        <v>1213</v>
      </c>
      <c r="AD27" s="111" t="s">
        <v>1214</v>
      </c>
      <c r="AE27" s="137" t="s">
        <v>1215</v>
      </c>
    </row>
    <row r="28" spans="1:31" s="110" customFormat="1" ht="63.5" customHeight="1" x14ac:dyDescent="0.35">
      <c r="A28" s="112"/>
      <c r="B28" s="138">
        <v>27</v>
      </c>
      <c r="C28" s="139">
        <v>2022</v>
      </c>
      <c r="D28" s="140" t="s">
        <v>414</v>
      </c>
      <c r="E28" s="141">
        <v>44784.424305555556</v>
      </c>
      <c r="F28" s="141">
        <v>44841.424305555556</v>
      </c>
      <c r="G28" s="142">
        <v>44784.416666666664</v>
      </c>
      <c r="H28" s="156" t="s">
        <v>130</v>
      </c>
      <c r="I28" s="143">
        <v>38000000</v>
      </c>
      <c r="J28" s="143">
        <v>15000000</v>
      </c>
      <c r="K28" s="144">
        <v>0</v>
      </c>
      <c r="L28" s="109" t="s">
        <v>72</v>
      </c>
      <c r="M28" s="109" t="s">
        <v>435</v>
      </c>
      <c r="N28" s="109" t="s">
        <v>436</v>
      </c>
      <c r="O28" s="120" t="s">
        <v>26</v>
      </c>
      <c r="P28" s="145">
        <v>44804</v>
      </c>
      <c r="Q28" s="109" t="s">
        <v>66</v>
      </c>
      <c r="R28" s="107" t="s">
        <v>1108</v>
      </c>
      <c r="S28" s="109">
        <v>1016072548</v>
      </c>
      <c r="T28" s="109" t="s">
        <v>131</v>
      </c>
      <c r="U28" s="109" t="s">
        <v>132</v>
      </c>
      <c r="V28" s="109" t="s">
        <v>30</v>
      </c>
      <c r="W28" s="109" t="s">
        <v>133</v>
      </c>
      <c r="X28" s="109" t="s">
        <v>793</v>
      </c>
      <c r="Y28" s="109"/>
      <c r="Z28" s="146">
        <f>+COUNTIF('Eventos-Tareas'!$D$22:$D$1048576,'Eventos de riesgos'!$B28)</f>
        <v>1</v>
      </c>
      <c r="AA28" s="147">
        <f>+'Eventos de riesgos'!$I28-'Eventos de riesgos'!$J28-'Eventos de riesgos'!$K28</f>
        <v>23000000</v>
      </c>
      <c r="AB28" s="136" t="s">
        <v>1216</v>
      </c>
      <c r="AC28" s="111" t="s">
        <v>1217</v>
      </c>
      <c r="AD28" s="111" t="s">
        <v>1218</v>
      </c>
      <c r="AE28" s="137" t="s">
        <v>1219</v>
      </c>
    </row>
    <row r="29" spans="1:31" s="110" customFormat="1" ht="63.5" customHeight="1" x14ac:dyDescent="0.35">
      <c r="A29" s="112"/>
      <c r="B29" s="126">
        <v>28</v>
      </c>
      <c r="C29" s="127">
        <v>2022</v>
      </c>
      <c r="D29" s="128" t="s">
        <v>404</v>
      </c>
      <c r="E29" s="129">
        <v>44853.404861111114</v>
      </c>
      <c r="F29" s="129">
        <v>44853.404861111114</v>
      </c>
      <c r="G29" s="130">
        <v>44853.404861111114</v>
      </c>
      <c r="H29" s="155" t="s">
        <v>134</v>
      </c>
      <c r="I29" s="131">
        <v>0</v>
      </c>
      <c r="J29" s="131">
        <v>0</v>
      </c>
      <c r="K29" s="132">
        <v>0</v>
      </c>
      <c r="L29" s="108" t="s">
        <v>33</v>
      </c>
      <c r="M29" s="108" t="s">
        <v>34</v>
      </c>
      <c r="N29" s="108" t="s">
        <v>35</v>
      </c>
      <c r="O29" s="148" t="s">
        <v>26</v>
      </c>
      <c r="P29" s="133">
        <v>44865</v>
      </c>
      <c r="Q29" s="108" t="s">
        <v>1108</v>
      </c>
      <c r="R29" s="107" t="s">
        <v>1108</v>
      </c>
      <c r="S29" s="108">
        <v>1033706838</v>
      </c>
      <c r="T29" s="108" t="s">
        <v>49</v>
      </c>
      <c r="U29" s="108" t="s">
        <v>50</v>
      </c>
      <c r="V29" s="108" t="s">
        <v>30</v>
      </c>
      <c r="W29" s="108" t="s">
        <v>135</v>
      </c>
      <c r="X29" s="108" t="s">
        <v>795</v>
      </c>
      <c r="Y29" s="108"/>
      <c r="Z29" s="134">
        <f>+COUNTIF('Eventos-Tareas'!$D$22:$D$1048576,'Eventos de riesgos'!$B29)</f>
        <v>3</v>
      </c>
      <c r="AA29" s="135">
        <f>+'Eventos de riesgos'!$I29-'Eventos de riesgos'!$J29-'Eventos de riesgos'!$K29</f>
        <v>0</v>
      </c>
      <c r="AB29" s="136" t="s">
        <v>1220</v>
      </c>
      <c r="AC29" s="111" t="s">
        <v>1221</v>
      </c>
      <c r="AD29" s="111" t="s">
        <v>1222</v>
      </c>
      <c r="AE29" s="137" t="s">
        <v>1223</v>
      </c>
    </row>
    <row r="30" spans="1:31" s="110" customFormat="1" ht="63.5" customHeight="1" x14ac:dyDescent="0.35">
      <c r="A30" s="112"/>
      <c r="B30" s="138">
        <v>29</v>
      </c>
      <c r="C30" s="139">
        <v>2022</v>
      </c>
      <c r="D30" s="140" t="s">
        <v>404</v>
      </c>
      <c r="E30" s="141">
        <v>44859.356944444444</v>
      </c>
      <c r="F30" s="141">
        <v>44859.356944444444</v>
      </c>
      <c r="G30" s="142">
        <v>44859.356944444444</v>
      </c>
      <c r="H30" s="156" t="s">
        <v>136</v>
      </c>
      <c r="I30" s="143">
        <v>24380</v>
      </c>
      <c r="J30" s="143">
        <v>0</v>
      </c>
      <c r="K30" s="144">
        <v>0</v>
      </c>
      <c r="L30" s="109" t="s">
        <v>493</v>
      </c>
      <c r="M30" s="109" t="s">
        <v>39</v>
      </c>
      <c r="N30" s="109" t="s">
        <v>40</v>
      </c>
      <c r="O30" s="120" t="s">
        <v>26</v>
      </c>
      <c r="P30" s="145">
        <v>44865</v>
      </c>
      <c r="Q30" s="109" t="s">
        <v>1108</v>
      </c>
      <c r="R30" s="107" t="s">
        <v>1113</v>
      </c>
      <c r="S30" s="109">
        <v>53166187</v>
      </c>
      <c r="T30" s="109" t="s">
        <v>117</v>
      </c>
      <c r="U30" s="109" t="s">
        <v>57</v>
      </c>
      <c r="V30" s="109" t="s">
        <v>30</v>
      </c>
      <c r="W30" s="109" t="s">
        <v>137</v>
      </c>
      <c r="X30" s="109" t="s">
        <v>794</v>
      </c>
      <c r="Y30" s="109"/>
      <c r="Z30" s="146">
        <f>+COUNTIF('Eventos-Tareas'!$D$22:$D$1048576,'Eventos de riesgos'!$B30)</f>
        <v>1</v>
      </c>
      <c r="AA30" s="147">
        <f>+'Eventos de riesgos'!$I30-'Eventos de riesgos'!$J30-'Eventos de riesgos'!$K30</f>
        <v>24380</v>
      </c>
      <c r="AB30" s="136" t="s">
        <v>1224</v>
      </c>
      <c r="AC30" s="111" t="s">
        <v>1225</v>
      </c>
      <c r="AD30" s="111" t="s">
        <v>1226</v>
      </c>
      <c r="AE30" s="137" t="s">
        <v>1227</v>
      </c>
    </row>
    <row r="31" spans="1:31" s="110" customFormat="1" ht="63.5" customHeight="1" x14ac:dyDescent="0.35">
      <c r="A31" s="112"/>
      <c r="B31" s="126">
        <v>30</v>
      </c>
      <c r="C31" s="127">
        <v>2022</v>
      </c>
      <c r="D31" s="128" t="s">
        <v>404</v>
      </c>
      <c r="E31" s="129">
        <v>44861.479861111111</v>
      </c>
      <c r="F31" s="129">
        <v>44861.479861111111</v>
      </c>
      <c r="G31" s="130">
        <v>44861.479861111111</v>
      </c>
      <c r="H31" s="155" t="s">
        <v>138</v>
      </c>
      <c r="I31" s="131">
        <v>0</v>
      </c>
      <c r="J31" s="131">
        <v>0</v>
      </c>
      <c r="K31" s="132">
        <v>0</v>
      </c>
      <c r="L31" s="108" t="s">
        <v>33</v>
      </c>
      <c r="M31" s="108" t="s">
        <v>34</v>
      </c>
      <c r="N31" s="108" t="s">
        <v>79</v>
      </c>
      <c r="O31" s="148" t="s">
        <v>26</v>
      </c>
      <c r="P31" s="133">
        <v>44865</v>
      </c>
      <c r="Q31" s="108" t="s">
        <v>41</v>
      </c>
      <c r="R31" s="107" t="s">
        <v>1112</v>
      </c>
      <c r="S31" s="108">
        <v>53166187</v>
      </c>
      <c r="T31" s="108" t="s">
        <v>117</v>
      </c>
      <c r="U31" s="108" t="s">
        <v>57</v>
      </c>
      <c r="V31" s="108" t="s">
        <v>30</v>
      </c>
      <c r="W31" s="108" t="s">
        <v>139</v>
      </c>
      <c r="X31" s="108" t="s">
        <v>792</v>
      </c>
      <c r="Y31" s="108"/>
      <c r="Z31" s="134">
        <f>+COUNTIF('Eventos-Tareas'!$D$22:$D$1048576,'Eventos de riesgos'!$B31)</f>
        <v>2</v>
      </c>
      <c r="AA31" s="135">
        <f>+'Eventos de riesgos'!$I31-'Eventos de riesgos'!$J31-'Eventos de riesgos'!$K31</f>
        <v>0</v>
      </c>
      <c r="AB31" s="136" t="s">
        <v>1228</v>
      </c>
      <c r="AC31" s="111" t="s">
        <v>1229</v>
      </c>
      <c r="AD31" s="111" t="s">
        <v>1230</v>
      </c>
      <c r="AE31" s="137" t="s">
        <v>1231</v>
      </c>
    </row>
    <row r="32" spans="1:31" s="110" customFormat="1" ht="63.5" customHeight="1" x14ac:dyDescent="0.35">
      <c r="A32" s="112"/>
      <c r="B32" s="138">
        <v>31</v>
      </c>
      <c r="C32" s="139">
        <v>2022</v>
      </c>
      <c r="D32" s="140" t="s">
        <v>413</v>
      </c>
      <c r="E32" s="141">
        <v>44893.53402777778</v>
      </c>
      <c r="F32" s="141">
        <v>44893.53402777778</v>
      </c>
      <c r="G32" s="142">
        <v>44895.53402777778</v>
      </c>
      <c r="H32" s="156" t="s">
        <v>140</v>
      </c>
      <c r="I32" s="143">
        <v>1143000</v>
      </c>
      <c r="J32" s="143">
        <v>0</v>
      </c>
      <c r="K32" s="144">
        <v>0</v>
      </c>
      <c r="L32" s="109" t="s">
        <v>72</v>
      </c>
      <c r="M32" s="109" t="s">
        <v>435</v>
      </c>
      <c r="N32" s="109" t="s">
        <v>436</v>
      </c>
      <c r="O32" s="120" t="s">
        <v>26</v>
      </c>
      <c r="P32" s="145">
        <v>44895</v>
      </c>
      <c r="Q32" s="109" t="s">
        <v>27</v>
      </c>
      <c r="R32" s="107" t="s">
        <v>1112</v>
      </c>
      <c r="S32" s="109">
        <v>1018433978</v>
      </c>
      <c r="T32" s="109" t="s">
        <v>143</v>
      </c>
      <c r="U32" s="109" t="s">
        <v>29</v>
      </c>
      <c r="V32" s="109" t="s">
        <v>30</v>
      </c>
      <c r="W32" s="109"/>
      <c r="X32" s="109" t="s">
        <v>793</v>
      </c>
      <c r="Y32" s="109"/>
      <c r="Z32" s="146">
        <f>+COUNTIF('Eventos-Tareas'!$D$22:$D$1048576,'Eventos de riesgos'!$B32)</f>
        <v>2</v>
      </c>
      <c r="AA32" s="147">
        <f>+'Eventos de riesgos'!$I32-'Eventos de riesgos'!$J32-'Eventos de riesgos'!$K32</f>
        <v>1143000</v>
      </c>
      <c r="AB32" s="136" t="s">
        <v>1232</v>
      </c>
      <c r="AC32" s="111" t="s">
        <v>1233</v>
      </c>
      <c r="AD32" s="111" t="s">
        <v>1234</v>
      </c>
      <c r="AE32" s="137" t="s">
        <v>1235</v>
      </c>
    </row>
    <row r="33" spans="1:31" s="110" customFormat="1" ht="63.5" customHeight="1" x14ac:dyDescent="0.35">
      <c r="A33" s="112"/>
      <c r="B33" s="126">
        <v>32</v>
      </c>
      <c r="C33" s="127">
        <v>2022</v>
      </c>
      <c r="D33" s="128" t="s">
        <v>413</v>
      </c>
      <c r="E33" s="129">
        <v>44893.517361111109</v>
      </c>
      <c r="F33" s="129">
        <v>44894.518055555556</v>
      </c>
      <c r="G33" s="130">
        <v>44894.518055555556</v>
      </c>
      <c r="H33" s="155" t="s">
        <v>144</v>
      </c>
      <c r="I33" s="131">
        <v>4000000</v>
      </c>
      <c r="J33" s="131">
        <v>0</v>
      </c>
      <c r="K33" s="132">
        <v>0</v>
      </c>
      <c r="L33" s="108" t="s">
        <v>45</v>
      </c>
      <c r="M33" s="108" t="s">
        <v>46</v>
      </c>
      <c r="N33" s="108" t="s">
        <v>60</v>
      </c>
      <c r="O33" s="148" t="s">
        <v>26</v>
      </c>
      <c r="P33" s="133">
        <v>44895</v>
      </c>
      <c r="Q33" s="108" t="s">
        <v>27</v>
      </c>
      <c r="R33" s="107" t="s">
        <v>55</v>
      </c>
      <c r="S33" s="108">
        <v>1024558299</v>
      </c>
      <c r="T33" s="108" t="s">
        <v>145</v>
      </c>
      <c r="U33" s="108" t="s">
        <v>146</v>
      </c>
      <c r="V33" s="108" t="s">
        <v>30</v>
      </c>
      <c r="W33" s="108"/>
      <c r="X33" s="108" t="s">
        <v>796</v>
      </c>
      <c r="Y33" s="108"/>
      <c r="Z33" s="134">
        <f>+COUNTIF('Eventos-Tareas'!$D$22:$D$1048576,'Eventos de riesgos'!$B33)</f>
        <v>2</v>
      </c>
      <c r="AA33" s="135">
        <f>+'Eventos de riesgos'!$I33-'Eventos de riesgos'!$J33-'Eventos de riesgos'!$K33</f>
        <v>4000000</v>
      </c>
      <c r="AB33" s="136" t="s">
        <v>1236</v>
      </c>
      <c r="AC33" s="111" t="s">
        <v>1237</v>
      </c>
      <c r="AD33" s="111" t="s">
        <v>1238</v>
      </c>
      <c r="AE33" s="137" t="s">
        <v>1239</v>
      </c>
    </row>
    <row r="34" spans="1:31" s="110" customFormat="1" ht="63.5" customHeight="1" x14ac:dyDescent="0.35">
      <c r="A34" s="112"/>
      <c r="B34" s="138">
        <v>33</v>
      </c>
      <c r="C34" s="139">
        <v>2022</v>
      </c>
      <c r="D34" s="140" t="s">
        <v>413</v>
      </c>
      <c r="E34" s="141">
        <v>44697.847222222219</v>
      </c>
      <c r="F34" s="141">
        <v>45133.847222222219</v>
      </c>
      <c r="G34" s="142">
        <v>44895.847222222219</v>
      </c>
      <c r="H34" s="156" t="s">
        <v>147</v>
      </c>
      <c r="I34" s="143">
        <v>23735566</v>
      </c>
      <c r="J34" s="143">
        <v>0</v>
      </c>
      <c r="K34" s="144">
        <v>0</v>
      </c>
      <c r="L34" s="109" t="s">
        <v>493</v>
      </c>
      <c r="M34" s="109" t="s">
        <v>711</v>
      </c>
      <c r="N34" s="109" t="s">
        <v>148</v>
      </c>
      <c r="O34" s="120" t="s">
        <v>26</v>
      </c>
      <c r="P34" s="145">
        <v>44895</v>
      </c>
      <c r="Q34" s="109" t="s">
        <v>66</v>
      </c>
      <c r="R34" s="107" t="s">
        <v>1108</v>
      </c>
      <c r="S34" s="109">
        <v>1016072548</v>
      </c>
      <c r="T34" s="109" t="s">
        <v>131</v>
      </c>
      <c r="U34" s="109" t="s">
        <v>132</v>
      </c>
      <c r="V34" s="109" t="s">
        <v>30</v>
      </c>
      <c r="W34" s="109" t="s">
        <v>149</v>
      </c>
      <c r="X34" s="109" t="s">
        <v>797</v>
      </c>
      <c r="Y34" s="109"/>
      <c r="Z34" s="146">
        <f>+COUNTIF('Eventos-Tareas'!$D$22:$D$1048576,'Eventos de riesgos'!$B34)</f>
        <v>1</v>
      </c>
      <c r="AA34" s="147">
        <f>+'Eventos de riesgos'!$I34-'Eventos de riesgos'!$J34-'Eventos de riesgos'!$K34</f>
        <v>23735566</v>
      </c>
      <c r="AB34" s="136" t="s">
        <v>1240</v>
      </c>
      <c r="AC34" s="111" t="s">
        <v>1241</v>
      </c>
      <c r="AD34" s="111" t="s">
        <v>1242</v>
      </c>
      <c r="AE34" s="137" t="s">
        <v>1243</v>
      </c>
    </row>
    <row r="35" spans="1:31" s="110" customFormat="1" ht="63.5" customHeight="1" x14ac:dyDescent="0.35">
      <c r="A35" s="112"/>
      <c r="B35" s="126">
        <v>34</v>
      </c>
      <c r="C35" s="127">
        <v>2022</v>
      </c>
      <c r="D35" s="128" t="s">
        <v>403</v>
      </c>
      <c r="E35" s="129">
        <v>44887.428472222222</v>
      </c>
      <c r="F35" s="129">
        <v>44946.428472222222</v>
      </c>
      <c r="G35" s="130">
        <v>44908.428472222222</v>
      </c>
      <c r="H35" s="155" t="s">
        <v>150</v>
      </c>
      <c r="I35" s="131">
        <v>0</v>
      </c>
      <c r="J35" s="131">
        <v>0</v>
      </c>
      <c r="K35" s="132">
        <v>0</v>
      </c>
      <c r="L35" s="108" t="s">
        <v>493</v>
      </c>
      <c r="M35" s="108" t="s">
        <v>39</v>
      </c>
      <c r="N35" s="108" t="s">
        <v>151</v>
      </c>
      <c r="O35" s="148" t="s">
        <v>26</v>
      </c>
      <c r="P35" s="133">
        <v>44926</v>
      </c>
      <c r="Q35" s="108" t="s">
        <v>1108</v>
      </c>
      <c r="R35" s="107" t="s">
        <v>1108</v>
      </c>
      <c r="S35" s="108">
        <v>1033706838</v>
      </c>
      <c r="T35" s="108" t="s">
        <v>49</v>
      </c>
      <c r="U35" s="108" t="s">
        <v>50</v>
      </c>
      <c r="V35" s="108" t="s">
        <v>30</v>
      </c>
      <c r="W35" s="108" t="s">
        <v>152</v>
      </c>
      <c r="X35" s="108" t="s">
        <v>798</v>
      </c>
      <c r="Y35" s="108"/>
      <c r="Z35" s="134">
        <f>+COUNTIF('Eventos-Tareas'!$D$22:$D$1048576,'Eventos de riesgos'!$B35)</f>
        <v>2</v>
      </c>
      <c r="AA35" s="135">
        <f>+'Eventos de riesgos'!$I35-'Eventos de riesgos'!$J35-'Eventos de riesgos'!$K35</f>
        <v>0</v>
      </c>
      <c r="AB35" s="136" t="s">
        <v>1244</v>
      </c>
      <c r="AC35" s="111" t="s">
        <v>1245</v>
      </c>
      <c r="AD35" s="111" t="s">
        <v>1246</v>
      </c>
      <c r="AE35" s="137" t="s">
        <v>1247</v>
      </c>
    </row>
    <row r="36" spans="1:31" s="110" customFormat="1" ht="63.5" customHeight="1" x14ac:dyDescent="0.35">
      <c r="A36" s="112"/>
      <c r="B36" s="138">
        <v>35</v>
      </c>
      <c r="C36" s="139">
        <v>2023</v>
      </c>
      <c r="D36" s="140" t="s">
        <v>405</v>
      </c>
      <c r="E36" s="141">
        <v>44950.474999999999</v>
      </c>
      <c r="F36" s="141">
        <v>44950.474999999999</v>
      </c>
      <c r="G36" s="142">
        <v>44950.474999999999</v>
      </c>
      <c r="H36" s="156" t="s">
        <v>153</v>
      </c>
      <c r="I36" s="143">
        <v>0</v>
      </c>
      <c r="J36" s="143">
        <v>0</v>
      </c>
      <c r="K36" s="144">
        <v>0</v>
      </c>
      <c r="L36" s="109" t="s">
        <v>33</v>
      </c>
      <c r="M36" s="109" t="s">
        <v>34</v>
      </c>
      <c r="N36" s="109" t="s">
        <v>54</v>
      </c>
      <c r="O36" s="120" t="s">
        <v>26</v>
      </c>
      <c r="P36" s="145">
        <v>44957</v>
      </c>
      <c r="Q36" s="109" t="s">
        <v>1108</v>
      </c>
      <c r="R36" s="107" t="s">
        <v>55</v>
      </c>
      <c r="S36" s="109">
        <v>88217241</v>
      </c>
      <c r="T36" s="109" t="s">
        <v>154</v>
      </c>
      <c r="U36" s="109" t="s">
        <v>155</v>
      </c>
      <c r="V36" s="109" t="s">
        <v>30</v>
      </c>
      <c r="W36" s="109" t="s">
        <v>613</v>
      </c>
      <c r="X36" s="109" t="s">
        <v>799</v>
      </c>
      <c r="Y36" s="109"/>
      <c r="Z36" s="146">
        <f>+COUNTIF('Eventos-Tareas'!$D$22:$D$1048576,'Eventos de riesgos'!$B36)</f>
        <v>2</v>
      </c>
      <c r="AA36" s="147">
        <f>+'Eventos de riesgos'!$I36-'Eventos de riesgos'!$J36-'Eventos de riesgos'!$K36</f>
        <v>0</v>
      </c>
      <c r="AB36" s="136" t="s">
        <v>1248</v>
      </c>
      <c r="AC36" s="111" t="s">
        <v>1249</v>
      </c>
      <c r="AD36" s="111" t="s">
        <v>1250</v>
      </c>
      <c r="AE36" s="137" t="s">
        <v>1251</v>
      </c>
    </row>
    <row r="37" spans="1:31" s="110" customFormat="1" ht="63.5" customHeight="1" x14ac:dyDescent="0.35">
      <c r="A37" s="112"/>
      <c r="B37" s="126">
        <v>36</v>
      </c>
      <c r="C37" s="127">
        <v>2023</v>
      </c>
      <c r="D37" s="128" t="s">
        <v>406</v>
      </c>
      <c r="E37" s="129">
        <v>44941.689583333333</v>
      </c>
      <c r="F37" s="129">
        <v>44956.691666666666</v>
      </c>
      <c r="G37" s="130">
        <v>44958.69027777778</v>
      </c>
      <c r="H37" s="155" t="s">
        <v>422</v>
      </c>
      <c r="I37" s="131">
        <v>1450000</v>
      </c>
      <c r="J37" s="131">
        <v>0</v>
      </c>
      <c r="K37" s="132">
        <v>0</v>
      </c>
      <c r="L37" s="108" t="s">
        <v>45</v>
      </c>
      <c r="M37" s="108" t="s">
        <v>46</v>
      </c>
      <c r="N37" s="108" t="s">
        <v>60</v>
      </c>
      <c r="O37" s="148" t="s">
        <v>26</v>
      </c>
      <c r="P37" s="133">
        <v>44985</v>
      </c>
      <c r="Q37" s="108" t="s">
        <v>27</v>
      </c>
      <c r="R37" s="107" t="s">
        <v>55</v>
      </c>
      <c r="S37" s="108">
        <v>53166187</v>
      </c>
      <c r="T37" s="108" t="s">
        <v>156</v>
      </c>
      <c r="U37" s="108" t="s">
        <v>57</v>
      </c>
      <c r="V37" s="108" t="s">
        <v>30</v>
      </c>
      <c r="W37" s="108" t="s">
        <v>157</v>
      </c>
      <c r="X37" s="108" t="s">
        <v>796</v>
      </c>
      <c r="Y37" s="108"/>
      <c r="Z37" s="134">
        <f>+COUNTIF('Eventos-Tareas'!$D$22:$D$1048576,'Eventos de riesgos'!$B37)</f>
        <v>4</v>
      </c>
      <c r="AA37" s="135">
        <f>+'Eventos de riesgos'!$I37-'Eventos de riesgos'!$J37-'Eventos de riesgos'!$K37</f>
        <v>1450000</v>
      </c>
      <c r="AB37" s="136" t="s">
        <v>1252</v>
      </c>
      <c r="AC37" s="111" t="s">
        <v>1253</v>
      </c>
      <c r="AD37" s="111" t="s">
        <v>1254</v>
      </c>
      <c r="AE37" s="137" t="s">
        <v>1255</v>
      </c>
    </row>
    <row r="38" spans="1:31" s="110" customFormat="1" ht="63.5" customHeight="1" x14ac:dyDescent="0.35">
      <c r="A38" s="112"/>
      <c r="B38" s="138">
        <v>37</v>
      </c>
      <c r="C38" s="139">
        <v>2023</v>
      </c>
      <c r="D38" s="140" t="s">
        <v>406</v>
      </c>
      <c r="E38" s="141">
        <v>44977.479166666664</v>
      </c>
      <c r="F38" s="141">
        <v>44977.479166666664</v>
      </c>
      <c r="G38" s="142">
        <v>44977.479861111111</v>
      </c>
      <c r="H38" s="156" t="s">
        <v>158</v>
      </c>
      <c r="I38" s="143">
        <v>6491704</v>
      </c>
      <c r="J38" s="143">
        <v>0</v>
      </c>
      <c r="K38" s="144">
        <v>0</v>
      </c>
      <c r="L38" s="109" t="s">
        <v>493</v>
      </c>
      <c r="M38" s="109" t="s">
        <v>39</v>
      </c>
      <c r="N38" s="109" t="s">
        <v>108</v>
      </c>
      <c r="O38" s="120" t="s">
        <v>26</v>
      </c>
      <c r="P38" s="145">
        <v>44985.479861111111</v>
      </c>
      <c r="Q38" s="109" t="s">
        <v>1118</v>
      </c>
      <c r="R38" s="107" t="s">
        <v>55</v>
      </c>
      <c r="S38" s="109">
        <v>1033706838</v>
      </c>
      <c r="T38" s="109" t="s">
        <v>123</v>
      </c>
      <c r="U38" s="109" t="s">
        <v>50</v>
      </c>
      <c r="V38" s="109" t="s">
        <v>30</v>
      </c>
      <c r="W38" s="109" t="s">
        <v>159</v>
      </c>
      <c r="X38" s="109" t="s">
        <v>160</v>
      </c>
      <c r="Y38" s="109"/>
      <c r="Z38" s="146">
        <f>+COUNTIF('Eventos-Tareas'!$D$22:$D$1048576,'Eventos de riesgos'!$B38)</f>
        <v>7</v>
      </c>
      <c r="AA38" s="147">
        <f>+'Eventos de riesgos'!$I38-'Eventos de riesgos'!$J38-'Eventos de riesgos'!$K38</f>
        <v>6491704</v>
      </c>
      <c r="AB38" s="136" t="s">
        <v>1256</v>
      </c>
      <c r="AC38" s="111" t="s">
        <v>1257</v>
      </c>
      <c r="AD38" s="111" t="s">
        <v>1258</v>
      </c>
      <c r="AE38" s="137" t="s">
        <v>1259</v>
      </c>
    </row>
    <row r="39" spans="1:31" s="110" customFormat="1" ht="63.5" customHeight="1" x14ac:dyDescent="0.35">
      <c r="A39" s="112"/>
      <c r="B39" s="126">
        <v>38</v>
      </c>
      <c r="C39" s="127">
        <v>2023</v>
      </c>
      <c r="D39" s="128" t="s">
        <v>406</v>
      </c>
      <c r="E39" s="129">
        <v>44984.477777777778</v>
      </c>
      <c r="F39" s="129">
        <v>44984.477777777778</v>
      </c>
      <c r="G39" s="130">
        <v>44984.477777777778</v>
      </c>
      <c r="H39" s="155" t="s">
        <v>161</v>
      </c>
      <c r="I39" s="131">
        <v>7067000</v>
      </c>
      <c r="J39" s="131">
        <v>5000000</v>
      </c>
      <c r="K39" s="132">
        <v>0</v>
      </c>
      <c r="L39" s="108" t="s">
        <v>45</v>
      </c>
      <c r="M39" s="108" t="s">
        <v>46</v>
      </c>
      <c r="N39" s="108" t="s">
        <v>60</v>
      </c>
      <c r="O39" s="148" t="s">
        <v>26</v>
      </c>
      <c r="P39" s="133">
        <v>44985.486111111109</v>
      </c>
      <c r="Q39" s="108" t="s">
        <v>27</v>
      </c>
      <c r="R39" s="107" t="s">
        <v>1112</v>
      </c>
      <c r="S39" s="108">
        <v>1018433978</v>
      </c>
      <c r="T39" s="108" t="s">
        <v>163</v>
      </c>
      <c r="U39" s="108" t="s">
        <v>29</v>
      </c>
      <c r="V39" s="108" t="s">
        <v>30</v>
      </c>
      <c r="W39" s="108" t="s">
        <v>164</v>
      </c>
      <c r="X39" s="108" t="s">
        <v>796</v>
      </c>
      <c r="Y39" s="108"/>
      <c r="Z39" s="134">
        <f>+COUNTIF('Eventos-Tareas'!$D$22:$D$1048576,'Eventos de riesgos'!$B39)</f>
        <v>8</v>
      </c>
      <c r="AA39" s="135">
        <f>+'Eventos de riesgos'!$I39-'Eventos de riesgos'!$J39-'Eventos de riesgos'!$K39</f>
        <v>2067000</v>
      </c>
      <c r="AB39" s="136" t="s">
        <v>1260</v>
      </c>
      <c r="AC39" s="111" t="s">
        <v>1261</v>
      </c>
      <c r="AD39" s="111" t="s">
        <v>1262</v>
      </c>
      <c r="AE39" s="137" t="s">
        <v>1263</v>
      </c>
    </row>
    <row r="40" spans="1:31" s="110" customFormat="1" ht="63.5" customHeight="1" x14ac:dyDescent="0.35">
      <c r="A40" s="112"/>
      <c r="B40" s="138">
        <v>39</v>
      </c>
      <c r="C40" s="139">
        <v>2023</v>
      </c>
      <c r="D40" s="140" t="s">
        <v>407</v>
      </c>
      <c r="E40" s="141">
        <v>44989.557638888888</v>
      </c>
      <c r="F40" s="141">
        <v>44991.55972222222</v>
      </c>
      <c r="G40" s="142">
        <v>44989.559027777781</v>
      </c>
      <c r="H40" s="156" t="s">
        <v>165</v>
      </c>
      <c r="I40" s="143">
        <v>7800000</v>
      </c>
      <c r="J40" s="143">
        <v>0</v>
      </c>
      <c r="K40" s="144">
        <v>0</v>
      </c>
      <c r="L40" s="109" t="s">
        <v>45</v>
      </c>
      <c r="M40" s="109" t="s">
        <v>46</v>
      </c>
      <c r="N40" s="109" t="s">
        <v>60</v>
      </c>
      <c r="O40" s="120" t="s">
        <v>26</v>
      </c>
      <c r="P40" s="145">
        <v>45016.567361111112</v>
      </c>
      <c r="Q40" s="109" t="s">
        <v>27</v>
      </c>
      <c r="R40" s="107" t="s">
        <v>1111</v>
      </c>
      <c r="S40" s="109">
        <v>1018433978</v>
      </c>
      <c r="T40" s="109" t="s">
        <v>166</v>
      </c>
      <c r="U40" s="109" t="s">
        <v>29</v>
      </c>
      <c r="V40" s="109" t="s">
        <v>30</v>
      </c>
      <c r="W40" s="109" t="s">
        <v>167</v>
      </c>
      <c r="X40" s="109" t="s">
        <v>796</v>
      </c>
      <c r="Y40" s="109"/>
      <c r="Z40" s="146">
        <f>+COUNTIF('Eventos-Tareas'!$D$22:$D$1048576,'Eventos de riesgos'!$B40)</f>
        <v>3</v>
      </c>
      <c r="AA40" s="147">
        <f>+'Eventos de riesgos'!$I40-'Eventos de riesgos'!$J40-'Eventos de riesgos'!$K40</f>
        <v>7800000</v>
      </c>
      <c r="AB40" s="136" t="s">
        <v>1264</v>
      </c>
      <c r="AC40" s="111" t="s">
        <v>1265</v>
      </c>
      <c r="AD40" s="111" t="s">
        <v>1266</v>
      </c>
      <c r="AE40" s="137" t="s">
        <v>1267</v>
      </c>
    </row>
    <row r="41" spans="1:31" s="110" customFormat="1" ht="63.5" customHeight="1" x14ac:dyDescent="0.35">
      <c r="A41" s="112"/>
      <c r="B41" s="126">
        <v>40</v>
      </c>
      <c r="C41" s="127">
        <v>2023</v>
      </c>
      <c r="D41" s="128" t="s">
        <v>407</v>
      </c>
      <c r="E41" s="129">
        <v>45006.831944444442</v>
      </c>
      <c r="F41" s="129">
        <v>45006.831944444442</v>
      </c>
      <c r="G41" s="130">
        <v>45010.831944444442</v>
      </c>
      <c r="H41" s="155" t="s">
        <v>168</v>
      </c>
      <c r="I41" s="131">
        <v>0</v>
      </c>
      <c r="J41" s="131">
        <v>0</v>
      </c>
      <c r="K41" s="132">
        <v>0</v>
      </c>
      <c r="L41" s="108" t="s">
        <v>141</v>
      </c>
      <c r="M41" s="108" t="s">
        <v>169</v>
      </c>
      <c r="N41" s="108" t="s">
        <v>170</v>
      </c>
      <c r="O41" s="148" t="s">
        <v>26</v>
      </c>
      <c r="P41" s="133">
        <v>45016.832638888889</v>
      </c>
      <c r="Q41" s="108" t="s">
        <v>1118</v>
      </c>
      <c r="R41" s="107" t="s">
        <v>88</v>
      </c>
      <c r="S41" s="108">
        <v>1033706838</v>
      </c>
      <c r="T41" s="108" t="s">
        <v>123</v>
      </c>
      <c r="U41" s="108" t="s">
        <v>50</v>
      </c>
      <c r="V41" s="108" t="s">
        <v>30</v>
      </c>
      <c r="W41" s="108" t="s">
        <v>171</v>
      </c>
      <c r="X41" s="108" t="s">
        <v>800</v>
      </c>
      <c r="Y41" s="108"/>
      <c r="Z41" s="134">
        <f>+COUNTIF('Eventos-Tareas'!$D$22:$D$1048576,'Eventos de riesgos'!$B41)</f>
        <v>2</v>
      </c>
      <c r="AA41" s="135">
        <f>+'Eventos de riesgos'!$I41-'Eventos de riesgos'!$J41-'Eventos de riesgos'!$K41</f>
        <v>0</v>
      </c>
      <c r="AB41" s="136" t="s">
        <v>1268</v>
      </c>
      <c r="AC41" s="111" t="s">
        <v>1269</v>
      </c>
      <c r="AD41" s="111" t="s">
        <v>1270</v>
      </c>
      <c r="AE41" s="137" t="s">
        <v>1271</v>
      </c>
    </row>
    <row r="42" spans="1:31" s="110" customFormat="1" ht="63.5" customHeight="1" x14ac:dyDescent="0.35">
      <c r="A42" s="112"/>
      <c r="B42" s="138">
        <v>41</v>
      </c>
      <c r="C42" s="139">
        <v>2023</v>
      </c>
      <c r="D42" s="140" t="s">
        <v>407</v>
      </c>
      <c r="E42" s="141">
        <v>45006.836111111108</v>
      </c>
      <c r="F42" s="141">
        <v>45006.836111111108</v>
      </c>
      <c r="G42" s="142">
        <v>45006.836111111108</v>
      </c>
      <c r="H42" s="156" t="s">
        <v>172</v>
      </c>
      <c r="I42" s="143">
        <v>0</v>
      </c>
      <c r="J42" s="143">
        <v>0</v>
      </c>
      <c r="K42" s="144">
        <v>0</v>
      </c>
      <c r="L42" s="109" t="s">
        <v>493</v>
      </c>
      <c r="M42" s="109" t="s">
        <v>39</v>
      </c>
      <c r="N42" s="109" t="s">
        <v>108</v>
      </c>
      <c r="O42" s="120" t="s">
        <v>26</v>
      </c>
      <c r="P42" s="145">
        <v>45016.836111111108</v>
      </c>
      <c r="Q42" s="109" t="s">
        <v>41</v>
      </c>
      <c r="R42" s="107" t="s">
        <v>1108</v>
      </c>
      <c r="S42" s="109">
        <v>52155644</v>
      </c>
      <c r="T42" s="109" t="s">
        <v>120</v>
      </c>
      <c r="U42" s="109" t="s">
        <v>110</v>
      </c>
      <c r="V42" s="109" t="s">
        <v>30</v>
      </c>
      <c r="W42" s="109" t="s">
        <v>173</v>
      </c>
      <c r="X42" s="109" t="s">
        <v>801</v>
      </c>
      <c r="Y42" s="109"/>
      <c r="Z42" s="146">
        <f>+COUNTIF('Eventos-Tareas'!$D$22:$D$1048576,'Eventos de riesgos'!$B42)</f>
        <v>1</v>
      </c>
      <c r="AA42" s="147">
        <f>+'Eventos de riesgos'!$I42-'Eventos de riesgos'!$J42-'Eventos de riesgos'!$K42</f>
        <v>0</v>
      </c>
      <c r="AB42" s="136" t="s">
        <v>1272</v>
      </c>
      <c r="AC42" s="111" t="s">
        <v>1273</v>
      </c>
      <c r="AD42" s="111" t="s">
        <v>1274</v>
      </c>
      <c r="AE42" s="137" t="s">
        <v>1275</v>
      </c>
    </row>
    <row r="43" spans="1:31" s="110" customFormat="1" ht="63.5" customHeight="1" x14ac:dyDescent="0.35">
      <c r="A43" s="112"/>
      <c r="B43" s="126">
        <v>42</v>
      </c>
      <c r="C43" s="127">
        <v>2023</v>
      </c>
      <c r="D43" s="128" t="s">
        <v>408</v>
      </c>
      <c r="E43" s="129">
        <v>45026.375</v>
      </c>
      <c r="F43" s="129">
        <v>45026.375</v>
      </c>
      <c r="G43" s="130">
        <v>45026.375</v>
      </c>
      <c r="H43" s="155" t="s">
        <v>174</v>
      </c>
      <c r="I43" s="131">
        <v>1145000</v>
      </c>
      <c r="J43" s="131">
        <v>116490</v>
      </c>
      <c r="K43" s="132">
        <v>116490</v>
      </c>
      <c r="L43" s="108" t="s">
        <v>175</v>
      </c>
      <c r="M43" s="108" t="s">
        <v>176</v>
      </c>
      <c r="N43" s="108" t="s">
        <v>177</v>
      </c>
      <c r="O43" s="148" t="s">
        <v>26</v>
      </c>
      <c r="P43" s="133">
        <v>45044.729166666664</v>
      </c>
      <c r="Q43" s="108" t="s">
        <v>1108</v>
      </c>
      <c r="R43" s="107" t="s">
        <v>1108</v>
      </c>
      <c r="S43" s="108">
        <v>1010200415</v>
      </c>
      <c r="T43" s="108" t="s">
        <v>98</v>
      </c>
      <c r="U43" s="108" t="s">
        <v>99</v>
      </c>
      <c r="V43" s="108" t="s">
        <v>30</v>
      </c>
      <c r="W43" s="108" t="s">
        <v>178</v>
      </c>
      <c r="X43" s="108" t="s">
        <v>802</v>
      </c>
      <c r="Y43" s="108"/>
      <c r="Z43" s="134">
        <f>+COUNTIF('Eventos-Tareas'!$D$22:$D$1048576,'Eventos de riesgos'!$B43)</f>
        <v>1</v>
      </c>
      <c r="AA43" s="135">
        <f>+'Eventos de riesgos'!$I43-'Eventos de riesgos'!$J43-'Eventos de riesgos'!$K43</f>
        <v>912020</v>
      </c>
      <c r="AB43" s="136" t="s">
        <v>1276</v>
      </c>
      <c r="AC43" s="111" t="s">
        <v>1277</v>
      </c>
      <c r="AD43" s="111" t="s">
        <v>1278</v>
      </c>
      <c r="AE43" s="137" t="s">
        <v>1279</v>
      </c>
    </row>
    <row r="44" spans="1:31" s="110" customFormat="1" ht="63.5" customHeight="1" x14ac:dyDescent="0.35">
      <c r="A44" s="112"/>
      <c r="B44" s="138">
        <v>43</v>
      </c>
      <c r="C44" s="139">
        <v>2023</v>
      </c>
      <c r="D44" s="140" t="s">
        <v>408</v>
      </c>
      <c r="E44" s="141">
        <v>45036.460416666669</v>
      </c>
      <c r="F44" s="141">
        <v>45037.467361111114</v>
      </c>
      <c r="G44" s="142">
        <v>45037.467361111114</v>
      </c>
      <c r="H44" s="156" t="s">
        <v>179</v>
      </c>
      <c r="I44" s="143">
        <v>56000</v>
      </c>
      <c r="J44" s="143">
        <v>0</v>
      </c>
      <c r="K44" s="144">
        <v>0</v>
      </c>
      <c r="L44" s="109" t="s">
        <v>493</v>
      </c>
      <c r="M44" s="109" t="s">
        <v>39</v>
      </c>
      <c r="N44" s="109" t="s">
        <v>108</v>
      </c>
      <c r="O44" s="120" t="s">
        <v>26</v>
      </c>
      <c r="P44" s="145">
        <v>45046.468055555553</v>
      </c>
      <c r="Q44" s="109" t="s">
        <v>1118</v>
      </c>
      <c r="R44" s="107" t="s">
        <v>1111</v>
      </c>
      <c r="S44" s="109">
        <v>53166187</v>
      </c>
      <c r="T44" s="109" t="s">
        <v>156</v>
      </c>
      <c r="U44" s="109" t="s">
        <v>57</v>
      </c>
      <c r="V44" s="109" t="s">
        <v>30</v>
      </c>
      <c r="W44" s="109" t="s">
        <v>180</v>
      </c>
      <c r="X44" s="109" t="s">
        <v>803</v>
      </c>
      <c r="Y44" s="109"/>
      <c r="Z44" s="146">
        <f>+COUNTIF('Eventos-Tareas'!$D$22:$D$1048576,'Eventos de riesgos'!$B44)</f>
        <v>3</v>
      </c>
      <c r="AA44" s="147">
        <f>+'Eventos de riesgos'!$I44-'Eventos de riesgos'!$J44-'Eventos de riesgos'!$K44</f>
        <v>56000</v>
      </c>
      <c r="AB44" s="136" t="s">
        <v>1280</v>
      </c>
      <c r="AC44" s="111" t="s">
        <v>1281</v>
      </c>
      <c r="AD44" s="111" t="s">
        <v>1282</v>
      </c>
      <c r="AE44" s="137" t="s">
        <v>1283</v>
      </c>
    </row>
    <row r="45" spans="1:31" s="110" customFormat="1" ht="63.5" customHeight="1" x14ac:dyDescent="0.35">
      <c r="A45" s="112"/>
      <c r="B45" s="126">
        <v>44</v>
      </c>
      <c r="C45" s="127">
        <v>2023</v>
      </c>
      <c r="D45" s="128" t="s">
        <v>409</v>
      </c>
      <c r="E45" s="129">
        <v>45035.365972222222</v>
      </c>
      <c r="F45" s="129">
        <v>45049.365972222222</v>
      </c>
      <c r="G45" s="130">
        <v>45049.365972222222</v>
      </c>
      <c r="H45" s="155" t="s">
        <v>181</v>
      </c>
      <c r="I45" s="131">
        <v>0</v>
      </c>
      <c r="J45" s="131">
        <v>0</v>
      </c>
      <c r="K45" s="132">
        <v>0</v>
      </c>
      <c r="L45" s="108" t="s">
        <v>141</v>
      </c>
      <c r="M45" s="108" t="s">
        <v>142</v>
      </c>
      <c r="N45" s="108" t="s">
        <v>185</v>
      </c>
      <c r="O45" s="148" t="s">
        <v>26</v>
      </c>
      <c r="P45" s="133">
        <v>45077.728472222225</v>
      </c>
      <c r="Q45" s="108" t="s">
        <v>1108</v>
      </c>
      <c r="R45" s="107" t="s">
        <v>1108</v>
      </c>
      <c r="S45" s="108">
        <v>1016072548</v>
      </c>
      <c r="T45" s="108" t="s">
        <v>131</v>
      </c>
      <c r="U45" s="108" t="s">
        <v>132</v>
      </c>
      <c r="V45" s="108" t="s">
        <v>30</v>
      </c>
      <c r="W45" s="108"/>
      <c r="X45" s="108" t="s">
        <v>804</v>
      </c>
      <c r="Y45" s="108"/>
      <c r="Z45" s="134">
        <f>+COUNTIF('Eventos-Tareas'!$D$22:$D$1048576,'Eventos de riesgos'!$B45)</f>
        <v>2</v>
      </c>
      <c r="AA45" s="135">
        <f>+'Eventos de riesgos'!$I45-'Eventos de riesgos'!$J45-'Eventos de riesgos'!$K45</f>
        <v>0</v>
      </c>
      <c r="AB45" s="136" t="s">
        <v>1284</v>
      </c>
      <c r="AC45" s="111" t="s">
        <v>1285</v>
      </c>
      <c r="AD45" s="111" t="s">
        <v>1286</v>
      </c>
      <c r="AE45" s="137" t="s">
        <v>1287</v>
      </c>
    </row>
    <row r="46" spans="1:31" s="110" customFormat="1" ht="63.5" customHeight="1" x14ac:dyDescent="0.35">
      <c r="A46" s="112"/>
      <c r="B46" s="138">
        <v>45</v>
      </c>
      <c r="C46" s="139">
        <v>2023</v>
      </c>
      <c r="D46" s="140" t="s">
        <v>409</v>
      </c>
      <c r="E46" s="141">
        <v>45072.448611111111</v>
      </c>
      <c r="F46" s="141">
        <v>45075.449305555558</v>
      </c>
      <c r="G46" s="142">
        <v>45072.449305555558</v>
      </c>
      <c r="H46" s="156" t="s">
        <v>182</v>
      </c>
      <c r="I46" s="143">
        <v>0</v>
      </c>
      <c r="J46" s="143">
        <v>0</v>
      </c>
      <c r="K46" s="144">
        <v>0</v>
      </c>
      <c r="L46" s="109" t="s">
        <v>141</v>
      </c>
      <c r="M46" s="109" t="s">
        <v>169</v>
      </c>
      <c r="N46" s="109" t="s">
        <v>170</v>
      </c>
      <c r="O46" s="120" t="s">
        <v>26</v>
      </c>
      <c r="P46" s="145">
        <v>45077.523611111108</v>
      </c>
      <c r="Q46" s="109" t="s">
        <v>1119</v>
      </c>
      <c r="R46" s="107" t="s">
        <v>1110</v>
      </c>
      <c r="S46" s="109">
        <v>1033706838</v>
      </c>
      <c r="T46" s="109" t="s">
        <v>123</v>
      </c>
      <c r="U46" s="109" t="s">
        <v>50</v>
      </c>
      <c r="V46" s="109" t="s">
        <v>30</v>
      </c>
      <c r="W46" s="109" t="s">
        <v>183</v>
      </c>
      <c r="X46" s="109" t="s">
        <v>699</v>
      </c>
      <c r="Y46" s="109"/>
      <c r="Z46" s="146">
        <f>+COUNTIF('Eventos-Tareas'!$D$22:$D$1048576,'Eventos de riesgos'!$B46)</f>
        <v>3</v>
      </c>
      <c r="AA46" s="147">
        <f>+'Eventos de riesgos'!$I46-'Eventos de riesgos'!$J46-'Eventos de riesgos'!$K46</f>
        <v>0</v>
      </c>
      <c r="AB46" s="136" t="s">
        <v>1288</v>
      </c>
      <c r="AC46" s="111" t="s">
        <v>1289</v>
      </c>
      <c r="AD46" s="111" t="s">
        <v>1290</v>
      </c>
      <c r="AE46" s="137" t="s">
        <v>1291</v>
      </c>
    </row>
    <row r="47" spans="1:31" s="110" customFormat="1" ht="63.5" customHeight="1" x14ac:dyDescent="0.35">
      <c r="A47" s="112"/>
      <c r="B47" s="126">
        <v>46</v>
      </c>
      <c r="C47" s="127">
        <v>2023</v>
      </c>
      <c r="D47" s="128" t="s">
        <v>411</v>
      </c>
      <c r="E47" s="129">
        <v>45108.513888888891</v>
      </c>
      <c r="F47" s="129">
        <v>45108.513888888891</v>
      </c>
      <c r="G47" s="130">
        <v>45108.513888888891</v>
      </c>
      <c r="H47" s="155" t="s">
        <v>184</v>
      </c>
      <c r="I47" s="131">
        <v>0</v>
      </c>
      <c r="J47" s="131">
        <v>0</v>
      </c>
      <c r="K47" s="132">
        <v>0</v>
      </c>
      <c r="L47" s="108" t="s">
        <v>141</v>
      </c>
      <c r="M47" s="108" t="s">
        <v>142</v>
      </c>
      <c r="N47" s="108" t="s">
        <v>185</v>
      </c>
      <c r="O47" s="148" t="s">
        <v>26</v>
      </c>
      <c r="P47" s="133">
        <v>45138.512499999997</v>
      </c>
      <c r="Q47" s="108" t="s">
        <v>1108</v>
      </c>
      <c r="R47" s="107" t="s">
        <v>1113</v>
      </c>
      <c r="S47" s="108">
        <v>1033706838</v>
      </c>
      <c r="T47" s="108" t="s">
        <v>49</v>
      </c>
      <c r="U47" s="108" t="s">
        <v>50</v>
      </c>
      <c r="V47" s="108" t="s">
        <v>30</v>
      </c>
      <c r="W47" s="108" t="s">
        <v>186</v>
      </c>
      <c r="X47" s="108" t="s">
        <v>794</v>
      </c>
      <c r="Y47" s="108"/>
      <c r="Z47" s="134">
        <f>+COUNTIF('Eventos-Tareas'!$D$22:$D$1048576,'Eventos de riesgos'!$B47)</f>
        <v>2</v>
      </c>
      <c r="AA47" s="135">
        <f>+'Eventos de riesgos'!$I47-'Eventos de riesgos'!$J47-'Eventos de riesgos'!$K47</f>
        <v>0</v>
      </c>
      <c r="AB47" s="136" t="s">
        <v>1292</v>
      </c>
      <c r="AC47" s="111" t="s">
        <v>1293</v>
      </c>
      <c r="AD47" s="111" t="s">
        <v>1294</v>
      </c>
      <c r="AE47" s="137" t="s">
        <v>1295</v>
      </c>
    </row>
    <row r="48" spans="1:31" s="110" customFormat="1" ht="63.5" customHeight="1" x14ac:dyDescent="0.35">
      <c r="A48" s="112"/>
      <c r="B48" s="138">
        <v>47</v>
      </c>
      <c r="C48" s="139">
        <v>2023</v>
      </c>
      <c r="D48" s="140" t="s">
        <v>414</v>
      </c>
      <c r="E48" s="141">
        <v>45156.676388888889</v>
      </c>
      <c r="F48" s="141">
        <v>45156.676388888889</v>
      </c>
      <c r="G48" s="142">
        <v>45156.676388888889</v>
      </c>
      <c r="H48" s="156" t="s">
        <v>187</v>
      </c>
      <c r="I48" s="143">
        <v>4000000</v>
      </c>
      <c r="J48" s="143">
        <v>2320000</v>
      </c>
      <c r="K48" s="144">
        <v>0</v>
      </c>
      <c r="L48" s="109" t="s">
        <v>175</v>
      </c>
      <c r="M48" s="109" t="s">
        <v>176</v>
      </c>
      <c r="N48" s="109" t="s">
        <v>177</v>
      </c>
      <c r="O48" s="120" t="s">
        <v>26</v>
      </c>
      <c r="P48" s="145">
        <v>45169.684027777781</v>
      </c>
      <c r="Q48" s="109" t="s">
        <v>1108</v>
      </c>
      <c r="R48" s="107" t="s">
        <v>1108</v>
      </c>
      <c r="S48" s="109">
        <v>1033706838</v>
      </c>
      <c r="T48" s="109" t="s">
        <v>49</v>
      </c>
      <c r="U48" s="109" t="s">
        <v>50</v>
      </c>
      <c r="V48" s="109" t="s">
        <v>30</v>
      </c>
      <c r="W48" s="109" t="s">
        <v>188</v>
      </c>
      <c r="X48" s="109" t="s">
        <v>802</v>
      </c>
      <c r="Y48" s="109"/>
      <c r="Z48" s="146">
        <f>+COUNTIF('Eventos-Tareas'!$D$22:$D$1048576,'Eventos de riesgos'!$B48)</f>
        <v>2</v>
      </c>
      <c r="AA48" s="147">
        <f>+'Eventos de riesgos'!$I48-'Eventos de riesgos'!$J48-'Eventos de riesgos'!$K48</f>
        <v>1680000</v>
      </c>
      <c r="AB48" s="136" t="s">
        <v>1296</v>
      </c>
      <c r="AC48" s="111" t="s">
        <v>1297</v>
      </c>
      <c r="AD48" s="111" t="s">
        <v>1298</v>
      </c>
      <c r="AE48" s="137" t="s">
        <v>1299</v>
      </c>
    </row>
    <row r="49" spans="1:31" s="110" customFormat="1" ht="63.5" customHeight="1" x14ac:dyDescent="0.35">
      <c r="A49" s="112"/>
      <c r="B49" s="126">
        <v>48</v>
      </c>
      <c r="C49" s="127">
        <v>2023</v>
      </c>
      <c r="D49" s="128" t="s">
        <v>414</v>
      </c>
      <c r="E49" s="129">
        <v>45157.76458333333</v>
      </c>
      <c r="F49" s="129">
        <v>45161.76458333333</v>
      </c>
      <c r="G49" s="130">
        <v>45161.76458333333</v>
      </c>
      <c r="H49" s="155" t="s">
        <v>189</v>
      </c>
      <c r="I49" s="131">
        <v>0</v>
      </c>
      <c r="J49" s="131">
        <v>0</v>
      </c>
      <c r="K49" s="132">
        <v>0</v>
      </c>
      <c r="L49" s="108" t="s">
        <v>45</v>
      </c>
      <c r="M49" s="108" t="s">
        <v>46</v>
      </c>
      <c r="N49" s="108" t="s">
        <v>60</v>
      </c>
      <c r="O49" s="148" t="s">
        <v>26</v>
      </c>
      <c r="P49" s="133">
        <v>45169.765277777777</v>
      </c>
      <c r="Q49" s="108" t="s">
        <v>27</v>
      </c>
      <c r="R49" s="107" t="s">
        <v>1112</v>
      </c>
      <c r="S49" s="108">
        <v>1033706838</v>
      </c>
      <c r="T49" s="108" t="s">
        <v>49</v>
      </c>
      <c r="U49" s="108" t="s">
        <v>50</v>
      </c>
      <c r="V49" s="108" t="s">
        <v>30</v>
      </c>
      <c r="W49" s="108" t="s">
        <v>190</v>
      </c>
      <c r="X49" s="108" t="s">
        <v>796</v>
      </c>
      <c r="Y49" s="108"/>
      <c r="Z49" s="134">
        <f>+COUNTIF('Eventos-Tareas'!$D$22:$D$1048576,'Eventos de riesgos'!$B49)</f>
        <v>4</v>
      </c>
      <c r="AA49" s="135">
        <f>+'Eventos de riesgos'!$I49-'Eventos de riesgos'!$J49-'Eventos de riesgos'!$K49</f>
        <v>0</v>
      </c>
      <c r="AB49" s="136" t="s">
        <v>1300</v>
      </c>
      <c r="AC49" s="111" t="s">
        <v>1301</v>
      </c>
      <c r="AD49" s="111" t="s">
        <v>1302</v>
      </c>
      <c r="AE49" s="137" t="s">
        <v>1303</v>
      </c>
    </row>
    <row r="50" spans="1:31" s="110" customFormat="1" ht="63.5" customHeight="1" x14ac:dyDescent="0.35">
      <c r="A50" s="112"/>
      <c r="B50" s="138">
        <v>49</v>
      </c>
      <c r="C50" s="139">
        <v>2023</v>
      </c>
      <c r="D50" s="140" t="s">
        <v>413</v>
      </c>
      <c r="E50" s="141">
        <v>45239.746527777781</v>
      </c>
      <c r="F50" s="141">
        <v>45239.746527777781</v>
      </c>
      <c r="G50" s="142">
        <v>45239.746527777781</v>
      </c>
      <c r="H50" s="156" t="s">
        <v>191</v>
      </c>
      <c r="I50" s="143">
        <v>0</v>
      </c>
      <c r="J50" s="143">
        <v>0</v>
      </c>
      <c r="K50" s="144">
        <v>0</v>
      </c>
      <c r="L50" s="109" t="s">
        <v>33</v>
      </c>
      <c r="M50" s="109" t="s">
        <v>34</v>
      </c>
      <c r="N50" s="109" t="s">
        <v>79</v>
      </c>
      <c r="O50" s="120" t="s">
        <v>26</v>
      </c>
      <c r="P50" s="145">
        <v>45260.753472222219</v>
      </c>
      <c r="Q50" s="109" t="s">
        <v>1108</v>
      </c>
      <c r="R50" s="107" t="s">
        <v>1108</v>
      </c>
      <c r="S50" s="109">
        <v>1033706838</v>
      </c>
      <c r="T50" s="109" t="s">
        <v>49</v>
      </c>
      <c r="U50" s="109" t="s">
        <v>50</v>
      </c>
      <c r="V50" s="109" t="s">
        <v>30</v>
      </c>
      <c r="W50" s="109" t="s">
        <v>192</v>
      </c>
      <c r="X50" s="109" t="s">
        <v>805</v>
      </c>
      <c r="Y50" s="109"/>
      <c r="Z50" s="146">
        <f>+COUNTIF('Eventos-Tareas'!$D$22:$D$1048576,'Eventos de riesgos'!$B50)</f>
        <v>2</v>
      </c>
      <c r="AA50" s="147">
        <f>+'Eventos de riesgos'!$I50-'Eventos de riesgos'!$J50-'Eventos de riesgos'!$K50</f>
        <v>0</v>
      </c>
      <c r="AB50" s="136" t="s">
        <v>1304</v>
      </c>
      <c r="AC50" s="111" t="s">
        <v>1305</v>
      </c>
      <c r="AD50" s="111" t="s">
        <v>1306</v>
      </c>
      <c r="AE50" s="137" t="s">
        <v>1307</v>
      </c>
    </row>
    <row r="51" spans="1:31" s="110" customFormat="1" ht="63.5" customHeight="1" x14ac:dyDescent="0.35">
      <c r="A51" s="112"/>
      <c r="B51" s="126">
        <v>50</v>
      </c>
      <c r="C51" s="127">
        <v>2023</v>
      </c>
      <c r="D51" s="128" t="s">
        <v>403</v>
      </c>
      <c r="E51" s="129">
        <v>45267.638194444444</v>
      </c>
      <c r="F51" s="129">
        <v>45272.638194444444</v>
      </c>
      <c r="G51" s="130">
        <v>45267.638194444444</v>
      </c>
      <c r="H51" s="155" t="s">
        <v>193</v>
      </c>
      <c r="I51" s="131">
        <v>0</v>
      </c>
      <c r="J51" s="131">
        <v>0</v>
      </c>
      <c r="K51" s="132">
        <v>0</v>
      </c>
      <c r="L51" s="108" t="s">
        <v>33</v>
      </c>
      <c r="M51" s="108" t="s">
        <v>34</v>
      </c>
      <c r="N51" s="108" t="s">
        <v>79</v>
      </c>
      <c r="O51" s="148" t="s">
        <v>26</v>
      </c>
      <c r="P51" s="133">
        <v>45291.636805555558</v>
      </c>
      <c r="Q51" s="108" t="s">
        <v>162</v>
      </c>
      <c r="R51" s="107" t="s">
        <v>1108</v>
      </c>
      <c r="S51" s="108">
        <v>1018433978</v>
      </c>
      <c r="T51" s="108" t="s">
        <v>194</v>
      </c>
      <c r="U51" s="108" t="s">
        <v>29</v>
      </c>
      <c r="V51" s="108" t="s">
        <v>30</v>
      </c>
      <c r="W51" s="108" t="s">
        <v>614</v>
      </c>
      <c r="X51" s="108" t="s">
        <v>790</v>
      </c>
      <c r="Y51" s="108"/>
      <c r="Z51" s="134">
        <f>+COUNTIF('Eventos-Tareas'!$D$22:$D$1048576,'Eventos de riesgos'!$B51)</f>
        <v>2</v>
      </c>
      <c r="AA51" s="135">
        <f>+'Eventos de riesgos'!$I51-'Eventos de riesgos'!$J51-'Eventos de riesgos'!$K51</f>
        <v>0</v>
      </c>
      <c r="AB51" s="136" t="s">
        <v>1308</v>
      </c>
      <c r="AC51" s="111" t="s">
        <v>1309</v>
      </c>
      <c r="AD51" s="111" t="s">
        <v>1310</v>
      </c>
      <c r="AE51" s="137" t="s">
        <v>1311</v>
      </c>
    </row>
    <row r="52" spans="1:31" s="110" customFormat="1" ht="63.5" customHeight="1" x14ac:dyDescent="0.35">
      <c r="A52" s="112"/>
      <c r="B52" s="138">
        <v>51</v>
      </c>
      <c r="C52" s="139">
        <v>2023</v>
      </c>
      <c r="D52" s="140" t="s">
        <v>403</v>
      </c>
      <c r="E52" s="141">
        <v>45279.510416666664</v>
      </c>
      <c r="F52" s="141">
        <v>45318.510416666664</v>
      </c>
      <c r="G52" s="142">
        <v>45279.511111111111</v>
      </c>
      <c r="H52" s="156" t="s">
        <v>195</v>
      </c>
      <c r="I52" s="143">
        <v>0</v>
      </c>
      <c r="J52" s="143">
        <v>0</v>
      </c>
      <c r="K52" s="144">
        <v>0</v>
      </c>
      <c r="L52" s="109" t="s">
        <v>33</v>
      </c>
      <c r="M52" s="109" t="s">
        <v>34</v>
      </c>
      <c r="N52" s="109" t="s">
        <v>79</v>
      </c>
      <c r="O52" s="120" t="s">
        <v>26</v>
      </c>
      <c r="P52" s="145">
        <v>44957.525694444441</v>
      </c>
      <c r="Q52" s="109" t="s">
        <v>41</v>
      </c>
      <c r="R52" s="107" t="s">
        <v>1114</v>
      </c>
      <c r="S52" s="109">
        <v>53166187</v>
      </c>
      <c r="T52" s="109" t="s">
        <v>56</v>
      </c>
      <c r="U52" s="109" t="s">
        <v>57</v>
      </c>
      <c r="V52" s="109" t="s">
        <v>30</v>
      </c>
      <c r="W52" s="109" t="s">
        <v>196</v>
      </c>
      <c r="X52" s="109" t="s">
        <v>792</v>
      </c>
      <c r="Y52" s="109"/>
      <c r="Z52" s="146">
        <f>+COUNTIF('Eventos-Tareas'!$D$22:$D$1048576,'Eventos de riesgos'!$B52)</f>
        <v>2</v>
      </c>
      <c r="AA52" s="147">
        <f>+'Eventos de riesgos'!$I52-'Eventos de riesgos'!$J52-'Eventos de riesgos'!$K52</f>
        <v>0</v>
      </c>
      <c r="AB52" s="136" t="s">
        <v>1312</v>
      </c>
      <c r="AC52" s="111" t="s">
        <v>1313</v>
      </c>
      <c r="AD52" s="111" t="s">
        <v>1314</v>
      </c>
      <c r="AE52" s="137" t="s">
        <v>1315</v>
      </c>
    </row>
    <row r="53" spans="1:31" s="110" customFormat="1" ht="63.5" customHeight="1" x14ac:dyDescent="0.35">
      <c r="A53" s="112"/>
      <c r="B53" s="126">
        <v>52</v>
      </c>
      <c r="C53" s="127">
        <v>2023</v>
      </c>
      <c r="D53" s="128" t="s">
        <v>403</v>
      </c>
      <c r="E53" s="129">
        <v>45282.582638888889</v>
      </c>
      <c r="F53" s="129">
        <v>45286.582638888889</v>
      </c>
      <c r="G53" s="130">
        <v>45282.582638888889</v>
      </c>
      <c r="H53" s="155" t="s">
        <v>197</v>
      </c>
      <c r="I53" s="131">
        <v>0</v>
      </c>
      <c r="J53" s="131">
        <v>0</v>
      </c>
      <c r="K53" s="132">
        <v>0</v>
      </c>
      <c r="L53" s="108" t="s">
        <v>493</v>
      </c>
      <c r="M53" s="108" t="s">
        <v>198</v>
      </c>
      <c r="N53" s="108" t="s">
        <v>199</v>
      </c>
      <c r="O53" s="148" t="s">
        <v>26</v>
      </c>
      <c r="P53" s="133">
        <v>45291.582638888889</v>
      </c>
      <c r="Q53" s="108" t="s">
        <v>1108</v>
      </c>
      <c r="R53" s="107" t="s">
        <v>1108</v>
      </c>
      <c r="S53" s="108">
        <v>72179606</v>
      </c>
      <c r="T53" s="108" t="s">
        <v>200</v>
      </c>
      <c r="U53" s="108" t="s">
        <v>105</v>
      </c>
      <c r="V53" s="108" t="s">
        <v>30</v>
      </c>
      <c r="W53" s="108" t="s">
        <v>201</v>
      </c>
      <c r="X53" s="108" t="s">
        <v>806</v>
      </c>
      <c r="Y53" s="108"/>
      <c r="Z53" s="134">
        <f>+COUNTIF('Eventos-Tareas'!$D$22:$D$1048576,'Eventos de riesgos'!$B53)</f>
        <v>2</v>
      </c>
      <c r="AA53" s="135">
        <f>+'Eventos de riesgos'!$I53-'Eventos de riesgos'!$J53-'Eventos de riesgos'!$K53</f>
        <v>0</v>
      </c>
      <c r="AB53" s="136" t="s">
        <v>1316</v>
      </c>
      <c r="AC53" s="111" t="s">
        <v>1317</v>
      </c>
      <c r="AD53" s="111" t="s">
        <v>1318</v>
      </c>
      <c r="AE53" s="137" t="s">
        <v>1319</v>
      </c>
    </row>
    <row r="54" spans="1:31" s="110" customFormat="1" ht="63.5" customHeight="1" x14ac:dyDescent="0.35">
      <c r="A54" s="112"/>
      <c r="B54" s="138">
        <v>53</v>
      </c>
      <c r="C54" s="139">
        <v>2024</v>
      </c>
      <c r="D54" s="140" t="s">
        <v>406</v>
      </c>
      <c r="E54" s="141">
        <v>45331.989583333336</v>
      </c>
      <c r="F54" s="141">
        <v>45331.989583333336</v>
      </c>
      <c r="G54" s="142">
        <v>45331.989583333336</v>
      </c>
      <c r="H54" s="156" t="s">
        <v>417</v>
      </c>
      <c r="I54" s="143">
        <v>0</v>
      </c>
      <c r="J54" s="143">
        <v>0</v>
      </c>
      <c r="K54" s="144">
        <v>0</v>
      </c>
      <c r="L54" s="109" t="s">
        <v>493</v>
      </c>
      <c r="M54" s="109" t="s">
        <v>24</v>
      </c>
      <c r="N54" s="109" t="s">
        <v>25</v>
      </c>
      <c r="O54" s="120" t="s">
        <v>26</v>
      </c>
      <c r="P54" s="145">
        <v>45351.002083333333</v>
      </c>
      <c r="Q54" s="109" t="s">
        <v>1108</v>
      </c>
      <c r="R54" s="107" t="s">
        <v>1108</v>
      </c>
      <c r="S54" s="109">
        <v>1033706838</v>
      </c>
      <c r="T54" s="109" t="s">
        <v>49</v>
      </c>
      <c r="U54" s="109" t="s">
        <v>50</v>
      </c>
      <c r="V54" s="109" t="s">
        <v>30</v>
      </c>
      <c r="W54" s="109" t="s">
        <v>418</v>
      </c>
      <c r="X54" s="109" t="s">
        <v>807</v>
      </c>
      <c r="Y54" s="109"/>
      <c r="Z54" s="146">
        <f>+COUNTIF('Eventos-Tareas'!$D$22:$D$1048576,'Eventos de riesgos'!$B54)</f>
        <v>2</v>
      </c>
      <c r="AA54" s="147">
        <f>+'Eventos de riesgos'!$I54-'Eventos de riesgos'!$J54-'Eventos de riesgos'!$K54</f>
        <v>0</v>
      </c>
      <c r="AB54" s="136" t="s">
        <v>1320</v>
      </c>
      <c r="AC54" s="111" t="s">
        <v>1321</v>
      </c>
      <c r="AD54" s="111" t="s">
        <v>1322</v>
      </c>
      <c r="AE54" s="137" t="s">
        <v>1323</v>
      </c>
    </row>
    <row r="55" spans="1:31" s="110" customFormat="1" ht="63.5" customHeight="1" x14ac:dyDescent="0.35">
      <c r="A55" s="112"/>
      <c r="B55" s="126">
        <v>54</v>
      </c>
      <c r="C55" s="127">
        <v>2024</v>
      </c>
      <c r="D55" s="128" t="s">
        <v>406</v>
      </c>
      <c r="E55" s="129">
        <v>45323.651388888888</v>
      </c>
      <c r="F55" s="129">
        <v>45360.65347222222</v>
      </c>
      <c r="G55" s="130">
        <v>45334.652083333334</v>
      </c>
      <c r="H55" s="155" t="s">
        <v>428</v>
      </c>
      <c r="I55" s="131">
        <v>0</v>
      </c>
      <c r="J55" s="131">
        <v>0</v>
      </c>
      <c r="K55" s="132">
        <v>0</v>
      </c>
      <c r="L55" s="108" t="s">
        <v>141</v>
      </c>
      <c r="M55" s="108" t="s">
        <v>430</v>
      </c>
      <c r="N55" s="108" t="s">
        <v>431</v>
      </c>
      <c r="O55" s="148" t="s">
        <v>26</v>
      </c>
      <c r="P55" s="133">
        <v>45351.693055555559</v>
      </c>
      <c r="Q55" s="108" t="s">
        <v>1118</v>
      </c>
      <c r="R55" s="107" t="s">
        <v>1108</v>
      </c>
      <c r="S55" s="108">
        <v>1136886706</v>
      </c>
      <c r="T55" s="108" t="s">
        <v>426</v>
      </c>
      <c r="U55" s="108" t="s">
        <v>427</v>
      </c>
      <c r="V55" s="108" t="s">
        <v>30</v>
      </c>
      <c r="W55" s="108" t="s">
        <v>429</v>
      </c>
      <c r="X55" s="108" t="s">
        <v>808</v>
      </c>
      <c r="Y55" s="108"/>
      <c r="Z55" s="134">
        <f>+COUNTIF('Eventos-Tareas'!$D$22:$D$1048576,'Eventos de riesgos'!$B55)</f>
        <v>3</v>
      </c>
      <c r="AA55" s="135">
        <f>+'Eventos de riesgos'!$I55-'Eventos de riesgos'!$J55-'Eventos de riesgos'!$K55</f>
        <v>0</v>
      </c>
      <c r="AB55" s="136" t="s">
        <v>1324</v>
      </c>
      <c r="AC55" s="111" t="s">
        <v>1325</v>
      </c>
      <c r="AD55" s="111" t="s">
        <v>1326</v>
      </c>
      <c r="AE55" s="137" t="s">
        <v>1327</v>
      </c>
    </row>
    <row r="56" spans="1:31" s="110" customFormat="1" ht="63.5" customHeight="1" x14ac:dyDescent="0.35">
      <c r="A56" s="112"/>
      <c r="B56" s="138">
        <v>55</v>
      </c>
      <c r="C56" s="139">
        <v>2024</v>
      </c>
      <c r="D56" s="140" t="s">
        <v>407</v>
      </c>
      <c r="E56" s="141">
        <v>45359.447916666664</v>
      </c>
      <c r="F56" s="141">
        <v>45359.447916666664</v>
      </c>
      <c r="G56" s="142">
        <v>45369.447916666664</v>
      </c>
      <c r="H56" s="156" t="s">
        <v>449</v>
      </c>
      <c r="I56" s="143">
        <v>0</v>
      </c>
      <c r="J56" s="143">
        <v>0</v>
      </c>
      <c r="K56" s="144">
        <v>0</v>
      </c>
      <c r="L56" s="109" t="s">
        <v>72</v>
      </c>
      <c r="M56" s="109" t="s">
        <v>435</v>
      </c>
      <c r="N56" s="109" t="s">
        <v>436</v>
      </c>
      <c r="O56" s="120" t="s">
        <v>26</v>
      </c>
      <c r="P56" s="145">
        <v>45382.449305555558</v>
      </c>
      <c r="Q56" s="109" t="s">
        <v>1108</v>
      </c>
      <c r="R56" s="107" t="s">
        <v>1110</v>
      </c>
      <c r="S56" s="109">
        <v>1033706838</v>
      </c>
      <c r="T56" s="109" t="s">
        <v>437</v>
      </c>
      <c r="U56" s="109" t="s">
        <v>50</v>
      </c>
      <c r="V56" s="109" t="s">
        <v>30</v>
      </c>
      <c r="W56" s="109" t="s">
        <v>438</v>
      </c>
      <c r="X56" s="109" t="s">
        <v>809</v>
      </c>
      <c r="Y56" s="109" t="s">
        <v>631</v>
      </c>
      <c r="Z56" s="146">
        <f>+COUNTIF('Eventos-Tareas'!$D$22:$D$1048576,'Eventos de riesgos'!$B56)</f>
        <v>2</v>
      </c>
      <c r="AA56" s="147">
        <f>+'Eventos de riesgos'!$I56-'Eventos de riesgos'!$J56-'Eventos de riesgos'!$K56</f>
        <v>0</v>
      </c>
      <c r="AB56" s="136" t="s">
        <v>1328</v>
      </c>
      <c r="AC56" s="111" t="s">
        <v>1329</v>
      </c>
      <c r="AD56" s="111" t="s">
        <v>1330</v>
      </c>
      <c r="AE56" s="137" t="s">
        <v>1331</v>
      </c>
    </row>
    <row r="57" spans="1:31" s="110" customFormat="1" ht="63.5" customHeight="1" x14ac:dyDescent="0.35">
      <c r="A57" s="112"/>
      <c r="B57" s="126">
        <v>56</v>
      </c>
      <c r="C57" s="127">
        <v>2024</v>
      </c>
      <c r="D57" s="128" t="s">
        <v>408</v>
      </c>
      <c r="E57" s="129">
        <v>45383.20416666667</v>
      </c>
      <c r="F57" s="129">
        <v>45383.20416666667</v>
      </c>
      <c r="G57" s="130">
        <v>45412.20416666667</v>
      </c>
      <c r="H57" s="155" t="s">
        <v>492</v>
      </c>
      <c r="I57" s="131">
        <v>0</v>
      </c>
      <c r="J57" s="131">
        <v>0</v>
      </c>
      <c r="K57" s="132">
        <v>0</v>
      </c>
      <c r="L57" s="108" t="s">
        <v>493</v>
      </c>
      <c r="M57" s="108" t="s">
        <v>39</v>
      </c>
      <c r="N57" s="108" t="s">
        <v>94</v>
      </c>
      <c r="O57" s="148" t="s">
        <v>26</v>
      </c>
      <c r="P57" s="133">
        <v>45382.202777777777</v>
      </c>
      <c r="Q57" s="108" t="s">
        <v>1108</v>
      </c>
      <c r="R57" s="107" t="s">
        <v>1108</v>
      </c>
      <c r="S57" s="108">
        <v>1033706838</v>
      </c>
      <c r="T57" s="108" t="s">
        <v>437</v>
      </c>
      <c r="U57" s="108" t="s">
        <v>50</v>
      </c>
      <c r="V57" s="108" t="s">
        <v>30</v>
      </c>
      <c r="W57" s="108" t="s">
        <v>439</v>
      </c>
      <c r="X57" s="108" t="s">
        <v>810</v>
      </c>
      <c r="Y57" s="108"/>
      <c r="Z57" s="134">
        <f>+COUNTIF('Eventos-Tareas'!$D$22:$D$1048576,'Eventos de riesgos'!$B57)</f>
        <v>2</v>
      </c>
      <c r="AA57" s="135">
        <f>+'Eventos de riesgos'!$I57-'Eventos de riesgos'!$J57-'Eventos de riesgos'!$K57</f>
        <v>0</v>
      </c>
      <c r="AB57" s="136" t="s">
        <v>1332</v>
      </c>
      <c r="AC57" s="111" t="s">
        <v>1333</v>
      </c>
      <c r="AD57" s="111" t="s">
        <v>1334</v>
      </c>
      <c r="AE57" s="137" t="s">
        <v>1335</v>
      </c>
    </row>
    <row r="58" spans="1:31" s="110" customFormat="1" ht="63.5" customHeight="1" x14ac:dyDescent="0.35">
      <c r="A58" s="112"/>
      <c r="B58" s="138">
        <v>57</v>
      </c>
      <c r="C58" s="139">
        <v>2024</v>
      </c>
      <c r="D58" s="140" t="s">
        <v>409</v>
      </c>
      <c r="E58" s="141">
        <v>45382.590277777781</v>
      </c>
      <c r="F58" s="141">
        <v>45429.589583333334</v>
      </c>
      <c r="G58" s="142">
        <v>45422.589583333334</v>
      </c>
      <c r="H58" s="156" t="s">
        <v>452</v>
      </c>
      <c r="I58" s="143">
        <v>0</v>
      </c>
      <c r="J58" s="143">
        <v>0</v>
      </c>
      <c r="K58" s="144">
        <v>0</v>
      </c>
      <c r="L58" s="109" t="s">
        <v>72</v>
      </c>
      <c r="M58" s="109" t="s">
        <v>435</v>
      </c>
      <c r="N58" s="109" t="s">
        <v>436</v>
      </c>
      <c r="O58" s="120" t="s">
        <v>26</v>
      </c>
      <c r="P58" s="145">
        <v>45427.604166666664</v>
      </c>
      <c r="Q58" s="109" t="s">
        <v>66</v>
      </c>
      <c r="R58" s="107" t="s">
        <v>1108</v>
      </c>
      <c r="S58" s="109">
        <v>1136886706</v>
      </c>
      <c r="T58" s="109" t="s">
        <v>450</v>
      </c>
      <c r="U58" s="109" t="s">
        <v>427</v>
      </c>
      <c r="V58" s="109" t="s">
        <v>30</v>
      </c>
      <c r="W58" s="109" t="s">
        <v>451</v>
      </c>
      <c r="X58" s="109" t="s">
        <v>811</v>
      </c>
      <c r="Y58" s="109" t="s">
        <v>631</v>
      </c>
      <c r="Z58" s="146">
        <f>+COUNTIF('Eventos-Tareas'!$D$22:$D$1048576,'Eventos de riesgos'!$B58)</f>
        <v>2</v>
      </c>
      <c r="AA58" s="147">
        <f>+'Eventos de riesgos'!$I58-'Eventos de riesgos'!$J58-'Eventos de riesgos'!$K58</f>
        <v>0</v>
      </c>
      <c r="AB58" s="136" t="s">
        <v>1336</v>
      </c>
      <c r="AC58" s="111" t="s">
        <v>1337</v>
      </c>
      <c r="AD58" s="111" t="s">
        <v>1338</v>
      </c>
      <c r="AE58" s="137" t="s">
        <v>1339</v>
      </c>
    </row>
    <row r="59" spans="1:31" s="110" customFormat="1" ht="63.5" customHeight="1" x14ac:dyDescent="0.35">
      <c r="A59" s="112"/>
      <c r="B59" s="126">
        <v>58</v>
      </c>
      <c r="C59" s="127">
        <v>2024</v>
      </c>
      <c r="D59" s="128" t="s">
        <v>409</v>
      </c>
      <c r="E59" s="129">
        <v>45442.568055555559</v>
      </c>
      <c r="F59" s="129">
        <v>45447.568749999999</v>
      </c>
      <c r="G59" s="130">
        <v>45447.568749999999</v>
      </c>
      <c r="H59" s="155" t="s">
        <v>594</v>
      </c>
      <c r="I59" s="131">
        <v>29100000</v>
      </c>
      <c r="J59" s="131">
        <v>0</v>
      </c>
      <c r="K59" s="132">
        <v>0</v>
      </c>
      <c r="L59" s="108" t="s">
        <v>45</v>
      </c>
      <c r="M59" s="108" t="s">
        <v>46</v>
      </c>
      <c r="N59" s="108" t="s">
        <v>60</v>
      </c>
      <c r="O59" s="148" t="s">
        <v>26</v>
      </c>
      <c r="P59" s="133">
        <v>45473.622916666667</v>
      </c>
      <c r="Q59" s="108" t="s">
        <v>27</v>
      </c>
      <c r="R59" s="107" t="s">
        <v>1112</v>
      </c>
      <c r="S59" s="108">
        <v>1033706838</v>
      </c>
      <c r="T59" s="108" t="s">
        <v>49</v>
      </c>
      <c r="U59" s="108" t="s">
        <v>50</v>
      </c>
      <c r="V59" s="108" t="s">
        <v>30</v>
      </c>
      <c r="W59" s="108" t="s">
        <v>453</v>
      </c>
      <c r="X59" s="108" t="s">
        <v>796</v>
      </c>
      <c r="Y59" s="108" t="s">
        <v>630</v>
      </c>
      <c r="Z59" s="134">
        <f>+COUNTIF('Eventos-Tareas'!$D$22:$D$1048576,'Eventos de riesgos'!$B59)</f>
        <v>18</v>
      </c>
      <c r="AA59" s="135">
        <f>+'Eventos de riesgos'!$I59-'Eventos de riesgos'!$J59-'Eventos de riesgos'!$K59</f>
        <v>29100000</v>
      </c>
      <c r="AB59" s="136" t="s">
        <v>1340</v>
      </c>
      <c r="AC59" s="111" t="s">
        <v>1341</v>
      </c>
      <c r="AD59" s="111" t="s">
        <v>1342</v>
      </c>
      <c r="AE59" s="137" t="s">
        <v>1343</v>
      </c>
    </row>
    <row r="60" spans="1:31" s="110" customFormat="1" ht="63.5" customHeight="1" x14ac:dyDescent="0.35">
      <c r="A60" s="112"/>
      <c r="B60" s="138">
        <v>59</v>
      </c>
      <c r="C60" s="139">
        <v>2024</v>
      </c>
      <c r="D60" s="140" t="s">
        <v>410</v>
      </c>
      <c r="E60" s="141">
        <v>45461.702777777777</v>
      </c>
      <c r="F60" s="141">
        <v>45462.702777777777</v>
      </c>
      <c r="G60" s="142">
        <v>45462.702777777777</v>
      </c>
      <c r="H60" s="156" t="s">
        <v>595</v>
      </c>
      <c r="I60" s="143">
        <v>300000</v>
      </c>
      <c r="J60" s="143">
        <v>0</v>
      </c>
      <c r="K60" s="144">
        <v>0</v>
      </c>
      <c r="L60" s="109" t="s">
        <v>45</v>
      </c>
      <c r="M60" s="109" t="s">
        <v>46</v>
      </c>
      <c r="N60" s="109" t="s">
        <v>60</v>
      </c>
      <c r="O60" s="120" t="s">
        <v>26</v>
      </c>
      <c r="P60" s="145">
        <v>45473.7</v>
      </c>
      <c r="Q60" s="109" t="s">
        <v>27</v>
      </c>
      <c r="R60" s="107" t="s">
        <v>1112</v>
      </c>
      <c r="S60" s="109">
        <v>1018433978</v>
      </c>
      <c r="T60" s="109" t="s">
        <v>194</v>
      </c>
      <c r="U60" s="109" t="s">
        <v>29</v>
      </c>
      <c r="V60" s="109" t="s">
        <v>30</v>
      </c>
      <c r="W60" s="109" t="s">
        <v>596</v>
      </c>
      <c r="X60" s="109" t="s">
        <v>796</v>
      </c>
      <c r="Y60" s="109" t="s">
        <v>629</v>
      </c>
      <c r="Z60" s="146">
        <f>+COUNTIF('Eventos-Tareas'!$D$22:$D$1048576,'Eventos de riesgos'!$B60)</f>
        <v>3</v>
      </c>
      <c r="AA60" s="147">
        <f>+'Eventos de riesgos'!$I60-'Eventos de riesgos'!$J60-'Eventos de riesgos'!$K60</f>
        <v>300000</v>
      </c>
      <c r="AB60" s="136" t="s">
        <v>1344</v>
      </c>
      <c r="AC60" s="111" t="s">
        <v>1345</v>
      </c>
      <c r="AD60" s="111" t="s">
        <v>1346</v>
      </c>
      <c r="AE60" s="137" t="s">
        <v>1347</v>
      </c>
    </row>
    <row r="61" spans="1:31" s="110" customFormat="1" ht="63.5" customHeight="1" x14ac:dyDescent="0.35">
      <c r="A61" s="112"/>
      <c r="B61" s="126">
        <v>60</v>
      </c>
      <c r="C61" s="127">
        <v>2024</v>
      </c>
      <c r="D61" s="128" t="s">
        <v>411</v>
      </c>
      <c r="E61" s="129">
        <v>45504.48333333333</v>
      </c>
      <c r="F61" s="129">
        <v>45506.48333333333</v>
      </c>
      <c r="G61" s="130">
        <v>45506.484027777777</v>
      </c>
      <c r="H61" s="155" t="s">
        <v>497</v>
      </c>
      <c r="I61" s="131">
        <v>0</v>
      </c>
      <c r="J61" s="131">
        <v>0</v>
      </c>
      <c r="K61" s="132">
        <v>0</v>
      </c>
      <c r="L61" s="108" t="s">
        <v>493</v>
      </c>
      <c r="M61" s="108" t="s">
        <v>39</v>
      </c>
      <c r="N61" s="108" t="s">
        <v>65</v>
      </c>
      <c r="O61" s="148" t="s">
        <v>26</v>
      </c>
      <c r="P61" s="133">
        <v>45504.510416666664</v>
      </c>
      <c r="Q61" s="108" t="s">
        <v>1120</v>
      </c>
      <c r="R61" s="107" t="s">
        <v>1108</v>
      </c>
      <c r="S61" s="108">
        <v>1033706838</v>
      </c>
      <c r="T61" s="108" t="s">
        <v>49</v>
      </c>
      <c r="U61" s="108" t="s">
        <v>50</v>
      </c>
      <c r="V61" s="108" t="s">
        <v>30</v>
      </c>
      <c r="W61" s="108" t="s">
        <v>498</v>
      </c>
      <c r="X61" s="108" t="s">
        <v>812</v>
      </c>
      <c r="Y61" s="108"/>
      <c r="Z61" s="134">
        <f>+COUNTIF('Eventos-Tareas'!$D$22:$D$1048576,'Eventos de riesgos'!$B61)</f>
        <v>3</v>
      </c>
      <c r="AA61" s="135">
        <f>+'Eventos de riesgos'!$I61-'Eventos de riesgos'!$J61-'Eventos de riesgos'!$K61</f>
        <v>0</v>
      </c>
      <c r="AB61" s="136" t="s">
        <v>1348</v>
      </c>
      <c r="AC61" s="111" t="s">
        <v>1349</v>
      </c>
      <c r="AD61" s="111" t="s">
        <v>1350</v>
      </c>
      <c r="AE61" s="137" t="s">
        <v>1351</v>
      </c>
    </row>
    <row r="62" spans="1:31" s="110" customFormat="1" ht="63.5" customHeight="1" x14ac:dyDescent="0.35">
      <c r="A62" s="112"/>
      <c r="B62" s="138">
        <v>61</v>
      </c>
      <c r="C62" s="139">
        <v>2024</v>
      </c>
      <c r="D62" s="140" t="s">
        <v>411</v>
      </c>
      <c r="E62" s="141">
        <v>45482.557638888888</v>
      </c>
      <c r="F62" s="141">
        <v>45512.558333333334</v>
      </c>
      <c r="G62" s="142">
        <v>45524.558333333334</v>
      </c>
      <c r="H62" s="156" t="s">
        <v>499</v>
      </c>
      <c r="I62" s="143">
        <v>7568355</v>
      </c>
      <c r="J62" s="143">
        <v>7412237</v>
      </c>
      <c r="K62" s="144">
        <v>0</v>
      </c>
      <c r="L62" s="109" t="s">
        <v>33</v>
      </c>
      <c r="M62" s="109" t="s">
        <v>34</v>
      </c>
      <c r="N62" s="109" t="s">
        <v>79</v>
      </c>
      <c r="O62" s="120" t="s">
        <v>26</v>
      </c>
      <c r="P62" s="145">
        <v>45535.563194444447</v>
      </c>
      <c r="Q62" s="109" t="s">
        <v>87</v>
      </c>
      <c r="R62" s="107" t="s">
        <v>1108</v>
      </c>
      <c r="S62" s="109">
        <v>1033706838</v>
      </c>
      <c r="T62" s="109" t="s">
        <v>49</v>
      </c>
      <c r="U62" s="109" t="s">
        <v>50</v>
      </c>
      <c r="V62" s="109" t="s">
        <v>30</v>
      </c>
      <c r="W62" s="109" t="s">
        <v>500</v>
      </c>
      <c r="X62" s="109" t="s">
        <v>520</v>
      </c>
      <c r="Y62" s="109" t="s">
        <v>628</v>
      </c>
      <c r="Z62" s="146">
        <f>+COUNTIF('Eventos-Tareas'!$D$22:$D$1048576,'Eventos de riesgos'!$B62)</f>
        <v>5</v>
      </c>
      <c r="AA62" s="147">
        <f>+'Eventos de riesgos'!$I62-'Eventos de riesgos'!$J62-'Eventos de riesgos'!$K62</f>
        <v>156118</v>
      </c>
      <c r="AB62" s="136" t="s">
        <v>1352</v>
      </c>
      <c r="AC62" s="111" t="s">
        <v>1353</v>
      </c>
      <c r="AD62" s="111" t="s">
        <v>1354</v>
      </c>
      <c r="AE62" s="137" t="s">
        <v>1355</v>
      </c>
    </row>
    <row r="63" spans="1:31" s="110" customFormat="1" ht="63.5" customHeight="1" x14ac:dyDescent="0.35">
      <c r="A63" s="112"/>
      <c r="B63" s="126">
        <v>62</v>
      </c>
      <c r="C63" s="127">
        <v>2024</v>
      </c>
      <c r="D63" s="128" t="s">
        <v>414</v>
      </c>
      <c r="E63" s="129">
        <v>45513.577777777777</v>
      </c>
      <c r="F63" s="129">
        <v>45535.577777777777</v>
      </c>
      <c r="G63" s="130">
        <v>45513.577777777777</v>
      </c>
      <c r="H63" s="155" t="s">
        <v>501</v>
      </c>
      <c r="I63" s="131">
        <v>0</v>
      </c>
      <c r="J63" s="131">
        <v>0</v>
      </c>
      <c r="K63" s="132">
        <v>0</v>
      </c>
      <c r="L63" s="108" t="s">
        <v>493</v>
      </c>
      <c r="M63" s="108" t="s">
        <v>39</v>
      </c>
      <c r="N63" s="108" t="s">
        <v>82</v>
      </c>
      <c r="O63" s="148" t="s">
        <v>26</v>
      </c>
      <c r="P63" s="133">
        <v>45535.576388888891</v>
      </c>
      <c r="Q63" s="108" t="s">
        <v>66</v>
      </c>
      <c r="R63" s="107" t="s">
        <v>88</v>
      </c>
      <c r="S63" s="108">
        <v>1033706838</v>
      </c>
      <c r="T63" s="108" t="s">
        <v>49</v>
      </c>
      <c r="U63" s="108" t="s">
        <v>50</v>
      </c>
      <c r="V63" s="108" t="s">
        <v>30</v>
      </c>
      <c r="W63" s="108" t="s">
        <v>502</v>
      </c>
      <c r="X63" s="108" t="s">
        <v>603</v>
      </c>
      <c r="Y63" s="108"/>
      <c r="Z63" s="134">
        <f>+COUNTIF('Eventos-Tareas'!$D$22:$D$1048576,'Eventos de riesgos'!$B63)</f>
        <v>2</v>
      </c>
      <c r="AA63" s="135">
        <f>+'Eventos de riesgos'!$I63-'Eventos de riesgos'!$J63-'Eventos de riesgos'!$K63</f>
        <v>0</v>
      </c>
      <c r="AB63" s="136" t="s">
        <v>1356</v>
      </c>
      <c r="AC63" s="111" t="s">
        <v>1357</v>
      </c>
      <c r="AD63" s="111" t="s">
        <v>1358</v>
      </c>
      <c r="AE63" s="137" t="s">
        <v>1359</v>
      </c>
    </row>
    <row r="64" spans="1:31" s="110" customFormat="1" ht="63.5" customHeight="1" x14ac:dyDescent="0.35">
      <c r="A64" s="112"/>
      <c r="B64" s="138">
        <v>63</v>
      </c>
      <c r="C64" s="139">
        <v>2024</v>
      </c>
      <c r="D64" s="140" t="s">
        <v>414</v>
      </c>
      <c r="E64" s="141">
        <v>45526.581250000003</v>
      </c>
      <c r="F64" s="141">
        <v>45527.581944444442</v>
      </c>
      <c r="G64" s="142">
        <v>45527.581944444442</v>
      </c>
      <c r="H64" s="156" t="s">
        <v>597</v>
      </c>
      <c r="I64" s="143">
        <v>0</v>
      </c>
      <c r="J64" s="143">
        <v>0</v>
      </c>
      <c r="K64" s="144">
        <v>0</v>
      </c>
      <c r="L64" s="109" t="s">
        <v>493</v>
      </c>
      <c r="M64" s="109" t="s">
        <v>39</v>
      </c>
      <c r="N64" s="109" t="s">
        <v>113</v>
      </c>
      <c r="O64" s="120" t="s">
        <v>26</v>
      </c>
      <c r="P64" s="145">
        <v>45535.581944444442</v>
      </c>
      <c r="Q64" s="109" t="s">
        <v>41</v>
      </c>
      <c r="R64" s="107" t="s">
        <v>1108</v>
      </c>
      <c r="S64" s="109">
        <v>1033706838</v>
      </c>
      <c r="T64" s="109" t="s">
        <v>49</v>
      </c>
      <c r="U64" s="109" t="s">
        <v>50</v>
      </c>
      <c r="V64" s="109" t="s">
        <v>30</v>
      </c>
      <c r="W64" s="109" t="s">
        <v>598</v>
      </c>
      <c r="X64" s="109" t="s">
        <v>604</v>
      </c>
      <c r="Y64" s="109" t="s">
        <v>626</v>
      </c>
      <c r="Z64" s="146">
        <f>+COUNTIF('Eventos-Tareas'!$D$22:$D$1048576,'Eventos de riesgos'!$B64)</f>
        <v>3</v>
      </c>
      <c r="AA64" s="147">
        <f>+'Eventos de riesgos'!$I64-'Eventos de riesgos'!$J64-'Eventos de riesgos'!$K64</f>
        <v>0</v>
      </c>
      <c r="AB64" s="136" t="s">
        <v>1360</v>
      </c>
      <c r="AC64" s="111" t="s">
        <v>1361</v>
      </c>
      <c r="AD64" s="111" t="s">
        <v>1362</v>
      </c>
      <c r="AE64" s="137" t="s">
        <v>1363</v>
      </c>
    </row>
    <row r="65" spans="1:31" s="110" customFormat="1" ht="63.5" customHeight="1" x14ac:dyDescent="0.35">
      <c r="A65" s="112"/>
      <c r="B65" s="126">
        <v>64</v>
      </c>
      <c r="C65" s="127">
        <v>2024</v>
      </c>
      <c r="D65" s="128" t="s">
        <v>412</v>
      </c>
      <c r="E65" s="129">
        <v>45516.40902777778</v>
      </c>
      <c r="F65" s="129">
        <v>45516.409722222219</v>
      </c>
      <c r="G65" s="130">
        <v>45518.409722222219</v>
      </c>
      <c r="H65" s="155" t="s">
        <v>599</v>
      </c>
      <c r="I65" s="131">
        <v>104402</v>
      </c>
      <c r="J65" s="131">
        <v>0</v>
      </c>
      <c r="K65" s="132">
        <v>0</v>
      </c>
      <c r="L65" s="108" t="s">
        <v>493</v>
      </c>
      <c r="M65" s="108" t="s">
        <v>39</v>
      </c>
      <c r="N65" s="108" t="s">
        <v>113</v>
      </c>
      <c r="O65" s="148" t="s">
        <v>26</v>
      </c>
      <c r="P65" s="133">
        <v>45535.55</v>
      </c>
      <c r="Q65" s="108" t="s">
        <v>1118</v>
      </c>
      <c r="R65" s="107" t="s">
        <v>1108</v>
      </c>
      <c r="S65" s="108">
        <v>1016071699</v>
      </c>
      <c r="T65" s="108" t="s">
        <v>521</v>
      </c>
      <c r="U65" s="108" t="s">
        <v>522</v>
      </c>
      <c r="V65" s="108" t="s">
        <v>30</v>
      </c>
      <c r="W65" s="108" t="s">
        <v>600</v>
      </c>
      <c r="X65" s="108" t="s">
        <v>526</v>
      </c>
      <c r="Y65" s="108" t="s">
        <v>625</v>
      </c>
      <c r="Z65" s="134">
        <f>+COUNTIF('Eventos-Tareas'!$D$22:$D$1048576,'Eventos de riesgos'!$B65)</f>
        <v>5</v>
      </c>
      <c r="AA65" s="135">
        <f>+'Eventos de riesgos'!$I65-'Eventos de riesgos'!$J65-'Eventos de riesgos'!$K65</f>
        <v>104402</v>
      </c>
      <c r="AB65" s="136" t="s">
        <v>1364</v>
      </c>
      <c r="AC65" s="111" t="s">
        <v>1365</v>
      </c>
      <c r="AD65" s="111" t="s">
        <v>1366</v>
      </c>
      <c r="AE65" s="137" t="s">
        <v>1367</v>
      </c>
    </row>
    <row r="66" spans="1:31" s="110" customFormat="1" ht="63.5" customHeight="1" x14ac:dyDescent="0.35">
      <c r="A66" s="112"/>
      <c r="B66" s="138">
        <v>65</v>
      </c>
      <c r="C66" s="139">
        <v>2024</v>
      </c>
      <c r="D66" s="140" t="s">
        <v>412</v>
      </c>
      <c r="E66" s="141">
        <v>45548.416666666664</v>
      </c>
      <c r="F66" s="141">
        <v>45566.646527777775</v>
      </c>
      <c r="G66" s="142">
        <v>45548.416666666664</v>
      </c>
      <c r="H66" s="156" t="s">
        <v>523</v>
      </c>
      <c r="I66" s="143">
        <v>0</v>
      </c>
      <c r="J66" s="143">
        <v>0</v>
      </c>
      <c r="K66" s="144">
        <v>0</v>
      </c>
      <c r="L66" s="109" t="s">
        <v>141</v>
      </c>
      <c r="M66" s="109" t="s">
        <v>169</v>
      </c>
      <c r="N66" s="109" t="s">
        <v>170</v>
      </c>
      <c r="O66" s="120" t="s">
        <v>26</v>
      </c>
      <c r="P66" s="145">
        <v>45565.621527777781</v>
      </c>
      <c r="Q66" s="109" t="s">
        <v>1121</v>
      </c>
      <c r="R66" s="107" t="s">
        <v>1108</v>
      </c>
      <c r="S66" s="109">
        <v>53166187</v>
      </c>
      <c r="T66" s="109" t="s">
        <v>524</v>
      </c>
      <c r="U66" s="109" t="s">
        <v>57</v>
      </c>
      <c r="V66" s="109" t="s">
        <v>30</v>
      </c>
      <c r="W66" s="109" t="s">
        <v>615</v>
      </c>
      <c r="X66" s="109" t="s">
        <v>552</v>
      </c>
      <c r="Y66" s="109" t="s">
        <v>624</v>
      </c>
      <c r="Z66" s="146">
        <f>+COUNTIF('Eventos-Tareas'!$D$22:$D$1048576,'Eventos de riesgos'!$B66)</f>
        <v>4</v>
      </c>
      <c r="AA66" s="147">
        <f>+'Eventos de riesgos'!$I66-'Eventos de riesgos'!$J66-'Eventos de riesgos'!$K66</f>
        <v>0</v>
      </c>
      <c r="AB66" s="136" t="s">
        <v>1368</v>
      </c>
      <c r="AC66" s="111" t="s">
        <v>1369</v>
      </c>
      <c r="AD66" s="111" t="s">
        <v>1370</v>
      </c>
      <c r="AE66" s="137" t="s">
        <v>1371</v>
      </c>
    </row>
    <row r="67" spans="1:31" s="110" customFormat="1" ht="63.5" customHeight="1" x14ac:dyDescent="0.35">
      <c r="A67" s="112"/>
      <c r="B67" s="126">
        <v>66</v>
      </c>
      <c r="C67" s="127">
        <v>2024</v>
      </c>
      <c r="D67" s="128" t="s">
        <v>412</v>
      </c>
      <c r="E67" s="129">
        <v>45557.636111111111</v>
      </c>
      <c r="F67" s="129">
        <v>45557.636111111111</v>
      </c>
      <c r="G67" s="130">
        <v>45558.636111111111</v>
      </c>
      <c r="H67" s="155" t="s">
        <v>601</v>
      </c>
      <c r="I67" s="131">
        <v>0</v>
      </c>
      <c r="J67" s="131">
        <v>0</v>
      </c>
      <c r="K67" s="132">
        <v>0</v>
      </c>
      <c r="L67" s="108" t="s">
        <v>493</v>
      </c>
      <c r="M67" s="108" t="s">
        <v>39</v>
      </c>
      <c r="N67" s="108" t="s">
        <v>82</v>
      </c>
      <c r="O67" s="148" t="s">
        <v>26</v>
      </c>
      <c r="P67" s="133">
        <v>45565.636805555558</v>
      </c>
      <c r="Q67" s="108" t="s">
        <v>1122</v>
      </c>
      <c r="R67" s="107" t="s">
        <v>55</v>
      </c>
      <c r="S67" s="108">
        <v>72179606</v>
      </c>
      <c r="T67" s="108" t="s">
        <v>200</v>
      </c>
      <c r="U67" s="108" t="s">
        <v>105</v>
      </c>
      <c r="V67" s="108" t="s">
        <v>30</v>
      </c>
      <c r="W67" s="108" t="s">
        <v>572</v>
      </c>
      <c r="X67" s="108" t="s">
        <v>527</v>
      </c>
      <c r="Y67" s="108" t="s">
        <v>623</v>
      </c>
      <c r="Z67" s="134">
        <f>+COUNTIF('Eventos-Tareas'!$D$22:$D$1048576,'Eventos de riesgos'!$B67)</f>
        <v>4</v>
      </c>
      <c r="AA67" s="135">
        <f>+'Eventos de riesgos'!$I67-'Eventos de riesgos'!$J67-'Eventos de riesgos'!$K67</f>
        <v>0</v>
      </c>
      <c r="AB67" s="136" t="s">
        <v>1372</v>
      </c>
      <c r="AC67" s="111" t="s">
        <v>1373</v>
      </c>
      <c r="AD67" s="111" t="s">
        <v>1374</v>
      </c>
      <c r="AE67" s="137" t="s">
        <v>1375</v>
      </c>
    </row>
    <row r="68" spans="1:31" s="110" customFormat="1" ht="63.5" customHeight="1" x14ac:dyDescent="0.35">
      <c r="A68" s="112"/>
      <c r="B68" s="138">
        <v>67</v>
      </c>
      <c r="C68" s="139">
        <v>2024</v>
      </c>
      <c r="D68" s="140" t="s">
        <v>412</v>
      </c>
      <c r="E68" s="141">
        <v>45548.416666666664</v>
      </c>
      <c r="F68" s="141">
        <v>45565.694444444445</v>
      </c>
      <c r="G68" s="142">
        <v>45566.694444444445</v>
      </c>
      <c r="H68" s="156" t="s">
        <v>620</v>
      </c>
      <c r="I68" s="143">
        <v>0</v>
      </c>
      <c r="J68" s="143">
        <v>0</v>
      </c>
      <c r="K68" s="144">
        <v>0</v>
      </c>
      <c r="L68" s="109" t="s">
        <v>141</v>
      </c>
      <c r="M68" s="109" t="s">
        <v>142</v>
      </c>
      <c r="N68" s="109" t="s">
        <v>525</v>
      </c>
      <c r="O68" s="120" t="s">
        <v>26</v>
      </c>
      <c r="P68" s="145">
        <v>45565.636805555558</v>
      </c>
      <c r="Q68" s="109" t="s">
        <v>87</v>
      </c>
      <c r="R68" s="107" t="s">
        <v>1113</v>
      </c>
      <c r="S68" s="109">
        <v>53166187</v>
      </c>
      <c r="T68" s="109" t="s">
        <v>524</v>
      </c>
      <c r="U68" s="109" t="s">
        <v>57</v>
      </c>
      <c r="V68" s="109" t="s">
        <v>30</v>
      </c>
      <c r="W68" s="109" t="s">
        <v>621</v>
      </c>
      <c r="X68" s="109" t="s">
        <v>528</v>
      </c>
      <c r="Y68" s="109" t="s">
        <v>622</v>
      </c>
      <c r="Z68" s="146">
        <f>+COUNTIF('Eventos-Tareas'!$D$22:$D$1048576,'Eventos de riesgos'!$B68)</f>
        <v>4</v>
      </c>
      <c r="AA68" s="147">
        <f>+'Eventos de riesgos'!$I68-'Eventos de riesgos'!$J68-'Eventos de riesgos'!$K68</f>
        <v>0</v>
      </c>
      <c r="AB68" s="136" t="s">
        <v>1376</v>
      </c>
      <c r="AC68" s="111" t="s">
        <v>1377</v>
      </c>
      <c r="AD68" s="111" t="s">
        <v>1378</v>
      </c>
      <c r="AE68" s="137" t="s">
        <v>1379</v>
      </c>
    </row>
    <row r="69" spans="1:31" s="110" customFormat="1" ht="63.5" customHeight="1" x14ac:dyDescent="0.35">
      <c r="A69" s="112"/>
      <c r="B69" s="126">
        <v>68</v>
      </c>
      <c r="C69" s="127">
        <v>2024</v>
      </c>
      <c r="D69" s="128" t="s">
        <v>404</v>
      </c>
      <c r="E69" s="129">
        <v>45566.345833333333</v>
      </c>
      <c r="F69" s="129">
        <v>45596.345833333333</v>
      </c>
      <c r="G69" s="130">
        <v>45597.345833333333</v>
      </c>
      <c r="H69" s="155" t="s">
        <v>665</v>
      </c>
      <c r="I69" s="131">
        <f>5400000+711400+800000</f>
        <v>6911400</v>
      </c>
      <c r="J69" s="131">
        <v>0</v>
      </c>
      <c r="K69" s="132">
        <v>0</v>
      </c>
      <c r="L69" s="108" t="s">
        <v>45</v>
      </c>
      <c r="M69" s="108" t="s">
        <v>46</v>
      </c>
      <c r="N69" s="108" t="s">
        <v>60</v>
      </c>
      <c r="O69" s="148" t="s">
        <v>26</v>
      </c>
      <c r="P69" s="133">
        <v>45626.353472222225</v>
      </c>
      <c r="Q69" s="108" t="s">
        <v>27</v>
      </c>
      <c r="R69" s="107" t="s">
        <v>1112</v>
      </c>
      <c r="S69" s="108">
        <v>1016071699</v>
      </c>
      <c r="T69" s="108" t="s">
        <v>551</v>
      </c>
      <c r="U69" s="108" t="s">
        <v>522</v>
      </c>
      <c r="V69" s="108" t="s">
        <v>30</v>
      </c>
      <c r="W69" s="108" t="s">
        <v>695</v>
      </c>
      <c r="X69" s="108" t="s">
        <v>605</v>
      </c>
      <c r="Y69" s="108" t="s">
        <v>618</v>
      </c>
      <c r="Z69" s="134">
        <f>+COUNTIF('Eventos-Tareas'!$D$22:$D$1048576,'Eventos de riesgos'!$B69)</f>
        <v>18</v>
      </c>
      <c r="AA69" s="135">
        <f>+'Eventos de riesgos'!$I69-'Eventos de riesgos'!$J69-'Eventos de riesgos'!$K69</f>
        <v>6911400</v>
      </c>
      <c r="AB69" s="136" t="s">
        <v>1380</v>
      </c>
      <c r="AC69" s="111" t="s">
        <v>1381</v>
      </c>
      <c r="AD69" s="111" t="s">
        <v>1382</v>
      </c>
      <c r="AE69" s="137" t="s">
        <v>1383</v>
      </c>
    </row>
    <row r="70" spans="1:31" s="110" customFormat="1" ht="63.5" customHeight="1" x14ac:dyDescent="0.35">
      <c r="A70" s="112"/>
      <c r="B70" s="138">
        <v>69</v>
      </c>
      <c r="C70" s="139">
        <v>2024</v>
      </c>
      <c r="D70" s="140" t="s">
        <v>404</v>
      </c>
      <c r="E70" s="141">
        <v>45547.628472222219</v>
      </c>
      <c r="F70" s="141">
        <v>45576.655555555553</v>
      </c>
      <c r="G70" s="142">
        <v>45565.628472222219</v>
      </c>
      <c r="H70" s="156" t="s">
        <v>602</v>
      </c>
      <c r="I70" s="143">
        <v>0</v>
      </c>
      <c r="J70" s="143">
        <v>0</v>
      </c>
      <c r="K70" s="144">
        <v>0</v>
      </c>
      <c r="L70" s="109" t="s">
        <v>493</v>
      </c>
      <c r="M70" s="109" t="s">
        <v>39</v>
      </c>
      <c r="N70" s="109" t="s">
        <v>94</v>
      </c>
      <c r="O70" s="120" t="s">
        <v>26</v>
      </c>
      <c r="P70" s="145">
        <v>45596.652777777781</v>
      </c>
      <c r="Q70" s="109" t="s">
        <v>1123</v>
      </c>
      <c r="R70" s="107" t="s">
        <v>1115</v>
      </c>
      <c r="S70" s="109">
        <v>1098654203</v>
      </c>
      <c r="T70" s="109" t="s">
        <v>573</v>
      </c>
      <c r="U70" s="109" t="s">
        <v>574</v>
      </c>
      <c r="V70" s="109" t="s">
        <v>30</v>
      </c>
      <c r="W70" s="109" t="s">
        <v>579</v>
      </c>
      <c r="X70" s="109" t="s">
        <v>580</v>
      </c>
      <c r="Y70" s="109" t="s">
        <v>619</v>
      </c>
      <c r="Z70" s="146">
        <f>+COUNTIF('Eventos-Tareas'!$D$22:$D$1048576,'Eventos de riesgos'!$B70)</f>
        <v>5</v>
      </c>
      <c r="AA70" s="147">
        <f>+'Eventos de riesgos'!$I70-'Eventos de riesgos'!$J70-'Eventos de riesgos'!$K70</f>
        <v>0</v>
      </c>
      <c r="AB70" s="136" t="s">
        <v>1384</v>
      </c>
      <c r="AC70" s="111" t="s">
        <v>1385</v>
      </c>
      <c r="AD70" s="111" t="s">
        <v>1386</v>
      </c>
      <c r="AE70" s="137" t="s">
        <v>1387</v>
      </c>
    </row>
    <row r="71" spans="1:31" s="110" customFormat="1" ht="63.5" customHeight="1" x14ac:dyDescent="0.35">
      <c r="A71" s="112"/>
      <c r="B71" s="126">
        <v>70</v>
      </c>
      <c r="C71" s="127">
        <v>2024</v>
      </c>
      <c r="D71" s="128" t="s">
        <v>413</v>
      </c>
      <c r="E71" s="129">
        <v>45608.434027777781</v>
      </c>
      <c r="F71" s="129">
        <v>45625.434027777781</v>
      </c>
      <c r="G71" s="130">
        <v>45610.434027777781</v>
      </c>
      <c r="H71" s="155" t="s">
        <v>607</v>
      </c>
      <c r="I71" s="131">
        <v>0</v>
      </c>
      <c r="J71" s="131">
        <v>0</v>
      </c>
      <c r="K71" s="132">
        <v>0</v>
      </c>
      <c r="L71" s="108" t="s">
        <v>141</v>
      </c>
      <c r="M71" s="108" t="s">
        <v>142</v>
      </c>
      <c r="N71" s="108" t="s">
        <v>185</v>
      </c>
      <c r="O71" s="148" t="s">
        <v>26</v>
      </c>
      <c r="P71" s="133">
        <v>45626.401388888888</v>
      </c>
      <c r="Q71" s="108" t="s">
        <v>41</v>
      </c>
      <c r="R71" s="107" t="s">
        <v>1108</v>
      </c>
      <c r="S71" s="108">
        <v>1016072548</v>
      </c>
      <c r="T71" s="108" t="s">
        <v>131</v>
      </c>
      <c r="U71" s="108" t="s">
        <v>132</v>
      </c>
      <c r="V71" s="108" t="s">
        <v>30</v>
      </c>
      <c r="W71" s="108" t="s">
        <v>616</v>
      </c>
      <c r="X71" s="108" t="s">
        <v>606</v>
      </c>
      <c r="Y71" s="108" t="s">
        <v>627</v>
      </c>
      <c r="Z71" s="134">
        <f>+COUNTIF('Eventos-Tareas'!$D$22:$D$1048576,'Eventos de riesgos'!$B71)</f>
        <v>3</v>
      </c>
      <c r="AA71" s="135">
        <f>+'Eventos de riesgos'!$I71-'Eventos de riesgos'!$J71-'Eventos de riesgos'!$K71</f>
        <v>0</v>
      </c>
      <c r="AB71" s="136" t="s">
        <v>1388</v>
      </c>
      <c r="AC71" s="111" t="s">
        <v>1389</v>
      </c>
      <c r="AD71" s="111" t="s">
        <v>1390</v>
      </c>
      <c r="AE71" s="137" t="s">
        <v>1391</v>
      </c>
    </row>
    <row r="72" spans="1:31" s="110" customFormat="1" ht="63.5" customHeight="1" x14ac:dyDescent="0.35">
      <c r="A72" s="112"/>
      <c r="B72" s="138">
        <v>71</v>
      </c>
      <c r="C72" s="139">
        <v>2025</v>
      </c>
      <c r="D72" s="140" t="s">
        <v>405</v>
      </c>
      <c r="E72" s="141">
        <v>45660.609722222223</v>
      </c>
      <c r="F72" s="141">
        <v>45670.609722222223</v>
      </c>
      <c r="G72" s="142">
        <v>45666.609722222223</v>
      </c>
      <c r="H72" s="156" t="s">
        <v>638</v>
      </c>
      <c r="I72" s="143">
        <v>0</v>
      </c>
      <c r="J72" s="143">
        <v>0</v>
      </c>
      <c r="K72" s="144">
        <v>0</v>
      </c>
      <c r="L72" s="109" t="s">
        <v>493</v>
      </c>
      <c r="M72" s="109" t="s">
        <v>102</v>
      </c>
      <c r="N72" s="109" t="s">
        <v>103</v>
      </c>
      <c r="O72" s="120" t="s">
        <v>26</v>
      </c>
      <c r="P72" s="145">
        <v>45688.618055555555</v>
      </c>
      <c r="Q72" s="109" t="s">
        <v>1108</v>
      </c>
      <c r="R72" s="107" t="s">
        <v>1108</v>
      </c>
      <c r="S72" s="109">
        <v>72179606</v>
      </c>
      <c r="T72" s="109" t="s">
        <v>200</v>
      </c>
      <c r="U72" s="109" t="s">
        <v>105</v>
      </c>
      <c r="V72" s="109" t="s">
        <v>30</v>
      </c>
      <c r="W72" s="109" t="s">
        <v>639</v>
      </c>
      <c r="X72" s="109" t="s">
        <v>694</v>
      </c>
      <c r="Y72" s="109"/>
      <c r="Z72" s="146">
        <f>+COUNTIF('Eventos-Tareas'!$D$22:$D$1048576,'Eventos de riesgos'!$B72)</f>
        <v>4</v>
      </c>
      <c r="AA72" s="147">
        <f>+'Eventos de riesgos'!$I72-'Eventos de riesgos'!$J72-'Eventos de riesgos'!$K72</f>
        <v>0</v>
      </c>
      <c r="AB72" s="136" t="s">
        <v>1392</v>
      </c>
      <c r="AC72" s="111" t="s">
        <v>1393</v>
      </c>
      <c r="AD72" s="111" t="s">
        <v>1394</v>
      </c>
      <c r="AE72" s="137" t="s">
        <v>1395</v>
      </c>
    </row>
    <row r="73" spans="1:31" s="110" customFormat="1" ht="63.5" customHeight="1" x14ac:dyDescent="0.35">
      <c r="A73" s="112"/>
      <c r="B73" s="126">
        <v>72</v>
      </c>
      <c r="C73" s="127">
        <v>2025</v>
      </c>
      <c r="D73" s="128" t="s">
        <v>405</v>
      </c>
      <c r="E73" s="129">
        <v>45646.607638888891</v>
      </c>
      <c r="F73" s="129">
        <v>45666.606944444444</v>
      </c>
      <c r="G73" s="130">
        <v>45666.606944444444</v>
      </c>
      <c r="H73" s="155" t="s">
        <v>640</v>
      </c>
      <c r="I73" s="131">
        <v>0</v>
      </c>
      <c r="J73" s="131">
        <v>0</v>
      </c>
      <c r="K73" s="132">
        <v>0</v>
      </c>
      <c r="L73" s="108" t="s">
        <v>493</v>
      </c>
      <c r="M73" s="108" t="s">
        <v>39</v>
      </c>
      <c r="N73" s="108" t="s">
        <v>65</v>
      </c>
      <c r="O73" s="148" t="s">
        <v>26</v>
      </c>
      <c r="P73" s="133">
        <v>45747.606944444444</v>
      </c>
      <c r="Q73" s="108" t="s">
        <v>1108</v>
      </c>
      <c r="R73" s="107" t="s">
        <v>1108</v>
      </c>
      <c r="S73" s="108">
        <v>1033706838</v>
      </c>
      <c r="T73" s="108" t="s">
        <v>49</v>
      </c>
      <c r="U73" s="108" t="s">
        <v>50</v>
      </c>
      <c r="V73" s="108" t="s">
        <v>30</v>
      </c>
      <c r="W73" s="108" t="s">
        <v>641</v>
      </c>
      <c r="X73" s="108" t="s">
        <v>1046</v>
      </c>
      <c r="Y73" s="108"/>
      <c r="Z73" s="134">
        <f>+COUNTIF('Eventos-Tareas'!$D$22:$D$1048576,'Eventos de riesgos'!$B73)</f>
        <v>7</v>
      </c>
      <c r="AA73" s="135">
        <f>+'Eventos de riesgos'!$I73-'Eventos de riesgos'!$J73-'Eventos de riesgos'!$K73</f>
        <v>0</v>
      </c>
      <c r="AB73" s="136" t="s">
        <v>1396</v>
      </c>
      <c r="AC73" s="111" t="s">
        <v>1397</v>
      </c>
      <c r="AD73" s="111" t="s">
        <v>1398</v>
      </c>
      <c r="AE73" s="137" t="s">
        <v>1399</v>
      </c>
    </row>
    <row r="74" spans="1:31" s="110" customFormat="1" ht="63.5" customHeight="1" x14ac:dyDescent="0.35">
      <c r="A74" s="112"/>
      <c r="B74" s="138">
        <v>73</v>
      </c>
      <c r="C74" s="139">
        <v>2025</v>
      </c>
      <c r="D74" s="140" t="s">
        <v>406</v>
      </c>
      <c r="E74" s="141">
        <v>45704.53125</v>
      </c>
      <c r="F74" s="141">
        <v>45704.53125</v>
      </c>
      <c r="G74" s="142">
        <v>45713.53125</v>
      </c>
      <c r="H74" s="156" t="s">
        <v>642</v>
      </c>
      <c r="I74" s="143">
        <v>0</v>
      </c>
      <c r="J74" s="143">
        <v>0</v>
      </c>
      <c r="K74" s="144">
        <v>0</v>
      </c>
      <c r="L74" s="109" t="s">
        <v>493</v>
      </c>
      <c r="M74" s="109" t="s">
        <v>39</v>
      </c>
      <c r="N74" s="109" t="s">
        <v>113</v>
      </c>
      <c r="O74" s="120" t="s">
        <v>26</v>
      </c>
      <c r="P74" s="145">
        <v>45716.531944444447</v>
      </c>
      <c r="Q74" s="109" t="s">
        <v>1108</v>
      </c>
      <c r="R74" s="107" t="s">
        <v>1116</v>
      </c>
      <c r="S74" s="109">
        <v>1033706838</v>
      </c>
      <c r="T74" s="109" t="s">
        <v>49</v>
      </c>
      <c r="U74" s="109" t="s">
        <v>50</v>
      </c>
      <c r="V74" s="109" t="s">
        <v>30</v>
      </c>
      <c r="W74" s="109" t="s">
        <v>643</v>
      </c>
      <c r="X74" s="109" t="s">
        <v>684</v>
      </c>
      <c r="Y74" s="109"/>
      <c r="Z74" s="146">
        <f>+COUNTIF('Eventos-Tareas'!$D$22:$D$1048576,'Eventos de riesgos'!$B74)</f>
        <v>3</v>
      </c>
      <c r="AA74" s="147">
        <f>+'Eventos de riesgos'!$I74-'Eventos de riesgos'!$J74-'Eventos de riesgos'!$K74</f>
        <v>0</v>
      </c>
      <c r="AB74" s="136" t="s">
        <v>1400</v>
      </c>
      <c r="AC74" s="111" t="s">
        <v>1401</v>
      </c>
      <c r="AD74" s="111" t="s">
        <v>1402</v>
      </c>
      <c r="AE74" s="137" t="s">
        <v>1403</v>
      </c>
    </row>
    <row r="75" spans="1:31" s="110" customFormat="1" ht="63.5" customHeight="1" x14ac:dyDescent="0.35">
      <c r="A75" s="112"/>
      <c r="B75" s="126">
        <v>74</v>
      </c>
      <c r="C75" s="127">
        <v>2025</v>
      </c>
      <c r="D75" s="128" t="s">
        <v>406</v>
      </c>
      <c r="E75" s="129">
        <v>45713.029861111114</v>
      </c>
      <c r="F75" s="129">
        <v>45713.029861111114</v>
      </c>
      <c r="G75" s="130">
        <v>45713.029861111114</v>
      </c>
      <c r="H75" s="155" t="s">
        <v>644</v>
      </c>
      <c r="I75" s="131">
        <v>0</v>
      </c>
      <c r="J75" s="131">
        <v>0</v>
      </c>
      <c r="K75" s="132">
        <v>0</v>
      </c>
      <c r="L75" s="108" t="s">
        <v>493</v>
      </c>
      <c r="M75" s="108" t="s">
        <v>39</v>
      </c>
      <c r="N75" s="108" t="s">
        <v>113</v>
      </c>
      <c r="O75" s="148" t="s">
        <v>26</v>
      </c>
      <c r="P75" s="133">
        <v>45716.030555555553</v>
      </c>
      <c r="Q75" s="108" t="s">
        <v>1108</v>
      </c>
      <c r="R75" s="107" t="s">
        <v>1109</v>
      </c>
      <c r="S75" s="108">
        <v>53166187</v>
      </c>
      <c r="T75" s="108" t="s">
        <v>524</v>
      </c>
      <c r="U75" s="108" t="s">
        <v>57</v>
      </c>
      <c r="V75" s="108" t="s">
        <v>30</v>
      </c>
      <c r="W75" s="108" t="s">
        <v>645</v>
      </c>
      <c r="X75" s="108" t="s">
        <v>1048</v>
      </c>
      <c r="Y75" s="108"/>
      <c r="Z75" s="134">
        <f>+COUNTIF('Eventos-Tareas'!$D$22:$D$1048576,'Eventos de riesgos'!$B75)</f>
        <v>4</v>
      </c>
      <c r="AA75" s="135">
        <f>+'Eventos de riesgos'!$I75-'Eventos de riesgos'!$J75-'Eventos de riesgos'!$K75</f>
        <v>0</v>
      </c>
      <c r="AB75" s="136" t="s">
        <v>1404</v>
      </c>
      <c r="AC75" s="111" t="s">
        <v>1405</v>
      </c>
      <c r="AD75" s="111" t="s">
        <v>1406</v>
      </c>
      <c r="AE75" s="137" t="s">
        <v>1407</v>
      </c>
    </row>
    <row r="76" spans="1:31" s="110" customFormat="1" ht="63.5" customHeight="1" x14ac:dyDescent="0.35">
      <c r="A76" s="112"/>
      <c r="B76" s="138">
        <v>75</v>
      </c>
      <c r="C76" s="139">
        <v>2025</v>
      </c>
      <c r="D76" s="140" t="s">
        <v>406</v>
      </c>
      <c r="E76" s="141">
        <v>45742.487500000003</v>
      </c>
      <c r="F76" s="141">
        <v>45742.488194444442</v>
      </c>
      <c r="G76" s="142">
        <v>45742.488194444442</v>
      </c>
      <c r="H76" s="156" t="s">
        <v>646</v>
      </c>
      <c r="I76" s="143">
        <v>0</v>
      </c>
      <c r="J76" s="143">
        <v>0</v>
      </c>
      <c r="K76" s="144">
        <v>0</v>
      </c>
      <c r="L76" s="109" t="s">
        <v>493</v>
      </c>
      <c r="M76" s="109" t="s">
        <v>39</v>
      </c>
      <c r="N76" s="109" t="s">
        <v>108</v>
      </c>
      <c r="O76" s="120" t="s">
        <v>26</v>
      </c>
      <c r="P76" s="145">
        <v>45716.486805555556</v>
      </c>
      <c r="Q76" s="109" t="s">
        <v>87</v>
      </c>
      <c r="R76" s="107" t="s">
        <v>1108</v>
      </c>
      <c r="S76" s="109">
        <v>1033706838</v>
      </c>
      <c r="T76" s="109" t="s">
        <v>49</v>
      </c>
      <c r="U76" s="109" t="s">
        <v>50</v>
      </c>
      <c r="V76" s="109" t="s">
        <v>30</v>
      </c>
      <c r="W76" s="109" t="s">
        <v>647</v>
      </c>
      <c r="X76" s="109" t="s">
        <v>1047</v>
      </c>
      <c r="Y76" s="109"/>
      <c r="Z76" s="146">
        <f>+COUNTIF('Eventos-Tareas'!$D$22:$D$1048576,'Eventos de riesgos'!$B76)</f>
        <v>5</v>
      </c>
      <c r="AA76" s="147">
        <f>+'Eventos de riesgos'!$I76-'Eventos de riesgos'!$J76-'Eventos de riesgos'!$K76</f>
        <v>0</v>
      </c>
      <c r="AB76" s="136" t="s">
        <v>1408</v>
      </c>
      <c r="AC76" s="111" t="s">
        <v>1409</v>
      </c>
      <c r="AD76" s="111" t="s">
        <v>1410</v>
      </c>
      <c r="AE76" s="137" t="s">
        <v>1411</v>
      </c>
    </row>
    <row r="77" spans="1:31" s="110" customFormat="1" ht="63.5" customHeight="1" x14ac:dyDescent="0.35">
      <c r="A77" s="112"/>
      <c r="B77" s="126">
        <v>76</v>
      </c>
      <c r="C77" s="127">
        <v>2025</v>
      </c>
      <c r="D77" s="128" t="s">
        <v>407</v>
      </c>
      <c r="E77" s="129">
        <v>45741.913888888892</v>
      </c>
      <c r="F77" s="129">
        <v>45741.914583333331</v>
      </c>
      <c r="G77" s="130">
        <v>45742.914583333331</v>
      </c>
      <c r="H77" s="155" t="s">
        <v>692</v>
      </c>
      <c r="I77" s="131">
        <v>0</v>
      </c>
      <c r="J77" s="131">
        <v>0</v>
      </c>
      <c r="K77" s="132">
        <v>0</v>
      </c>
      <c r="L77" s="108" t="s">
        <v>141</v>
      </c>
      <c r="M77" s="108" t="s">
        <v>142</v>
      </c>
      <c r="N77" s="108" t="s">
        <v>185</v>
      </c>
      <c r="O77" s="148" t="s">
        <v>26</v>
      </c>
      <c r="P77" s="133">
        <v>45747.912499999999</v>
      </c>
      <c r="Q77" s="108" t="s">
        <v>41</v>
      </c>
      <c r="R77" s="107" t="s">
        <v>1113</v>
      </c>
      <c r="S77" s="108">
        <v>72179606</v>
      </c>
      <c r="T77" s="108" t="s">
        <v>200</v>
      </c>
      <c r="U77" s="108" t="s">
        <v>105</v>
      </c>
      <c r="V77" s="108" t="s">
        <v>30</v>
      </c>
      <c r="W77" s="108" t="s">
        <v>693</v>
      </c>
      <c r="X77" s="108" t="s">
        <v>794</v>
      </c>
      <c r="Y77" s="108"/>
      <c r="Z77" s="134">
        <f>+COUNTIF('Eventos-Tareas'!$D$22:$D$1048576,'Eventos de riesgos'!$B77)</f>
        <v>3</v>
      </c>
      <c r="AA77" s="135">
        <f>+'Eventos de riesgos'!$I77-'Eventos de riesgos'!$J77-'Eventos de riesgos'!$K77</f>
        <v>0</v>
      </c>
      <c r="AB77" s="136" t="s">
        <v>1412</v>
      </c>
      <c r="AC77" s="111" t="s">
        <v>1413</v>
      </c>
      <c r="AD77" s="111" t="s">
        <v>1414</v>
      </c>
      <c r="AE77" s="137" t="s">
        <v>1415</v>
      </c>
    </row>
    <row r="78" spans="1:31" s="110" customFormat="1" ht="63.5" customHeight="1" x14ac:dyDescent="0.35">
      <c r="A78" s="112"/>
      <c r="B78" s="138">
        <v>77</v>
      </c>
      <c r="C78" s="139">
        <v>2025</v>
      </c>
      <c r="D78" s="140" t="s">
        <v>410</v>
      </c>
      <c r="E78" s="141">
        <v>45820.80972222222</v>
      </c>
      <c r="F78" s="141">
        <v>45820.80972222222</v>
      </c>
      <c r="G78" s="142">
        <v>45821.80972222222</v>
      </c>
      <c r="H78" s="156" t="s">
        <v>704</v>
      </c>
      <c r="I78" s="143">
        <v>28344421</v>
      </c>
      <c r="J78" s="143">
        <v>28344421</v>
      </c>
      <c r="K78" s="144">
        <v>0</v>
      </c>
      <c r="L78" s="109" t="s">
        <v>493</v>
      </c>
      <c r="M78" s="109" t="s">
        <v>39</v>
      </c>
      <c r="N78" s="109" t="s">
        <v>82</v>
      </c>
      <c r="O78" s="120" t="s">
        <v>26</v>
      </c>
      <c r="P78" s="145">
        <v>45838.809027777781</v>
      </c>
      <c r="Q78" s="109" t="s">
        <v>1108</v>
      </c>
      <c r="R78" s="107" t="s">
        <v>1108</v>
      </c>
      <c r="S78" s="109">
        <v>1033706838</v>
      </c>
      <c r="T78" s="109" t="s">
        <v>49</v>
      </c>
      <c r="U78" s="109" t="s">
        <v>50</v>
      </c>
      <c r="V78" s="109" t="s">
        <v>30</v>
      </c>
      <c r="W78" s="109" t="s">
        <v>705</v>
      </c>
      <c r="X78" s="109" t="s">
        <v>757</v>
      </c>
      <c r="Y78" s="109"/>
      <c r="Z78" s="146">
        <f>+COUNTIF('Eventos-Tareas'!$D$22:$D$1048576,'Eventos de riesgos'!$B78)</f>
        <v>11</v>
      </c>
      <c r="AA78" s="147">
        <f>+'Eventos de riesgos'!$I78-'Eventos de riesgos'!$J78-'Eventos de riesgos'!$K78</f>
        <v>0</v>
      </c>
      <c r="AB78" s="136" t="s">
        <v>1416</v>
      </c>
      <c r="AC78" s="111" t="s">
        <v>1417</v>
      </c>
      <c r="AD78" s="111" t="s">
        <v>1418</v>
      </c>
      <c r="AE78" s="137" t="s">
        <v>1419</v>
      </c>
    </row>
    <row r="79" spans="1:31" s="110" customFormat="1" ht="63.5" customHeight="1" x14ac:dyDescent="0.35">
      <c r="A79" s="112"/>
      <c r="B79" s="126">
        <v>78</v>
      </c>
      <c r="C79" s="127">
        <v>2025</v>
      </c>
      <c r="D79" s="128" t="s">
        <v>411</v>
      </c>
      <c r="E79" s="129">
        <v>45842.597222222219</v>
      </c>
      <c r="F79" s="129">
        <v>45845.597916666666</v>
      </c>
      <c r="G79" s="130">
        <v>45839.597916666666</v>
      </c>
      <c r="H79" s="155" t="s">
        <v>706</v>
      </c>
      <c r="I79" s="131">
        <v>0</v>
      </c>
      <c r="J79" s="131">
        <v>0</v>
      </c>
      <c r="K79" s="132">
        <v>0</v>
      </c>
      <c r="L79" s="108" t="s">
        <v>141</v>
      </c>
      <c r="M79" s="108" t="s">
        <v>169</v>
      </c>
      <c r="N79" s="108" t="s">
        <v>170</v>
      </c>
      <c r="O79" s="148" t="s">
        <v>26</v>
      </c>
      <c r="P79" s="133">
        <v>45845.606944444444</v>
      </c>
      <c r="Q79" s="108" t="s">
        <v>1120</v>
      </c>
      <c r="R79" s="107" t="s">
        <v>1108</v>
      </c>
      <c r="S79" s="108">
        <v>1018433978</v>
      </c>
      <c r="T79" s="108" t="s">
        <v>707</v>
      </c>
      <c r="U79" s="108" t="s">
        <v>29</v>
      </c>
      <c r="V79" s="108" t="s">
        <v>30</v>
      </c>
      <c r="W79" s="108" t="s">
        <v>708</v>
      </c>
      <c r="X79" s="108" t="s">
        <v>759</v>
      </c>
      <c r="Y79" s="108"/>
      <c r="Z79" s="134">
        <f>+COUNTIF('Eventos-Tareas'!$D$22:$D$1048576,'Eventos de riesgos'!$B79)</f>
        <v>5</v>
      </c>
      <c r="AA79" s="135">
        <f>+'Eventos de riesgos'!$I79-'Eventos de riesgos'!$J79-'Eventos de riesgos'!$K79</f>
        <v>0</v>
      </c>
      <c r="AB79" s="136" t="s">
        <v>1420</v>
      </c>
      <c r="AC79" s="111" t="s">
        <v>1421</v>
      </c>
      <c r="AD79" s="111" t="s">
        <v>1422</v>
      </c>
      <c r="AE79" s="137" t="s">
        <v>1423</v>
      </c>
    </row>
    <row r="80" spans="1:31" s="110" customFormat="1" ht="63.5" customHeight="1" x14ac:dyDescent="0.35">
      <c r="A80" s="112"/>
      <c r="B80" s="138">
        <v>79</v>
      </c>
      <c r="C80" s="139">
        <v>2025</v>
      </c>
      <c r="D80" s="140" t="s">
        <v>411</v>
      </c>
      <c r="E80" s="141">
        <v>45890.614583333336</v>
      </c>
      <c r="F80" s="141">
        <v>45892.614583333336</v>
      </c>
      <c r="G80" s="142">
        <v>45890.614583333336</v>
      </c>
      <c r="H80" s="156" t="s">
        <v>709</v>
      </c>
      <c r="I80" s="143">
        <v>10040000</v>
      </c>
      <c r="J80" s="143">
        <v>0</v>
      </c>
      <c r="K80" s="144">
        <v>0</v>
      </c>
      <c r="L80" s="109" t="s">
        <v>45</v>
      </c>
      <c r="M80" s="109" t="s">
        <v>46</v>
      </c>
      <c r="N80" s="109" t="s">
        <v>60</v>
      </c>
      <c r="O80" s="120" t="s">
        <v>26</v>
      </c>
      <c r="P80" s="145">
        <v>45869.613194444442</v>
      </c>
      <c r="Q80" s="109" t="s">
        <v>27</v>
      </c>
      <c r="R80" s="107" t="s">
        <v>1109</v>
      </c>
      <c r="S80" s="109">
        <v>1033706838</v>
      </c>
      <c r="T80" s="109" t="s">
        <v>49</v>
      </c>
      <c r="U80" s="109" t="s">
        <v>50</v>
      </c>
      <c r="V80" s="109" t="s">
        <v>30</v>
      </c>
      <c r="W80" s="109" t="s">
        <v>710</v>
      </c>
      <c r="X80" s="109" t="s">
        <v>758</v>
      </c>
      <c r="Y80" s="109"/>
      <c r="Z80" s="146">
        <f>+COUNTIF('Eventos-Tareas'!$D$22:$D$1048576,'Eventos de riesgos'!$B80)</f>
        <v>15</v>
      </c>
      <c r="AA80" s="147">
        <f>+'Eventos de riesgos'!$I80-'Eventos de riesgos'!$J80-'Eventos de riesgos'!$K80</f>
        <v>10040000</v>
      </c>
      <c r="AB80" s="136" t="s">
        <v>1424</v>
      </c>
      <c r="AC80" s="111" t="s">
        <v>1425</v>
      </c>
      <c r="AD80" s="111" t="s">
        <v>1426</v>
      </c>
      <c r="AE80" s="137" t="s">
        <v>1427</v>
      </c>
    </row>
    <row r="81" spans="1:31" s="110" customFormat="1" ht="63.5" customHeight="1" x14ac:dyDescent="0.35">
      <c r="A81" s="112"/>
      <c r="B81" s="126">
        <v>80</v>
      </c>
      <c r="C81" s="127">
        <v>2025</v>
      </c>
      <c r="D81" s="128" t="s">
        <v>414</v>
      </c>
      <c r="E81" s="129">
        <v>45892.682638888888</v>
      </c>
      <c r="F81" s="129">
        <v>45928.682638888888</v>
      </c>
      <c r="G81" s="130">
        <v>45926.682638888888</v>
      </c>
      <c r="H81" s="155" t="s">
        <v>815</v>
      </c>
      <c r="I81" s="131">
        <v>29398716</v>
      </c>
      <c r="J81" s="131">
        <v>28988008</v>
      </c>
      <c r="K81" s="132">
        <v>0</v>
      </c>
      <c r="L81" s="108" t="s">
        <v>33</v>
      </c>
      <c r="M81" s="108" t="s">
        <v>34</v>
      </c>
      <c r="N81" s="108" t="s">
        <v>79</v>
      </c>
      <c r="O81" s="148" t="s">
        <v>26</v>
      </c>
      <c r="P81" s="133">
        <v>45900.71875</v>
      </c>
      <c r="Q81" s="108" t="s">
        <v>27</v>
      </c>
      <c r="R81" s="107" t="s">
        <v>1108</v>
      </c>
      <c r="S81" s="108">
        <v>1018433978</v>
      </c>
      <c r="T81" s="108" t="s">
        <v>816</v>
      </c>
      <c r="U81" s="108" t="s">
        <v>29</v>
      </c>
      <c r="V81" s="108" t="s">
        <v>30</v>
      </c>
      <c r="W81" s="108" t="s">
        <v>817</v>
      </c>
      <c r="X81" s="108" t="s">
        <v>818</v>
      </c>
      <c r="Y81" s="108"/>
      <c r="Z81" s="134">
        <f>+COUNTIF('Eventos-Tareas'!$D$22:$D$1048576,'Eventos de riesgos'!$B81)</f>
        <v>8</v>
      </c>
      <c r="AA81" s="135">
        <f>+'Eventos de riesgos'!$I81-'Eventos de riesgos'!$J81-'Eventos de riesgos'!$K81</f>
        <v>410708</v>
      </c>
      <c r="AB81" s="136" t="s">
        <v>1428</v>
      </c>
      <c r="AC81" s="111" t="s">
        <v>1429</v>
      </c>
      <c r="AD81" s="111" t="s">
        <v>1430</v>
      </c>
      <c r="AE81" s="137" t="s">
        <v>1431</v>
      </c>
    </row>
    <row r="82" spans="1:31" s="110" customFormat="1" ht="63.5" customHeight="1" x14ac:dyDescent="0.35">
      <c r="A82" s="112"/>
      <c r="B82" s="138">
        <v>81</v>
      </c>
      <c r="C82" s="139">
        <v>2025</v>
      </c>
      <c r="D82" s="140" t="s">
        <v>413</v>
      </c>
      <c r="E82" s="141">
        <v>45961.625</v>
      </c>
      <c r="F82" s="141">
        <v>45967.416666666664</v>
      </c>
      <c r="G82" s="142">
        <v>45965.625</v>
      </c>
      <c r="H82" s="156" t="s">
        <v>1015</v>
      </c>
      <c r="I82" s="143">
        <v>0</v>
      </c>
      <c r="J82" s="143">
        <v>0</v>
      </c>
      <c r="K82" s="144">
        <v>0</v>
      </c>
      <c r="L82" s="109" t="s">
        <v>493</v>
      </c>
      <c r="M82" s="109" t="s">
        <v>965</v>
      </c>
      <c r="N82" s="109" t="s">
        <v>25</v>
      </c>
      <c r="O82" s="120" t="s">
        <v>26</v>
      </c>
      <c r="P82" s="145">
        <v>45991.756249999999</v>
      </c>
      <c r="Q82" s="109" t="s">
        <v>41</v>
      </c>
      <c r="R82" s="107" t="s">
        <v>1108</v>
      </c>
      <c r="S82" s="109">
        <v>1018433978</v>
      </c>
      <c r="T82" s="109" t="s">
        <v>966</v>
      </c>
      <c r="U82" s="109" t="s">
        <v>967</v>
      </c>
      <c r="V82" s="109" t="s">
        <v>30</v>
      </c>
      <c r="W82" s="109" t="s">
        <v>968</v>
      </c>
      <c r="X82" s="109" t="s">
        <v>1049</v>
      </c>
      <c r="Y82" s="109"/>
      <c r="Z82" s="146">
        <f>+COUNTIF('Eventos-Tareas'!$D$22:$D$1048576,'Eventos de riesgos'!$B82)</f>
        <v>12</v>
      </c>
      <c r="AA82" s="147">
        <f>+'Eventos de riesgos'!$I82-'Eventos de riesgos'!$J82-'Eventos de riesgos'!$K82</f>
        <v>0</v>
      </c>
      <c r="AB82" s="136" t="s">
        <v>1432</v>
      </c>
      <c r="AC82" s="111" t="s">
        <v>1433</v>
      </c>
      <c r="AD82" s="111" t="s">
        <v>1434</v>
      </c>
      <c r="AE82" s="137" t="s">
        <v>1435</v>
      </c>
    </row>
    <row r="83" spans="1:31" s="110" customFormat="1" ht="63.5" customHeight="1" x14ac:dyDescent="0.35">
      <c r="A83" s="112"/>
      <c r="B83" s="126">
        <v>82</v>
      </c>
      <c r="C83" s="127">
        <v>2025</v>
      </c>
      <c r="D83" s="128" t="s">
        <v>413</v>
      </c>
      <c r="E83" s="129">
        <v>45967.708333333336</v>
      </c>
      <c r="F83" s="129">
        <v>45968.729166666664</v>
      </c>
      <c r="G83" s="130">
        <v>45967.729166666664</v>
      </c>
      <c r="H83" s="155" t="s">
        <v>969</v>
      </c>
      <c r="I83" s="131">
        <v>0</v>
      </c>
      <c r="J83" s="131">
        <v>0</v>
      </c>
      <c r="K83" s="132">
        <v>0</v>
      </c>
      <c r="L83" s="108" t="s">
        <v>493</v>
      </c>
      <c r="M83" s="108" t="s">
        <v>39</v>
      </c>
      <c r="N83" s="108" t="s">
        <v>108</v>
      </c>
      <c r="O83" s="148" t="s">
        <v>26</v>
      </c>
      <c r="P83" s="133">
        <v>45991.708333333336</v>
      </c>
      <c r="Q83" s="108" t="s">
        <v>27</v>
      </c>
      <c r="R83" s="107" t="s">
        <v>1108</v>
      </c>
      <c r="S83" s="108">
        <v>1018433978</v>
      </c>
      <c r="T83" s="108" t="s">
        <v>970</v>
      </c>
      <c r="U83" s="108" t="s">
        <v>967</v>
      </c>
      <c r="V83" s="108" t="s">
        <v>30</v>
      </c>
      <c r="W83" s="108" t="s">
        <v>971</v>
      </c>
      <c r="X83" s="108" t="s">
        <v>1003</v>
      </c>
      <c r="Y83" s="108"/>
      <c r="Z83" s="134">
        <f>+COUNTIF('Eventos-Tareas'!$D$22:$D$1048576,'Eventos de riesgos'!$B83)</f>
        <v>10</v>
      </c>
      <c r="AA83" s="135">
        <f>+'Eventos de riesgos'!$I83-'Eventos de riesgos'!$J83-'Eventos de riesgos'!$K83</f>
        <v>0</v>
      </c>
      <c r="AB83" s="136" t="s">
        <v>1436</v>
      </c>
      <c r="AC83" s="111" t="s">
        <v>1437</v>
      </c>
      <c r="AD83" s="111" t="s">
        <v>1438</v>
      </c>
      <c r="AE83" s="137" t="s">
        <v>1439</v>
      </c>
    </row>
    <row r="84" spans="1:31" s="110" customFormat="1" ht="63.5" customHeight="1" x14ac:dyDescent="0.35">
      <c r="A84" s="112"/>
      <c r="B84" s="138">
        <v>83</v>
      </c>
      <c r="C84" s="139">
        <v>2025</v>
      </c>
      <c r="D84" s="140" t="s">
        <v>413</v>
      </c>
      <c r="E84" s="141">
        <v>45929.395833333336</v>
      </c>
      <c r="F84" s="141">
        <v>45930.334722222222</v>
      </c>
      <c r="G84" s="142">
        <v>45929.395833333336</v>
      </c>
      <c r="H84" s="156" t="s">
        <v>972</v>
      </c>
      <c r="I84" s="143">
        <v>0</v>
      </c>
      <c r="J84" s="143">
        <v>0</v>
      </c>
      <c r="K84" s="144">
        <v>0</v>
      </c>
      <c r="L84" s="109" t="s">
        <v>33</v>
      </c>
      <c r="M84" s="109" t="s">
        <v>34</v>
      </c>
      <c r="N84" s="109" t="s">
        <v>54</v>
      </c>
      <c r="O84" s="120" t="s">
        <v>26</v>
      </c>
      <c r="P84" s="145">
        <v>45991.54583333333</v>
      </c>
      <c r="Q84" s="109" t="s">
        <v>1108</v>
      </c>
      <c r="R84" s="107" t="s">
        <v>55</v>
      </c>
      <c r="S84" s="109">
        <v>53166187</v>
      </c>
      <c r="T84" s="109" t="s">
        <v>973</v>
      </c>
      <c r="U84" s="109" t="s">
        <v>57</v>
      </c>
      <c r="V84" s="109" t="s">
        <v>30</v>
      </c>
      <c r="W84" s="109" t="s">
        <v>974</v>
      </c>
      <c r="X84" s="109" t="s">
        <v>799</v>
      </c>
      <c r="Y84" s="109" t="s">
        <v>1006</v>
      </c>
      <c r="Z84" s="146">
        <f>+COUNTIF('Eventos-Tareas'!$D$22:$D$1048576,'Eventos de riesgos'!$B84)</f>
        <v>5</v>
      </c>
      <c r="AA84" s="147">
        <f>+'Eventos de riesgos'!$I84-'Eventos de riesgos'!$J84-'Eventos de riesgos'!$K84</f>
        <v>0</v>
      </c>
      <c r="AB84" s="136" t="s">
        <v>1440</v>
      </c>
      <c r="AC84" s="111" t="s">
        <v>1441</v>
      </c>
      <c r="AD84" s="111" t="s">
        <v>1442</v>
      </c>
      <c r="AE84" s="137" t="s">
        <v>1443</v>
      </c>
    </row>
    <row r="85" spans="1:31" s="110" customFormat="1" ht="336" x14ac:dyDescent="0.35">
      <c r="A85" s="112"/>
      <c r="B85" s="126">
        <v>84</v>
      </c>
      <c r="C85" s="127">
        <v>2025</v>
      </c>
      <c r="D85" s="128" t="s">
        <v>413</v>
      </c>
      <c r="E85" s="129">
        <v>45965.466666666667</v>
      </c>
      <c r="F85" s="129">
        <v>45965.467361111114</v>
      </c>
      <c r="G85" s="130">
        <v>45966.467361111114</v>
      </c>
      <c r="H85" s="155" t="s">
        <v>1481</v>
      </c>
      <c r="I85" s="131">
        <v>71000000</v>
      </c>
      <c r="J85" s="131">
        <v>71000000</v>
      </c>
      <c r="K85" s="132">
        <v>0</v>
      </c>
      <c r="L85" s="108" t="s">
        <v>493</v>
      </c>
      <c r="M85" s="108" t="s">
        <v>39</v>
      </c>
      <c r="N85" s="108" t="s">
        <v>82</v>
      </c>
      <c r="O85" s="148" t="s">
        <v>26</v>
      </c>
      <c r="P85" s="133">
        <v>45991.720138888886</v>
      </c>
      <c r="Q85" s="108" t="s">
        <v>41</v>
      </c>
      <c r="R85" s="107" t="s">
        <v>1108</v>
      </c>
      <c r="S85" s="108">
        <v>17955312</v>
      </c>
      <c r="T85" s="108" t="s">
        <v>975</v>
      </c>
      <c r="U85" s="108" t="s">
        <v>976</v>
      </c>
      <c r="V85" s="108" t="s">
        <v>30</v>
      </c>
      <c r="W85" s="108" t="s">
        <v>977</v>
      </c>
      <c r="X85" s="108" t="s">
        <v>757</v>
      </c>
      <c r="Y85" s="108" t="s">
        <v>1005</v>
      </c>
      <c r="Z85" s="134">
        <f>+COUNTIF('Eventos-Tareas'!$D$22:$D$1048576,'Eventos de riesgos'!$B85)</f>
        <v>5</v>
      </c>
      <c r="AA85" s="135">
        <f>+'Eventos de riesgos'!$I85-'Eventos de riesgos'!$J85-'Eventos de riesgos'!$K85</f>
        <v>0</v>
      </c>
      <c r="AB85" s="136" t="s">
        <v>1444</v>
      </c>
      <c r="AC85" s="111" t="s">
        <v>1445</v>
      </c>
      <c r="AD85" s="111" t="s">
        <v>1446</v>
      </c>
      <c r="AE85" s="137" t="s">
        <v>1447</v>
      </c>
    </row>
    <row r="86" spans="1:31" s="110" customFormat="1" ht="300" x14ac:dyDescent="0.35">
      <c r="A86" s="112"/>
      <c r="B86" s="126">
        <v>85</v>
      </c>
      <c r="C86" s="127">
        <v>2025</v>
      </c>
      <c r="D86" s="128" t="s">
        <v>413</v>
      </c>
      <c r="E86" s="129">
        <v>46022.588194444441</v>
      </c>
      <c r="F86" s="129">
        <v>45965.588194444441</v>
      </c>
      <c r="G86" s="130">
        <v>45995.588888888888</v>
      </c>
      <c r="H86" s="155" t="s">
        <v>1480</v>
      </c>
      <c r="I86" s="131">
        <v>0</v>
      </c>
      <c r="J86" s="131">
        <v>0</v>
      </c>
      <c r="K86" s="132">
        <v>0</v>
      </c>
      <c r="L86" s="108" t="s">
        <v>493</v>
      </c>
      <c r="M86" s="108" t="s">
        <v>39</v>
      </c>
      <c r="N86" s="108" t="s">
        <v>82</v>
      </c>
      <c r="O86" s="148" t="s">
        <v>26</v>
      </c>
      <c r="P86" s="133">
        <v>45991.667361111111</v>
      </c>
      <c r="Q86" s="108" t="s">
        <v>27</v>
      </c>
      <c r="R86" s="107" t="s">
        <v>1109</v>
      </c>
      <c r="S86" s="108">
        <v>1033706838</v>
      </c>
      <c r="T86" s="108" t="s">
        <v>49</v>
      </c>
      <c r="U86" s="108" t="s">
        <v>50</v>
      </c>
      <c r="V86" s="108" t="s">
        <v>30</v>
      </c>
      <c r="W86" s="108" t="s">
        <v>978</v>
      </c>
      <c r="X86" s="108" t="s">
        <v>1002</v>
      </c>
      <c r="Y86" s="108" t="s">
        <v>1004</v>
      </c>
      <c r="Z86" s="134">
        <f>+COUNTIF('Eventos-Tareas'!$D$22:$D$1048576,'Eventos de riesgos'!$B86)</f>
        <v>5</v>
      </c>
      <c r="AA86" s="135">
        <f>+'Eventos de riesgos'!$I86-'Eventos de riesgos'!$J86-'Eventos de riesgos'!$K86</f>
        <v>0</v>
      </c>
      <c r="AB86" s="136" t="s">
        <v>1448</v>
      </c>
      <c r="AC86" s="111" t="s">
        <v>1449</v>
      </c>
      <c r="AD86" s="111" t="s">
        <v>1450</v>
      </c>
      <c r="AE86" s="137" t="s">
        <v>1451</v>
      </c>
    </row>
    <row r="87" spans="1:31" s="110" customFormat="1" ht="258" customHeight="1" x14ac:dyDescent="0.35">
      <c r="A87" s="112"/>
      <c r="B87" s="126">
        <v>86</v>
      </c>
      <c r="C87" s="127">
        <v>2025</v>
      </c>
      <c r="D87" s="128" t="s">
        <v>403</v>
      </c>
      <c r="E87" s="129">
        <v>45992.386805555558</v>
      </c>
      <c r="F87" s="129">
        <v>45992.386805555558</v>
      </c>
      <c r="G87" s="130">
        <v>45992.386805555558</v>
      </c>
      <c r="H87" s="155" t="s">
        <v>1478</v>
      </c>
      <c r="I87" s="131">
        <v>4301000</v>
      </c>
      <c r="J87" s="131">
        <v>4301000</v>
      </c>
      <c r="K87" s="132">
        <v>0</v>
      </c>
      <c r="L87" s="108" t="s">
        <v>1041</v>
      </c>
      <c r="M87" s="108" t="s">
        <v>1042</v>
      </c>
      <c r="N87" s="108" t="s">
        <v>1043</v>
      </c>
      <c r="O87" s="148" t="s">
        <v>26</v>
      </c>
      <c r="P87" s="133">
        <v>46022.061805555553</v>
      </c>
      <c r="Q87" s="108" t="s">
        <v>1108</v>
      </c>
      <c r="R87" s="107" t="s">
        <v>1110</v>
      </c>
      <c r="S87" s="108">
        <v>1136886706</v>
      </c>
      <c r="T87" s="108" t="s">
        <v>1024</v>
      </c>
      <c r="U87" s="108" t="s">
        <v>427</v>
      </c>
      <c r="V87" s="108" t="s">
        <v>30</v>
      </c>
      <c r="W87" s="108" t="s">
        <v>1025</v>
      </c>
      <c r="X87" s="108" t="s">
        <v>1045</v>
      </c>
      <c r="Y87" s="108"/>
      <c r="Z87" s="134">
        <f>+COUNTIF('Eventos-Tareas'!$D$22:$D$1048576,'Eventos de riesgos'!$B87)</f>
        <v>5</v>
      </c>
      <c r="AA87" s="135">
        <f>+'Eventos de riesgos'!$I87-'Eventos de riesgos'!$J87-'Eventos de riesgos'!$K87</f>
        <v>0</v>
      </c>
      <c r="AB87" s="136" t="s">
        <v>1452</v>
      </c>
      <c r="AC87" s="111" t="s">
        <v>1453</v>
      </c>
      <c r="AD87" s="111" t="s">
        <v>1454</v>
      </c>
      <c r="AE87" s="137" t="s">
        <v>1455</v>
      </c>
    </row>
    <row r="88" spans="1:31" s="110" customFormat="1" ht="246.5" customHeight="1" x14ac:dyDescent="0.35">
      <c r="A88" s="112"/>
      <c r="B88" s="138">
        <v>87</v>
      </c>
      <c r="C88" s="139">
        <v>2026</v>
      </c>
      <c r="D88" s="140" t="s">
        <v>405</v>
      </c>
      <c r="E88" s="141">
        <v>46086.803472222222</v>
      </c>
      <c r="F88" s="141">
        <v>46099.803472222222</v>
      </c>
      <c r="G88" s="142">
        <v>46024.803472222222</v>
      </c>
      <c r="H88" s="156" t="s">
        <v>1479</v>
      </c>
      <c r="I88" s="143">
        <v>8957000</v>
      </c>
      <c r="J88" s="143">
        <v>8957000</v>
      </c>
      <c r="K88" s="144">
        <v>0</v>
      </c>
      <c r="L88" s="109" t="s">
        <v>1091</v>
      </c>
      <c r="M88" s="109" t="s">
        <v>1091</v>
      </c>
      <c r="N88" s="109" t="s">
        <v>1092</v>
      </c>
      <c r="O88" s="120" t="s">
        <v>26</v>
      </c>
      <c r="P88" s="145">
        <v>46053.807638888888</v>
      </c>
      <c r="Q88" s="109" t="s">
        <v>1108</v>
      </c>
      <c r="R88" s="107" t="s">
        <v>1108</v>
      </c>
      <c r="S88" s="109">
        <v>1014237884</v>
      </c>
      <c r="T88" s="109" t="s">
        <v>1093</v>
      </c>
      <c r="U88" s="109" t="s">
        <v>1094</v>
      </c>
      <c r="V88" s="109" t="s">
        <v>30</v>
      </c>
      <c r="W88" s="109" t="s">
        <v>1095</v>
      </c>
      <c r="X88" s="109" t="s">
        <v>1470</v>
      </c>
      <c r="Y88" s="109"/>
      <c r="Z88" s="146">
        <f>+COUNTIF('Eventos-Tareas'!$D$22:$D$1048576,'Eventos de riesgos'!$B88)</f>
        <v>5</v>
      </c>
      <c r="AA88" s="147">
        <f>+'Eventos de riesgos'!$I88-'Eventos de riesgos'!$J88-'Eventos de riesgos'!$K88</f>
        <v>0</v>
      </c>
      <c r="AB88" s="136" t="s">
        <v>1456</v>
      </c>
      <c r="AC88" s="111" t="s">
        <v>1457</v>
      </c>
      <c r="AD88" s="111" t="s">
        <v>1458</v>
      </c>
      <c r="AE88" s="137" t="s">
        <v>1459</v>
      </c>
    </row>
    <row r="89" spans="1:31" s="110" customFormat="1" ht="247.5" customHeight="1" x14ac:dyDescent="0.35">
      <c r="A89" s="112"/>
      <c r="B89" s="126">
        <v>88</v>
      </c>
      <c r="C89" s="139">
        <v>2026</v>
      </c>
      <c r="D89" s="128" t="s">
        <v>406</v>
      </c>
      <c r="E89" s="129">
        <v>46099.695833333331</v>
      </c>
      <c r="F89" s="129">
        <v>46115.695833333331</v>
      </c>
      <c r="G89" s="130">
        <v>46100.696527777778</v>
      </c>
      <c r="H89" s="155" t="s">
        <v>1477</v>
      </c>
      <c r="I89" s="131">
        <v>1572000</v>
      </c>
      <c r="J89" s="131">
        <v>0</v>
      </c>
      <c r="K89" s="132">
        <v>0</v>
      </c>
      <c r="L89" s="108" t="s">
        <v>493</v>
      </c>
      <c r="M89" s="108" t="s">
        <v>102</v>
      </c>
      <c r="N89" s="108" t="s">
        <v>103</v>
      </c>
      <c r="O89" s="148" t="s">
        <v>26</v>
      </c>
      <c r="P89" s="133">
        <v>46081.695833333331</v>
      </c>
      <c r="Q89" s="108" t="s">
        <v>1108</v>
      </c>
      <c r="R89" s="107" t="s">
        <v>1108</v>
      </c>
      <c r="S89" s="108">
        <v>1033706838</v>
      </c>
      <c r="T89" s="108" t="s">
        <v>1096</v>
      </c>
      <c r="U89" s="108" t="s">
        <v>50</v>
      </c>
      <c r="V89" s="108" t="s">
        <v>30</v>
      </c>
      <c r="W89" s="108" t="s">
        <v>1097</v>
      </c>
      <c r="X89" s="108" t="s">
        <v>1468</v>
      </c>
      <c r="Y89" s="108"/>
      <c r="Z89" s="134">
        <f>+COUNTIF('Eventos-Tareas'!$D$22:$D$1048576,'Eventos de riesgos'!$B89)</f>
        <v>10</v>
      </c>
      <c r="AA89" s="135">
        <f>+'Eventos de riesgos'!$I89-'Eventos de riesgos'!$J89-'Eventos de riesgos'!$K89</f>
        <v>1572000</v>
      </c>
      <c r="AB89" s="136" t="s">
        <v>1460</v>
      </c>
      <c r="AC89" s="111" t="s">
        <v>1461</v>
      </c>
      <c r="AD89" s="111" t="s">
        <v>1462</v>
      </c>
      <c r="AE89" s="137" t="s">
        <v>1463</v>
      </c>
    </row>
    <row r="90" spans="1:31" s="110" customFormat="1" ht="409.5" x14ac:dyDescent="0.35">
      <c r="A90" s="112"/>
      <c r="B90" s="138">
        <v>89</v>
      </c>
      <c r="C90" s="139">
        <v>2026</v>
      </c>
      <c r="D90" s="140" t="s">
        <v>406</v>
      </c>
      <c r="E90" s="141">
        <v>46054</v>
      </c>
      <c r="F90" s="141">
        <v>46097.750694444447</v>
      </c>
      <c r="G90" s="142">
        <v>46081.75</v>
      </c>
      <c r="H90" s="156" t="s">
        <v>1476</v>
      </c>
      <c r="I90" s="143">
        <v>5075108</v>
      </c>
      <c r="J90" s="143">
        <v>5075108</v>
      </c>
      <c r="K90" s="144">
        <v>0</v>
      </c>
      <c r="L90" s="109" t="s">
        <v>493</v>
      </c>
      <c r="M90" s="109" t="s">
        <v>39</v>
      </c>
      <c r="N90" s="109" t="s">
        <v>82</v>
      </c>
      <c r="O90" s="120" t="s">
        <v>26</v>
      </c>
      <c r="P90" s="145">
        <v>46081.754166666666</v>
      </c>
      <c r="Q90" s="109" t="s">
        <v>116</v>
      </c>
      <c r="R90" s="107" t="s">
        <v>1108</v>
      </c>
      <c r="S90" s="109">
        <v>1033706838</v>
      </c>
      <c r="T90" s="109" t="s">
        <v>1096</v>
      </c>
      <c r="U90" s="109" t="s">
        <v>50</v>
      </c>
      <c r="V90" s="109" t="s">
        <v>30</v>
      </c>
      <c r="W90" s="109" t="s">
        <v>1102</v>
      </c>
      <c r="X90" s="109" t="s">
        <v>1469</v>
      </c>
      <c r="Y90" s="109"/>
      <c r="Z90" s="146">
        <f>+COUNTIF('Eventos-Tareas'!$D$22:$D$1048576,'Eventos de riesgos'!$B90)</f>
        <v>5</v>
      </c>
      <c r="AA90" s="147">
        <f>+'Eventos de riesgos'!$I90-'Eventos de riesgos'!$J90-'Eventos de riesgos'!$K90</f>
        <v>0</v>
      </c>
      <c r="AB90" s="136" t="s">
        <v>1464</v>
      </c>
      <c r="AC90" s="111" t="s">
        <v>1465</v>
      </c>
      <c r="AD90" s="111" t="s">
        <v>1466</v>
      </c>
      <c r="AE90" s="137" t="s">
        <v>1467</v>
      </c>
    </row>
    <row r="91" spans="1:31" x14ac:dyDescent="0.35">
      <c r="B91" s="101"/>
      <c r="C91" s="64"/>
      <c r="D91" s="64"/>
      <c r="E91" s="102"/>
      <c r="F91" s="102"/>
      <c r="G91" s="102"/>
      <c r="H91" s="157"/>
      <c r="I91" s="103"/>
      <c r="J91" s="103"/>
      <c r="K91" s="104"/>
      <c r="L91" s="64"/>
      <c r="M91" s="64"/>
      <c r="N91" s="64"/>
      <c r="O91" s="105"/>
      <c r="P91" s="64"/>
      <c r="Q91" s="64"/>
      <c r="R91" s="64"/>
      <c r="S91" s="64"/>
      <c r="T91" s="64"/>
      <c r="U91" s="64"/>
      <c r="V91" s="64"/>
      <c r="W91" s="64"/>
      <c r="X91" s="64"/>
      <c r="Y91" s="64"/>
      <c r="Z91" s="105"/>
      <c r="AA91" s="64"/>
      <c r="AB91" s="64"/>
      <c r="AC91" s="64"/>
      <c r="AD91" s="64"/>
      <c r="AE91" s="106"/>
    </row>
    <row r="1048576" spans="2:31" x14ac:dyDescent="0.35">
      <c r="B1048576" s="89"/>
      <c r="C1048576" s="90"/>
      <c r="D1048576" s="90"/>
      <c r="E1048576" s="91"/>
      <c r="F1048576" s="91"/>
      <c r="G1048576" s="91"/>
      <c r="H1048576" s="158"/>
      <c r="I1048576" s="92"/>
      <c r="J1048576" s="92"/>
      <c r="K1048576" s="93"/>
      <c r="L1048576" s="90"/>
      <c r="M1048576" s="90"/>
      <c r="N1048576" s="90"/>
      <c r="O1048576" s="94"/>
      <c r="P1048576" s="90"/>
      <c r="Q1048576" s="90"/>
      <c r="R1048576" s="90"/>
      <c r="S1048576" s="90"/>
      <c r="T1048576" s="90"/>
      <c r="U1048576" s="90"/>
      <c r="V1048576" s="90"/>
      <c r="W1048576" s="90"/>
      <c r="X1048576" s="90"/>
      <c r="Y1048576" s="90"/>
      <c r="Z1048576" s="94"/>
      <c r="AA1048576" s="90"/>
      <c r="AB1048576" s="90"/>
      <c r="AC1048576" s="90"/>
      <c r="AD1048576" s="90"/>
      <c r="AE1048576" s="95"/>
    </row>
  </sheetData>
  <sheetProtection selectLockedCells="1"/>
  <phoneticPr fontId="1" type="noConversion"/>
  <dataValidations count="1">
    <dataValidation type="date" errorStyle="information" operator="greaterThan" allowBlank="1" showInputMessage="1" showErrorMessage="1" errorTitle="Sólo formato de fecha corta" error="La celda sólo permite formato de fecha corta, así:_x000a__x000a_DD/MM/AAAA ejemplo: 01/02/2023" promptTitle="Formato fecha corta" prompt="DD/MM/AAAA" sqref="E2:E87" xr:uid="{DF7326CD-AE76-4CF0-82E3-1A3DAA895843}">
      <formula1>1</formula1>
    </dataValidation>
  </dataValidations>
  <pageMargins left="0.7" right="0.7" top="0.75" bottom="0.75" header="0.3" footer="0.3"/>
  <pageSetup scale="7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8342-0351-4780-952C-72D8A7F5F257}">
  <sheetPr codeName="Hoja2">
    <tabColor theme="7" tint="-0.249977111117893"/>
  </sheetPr>
  <dimension ref="C1:AG342"/>
  <sheetViews>
    <sheetView showGridLines="0" topLeftCell="A21" zoomScale="63" zoomScaleNormal="80" workbookViewId="0">
      <pane ySplit="2" topLeftCell="A318" activePane="bottomLeft" state="frozen"/>
      <selection activeCell="A21" sqref="A21"/>
      <selection pane="bottomLeft" activeCell="I323" sqref="I323"/>
    </sheetView>
  </sheetViews>
  <sheetFormatPr baseColWidth="10" defaultColWidth="11.453125" defaultRowHeight="46.5" customHeight="1" x14ac:dyDescent="0.55000000000000004"/>
  <cols>
    <col min="1" max="1" width="2.453125" style="4" customWidth="1"/>
    <col min="2" max="2" width="1.7265625" style="4" customWidth="1"/>
    <col min="3" max="3" width="13.54296875" style="5" customWidth="1"/>
    <col min="4" max="5" width="11.453125" style="5"/>
    <col min="6" max="6" width="62.36328125" style="7" customWidth="1"/>
    <col min="7" max="7" width="21.90625" style="4" customWidth="1"/>
    <col min="8" max="8" width="25.36328125" style="6" customWidth="1"/>
    <col min="9" max="9" width="31.453125" style="4" customWidth="1"/>
    <col min="10" max="10" width="13.7265625" style="5" customWidth="1"/>
    <col min="11" max="11" width="13.81640625" style="5" customWidth="1"/>
    <col min="12" max="12" width="12.08984375" style="17" customWidth="1"/>
    <col min="13" max="13" width="11.453125" style="17"/>
    <col min="14" max="14" width="56" style="6" customWidth="1"/>
    <col min="15" max="16" width="11.453125" style="5"/>
    <col min="17" max="19" width="13.54296875" style="5" bestFit="1" customWidth="1"/>
    <col min="20" max="20" width="89.1796875" style="6" customWidth="1"/>
    <col min="21" max="22" width="20.7265625" style="20" bestFit="1" customWidth="1"/>
    <col min="23" max="23" width="16.1796875" style="20" bestFit="1" customWidth="1"/>
    <col min="24" max="26" width="29.26953125" style="6" customWidth="1"/>
    <col min="27" max="27" width="28.54296875" style="6" customWidth="1"/>
    <col min="28" max="28" width="14.81640625" style="5" customWidth="1"/>
    <col min="29" max="29" width="15.453125" style="5" customWidth="1"/>
    <col min="30" max="30" width="33.54296875" style="5" bestFit="1" customWidth="1"/>
    <col min="31" max="31" width="36" style="5" bestFit="1" customWidth="1"/>
    <col min="32" max="32" width="11.453125" style="4"/>
    <col min="33" max="33" width="80.54296875" style="6" bestFit="1" customWidth="1"/>
    <col min="34" max="16384" width="11.453125" style="4"/>
  </cols>
  <sheetData>
    <row r="1" spans="3:17" ht="18" customHeight="1" x14ac:dyDescent="0.55000000000000004">
      <c r="E1" s="160" t="s">
        <v>391</v>
      </c>
      <c r="F1" s="160"/>
      <c r="G1" s="160"/>
      <c r="H1" s="160"/>
      <c r="I1" s="160"/>
      <c r="J1" s="160"/>
      <c r="K1" s="160"/>
      <c r="L1" s="160"/>
      <c r="M1" s="160"/>
    </row>
    <row r="2" spans="3:17" ht="18" customHeight="1" x14ac:dyDescent="0.55000000000000004">
      <c r="E2" s="160"/>
      <c r="F2" s="160"/>
      <c r="G2" s="160"/>
      <c r="H2" s="160"/>
      <c r="I2" s="160"/>
      <c r="J2" s="160"/>
      <c r="K2" s="160"/>
      <c r="L2" s="160"/>
      <c r="M2" s="160"/>
    </row>
    <row r="3" spans="3:17" ht="18" customHeight="1" x14ac:dyDescent="0.55000000000000004">
      <c r="E3" s="160"/>
      <c r="F3" s="160"/>
      <c r="G3" s="160"/>
      <c r="H3" s="160"/>
      <c r="I3" s="160"/>
      <c r="J3" s="160"/>
      <c r="K3" s="160"/>
      <c r="L3" s="160"/>
      <c r="M3" s="160"/>
    </row>
    <row r="4" spans="3:17" ht="18" customHeight="1" x14ac:dyDescent="0.55000000000000004">
      <c r="E4" s="160"/>
      <c r="F4" s="160"/>
      <c r="G4" s="160"/>
      <c r="H4" s="160"/>
      <c r="I4" s="160"/>
      <c r="J4" s="160"/>
      <c r="K4" s="160"/>
      <c r="L4" s="160"/>
      <c r="M4" s="160"/>
    </row>
    <row r="5" spans="3:17" ht="6" customHeight="1" x14ac:dyDescent="0.55000000000000004"/>
    <row r="6" spans="3:17" ht="33.75" customHeight="1" x14ac:dyDescent="0.55000000000000004">
      <c r="C6" s="163" t="s">
        <v>202</v>
      </c>
      <c r="D6" s="164"/>
      <c r="E6" s="164"/>
      <c r="F6" s="27"/>
      <c r="G6" s="28"/>
      <c r="H6" s="75"/>
      <c r="I6" s="28"/>
      <c r="J6" s="28"/>
      <c r="K6" s="28"/>
      <c r="L6" s="28"/>
      <c r="M6" s="29"/>
    </row>
    <row r="7" spans="3:17" ht="4.5" customHeight="1" x14ac:dyDescent="0.55000000000000004">
      <c r="C7" s="30"/>
      <c r="D7" s="18"/>
      <c r="E7" s="18"/>
      <c r="F7" s="8"/>
      <c r="G7" s="9"/>
      <c r="H7" s="76"/>
      <c r="I7" s="9"/>
      <c r="J7" s="19"/>
      <c r="K7" s="19"/>
      <c r="L7" s="24"/>
      <c r="M7" s="31"/>
    </row>
    <row r="8" spans="3:17" ht="21.5" x14ac:dyDescent="0.55000000000000004">
      <c r="C8" s="161" t="s">
        <v>389</v>
      </c>
      <c r="D8" s="22"/>
      <c r="E8" s="171" t="s">
        <v>390</v>
      </c>
      <c r="F8" s="171"/>
      <c r="G8" s="171"/>
      <c r="H8" s="172"/>
      <c r="I8" s="5"/>
      <c r="J8" s="169" t="s">
        <v>211</v>
      </c>
      <c r="K8" s="170" t="s">
        <v>401</v>
      </c>
      <c r="M8" s="32"/>
    </row>
    <row r="9" spans="3:17" ht="21.5" x14ac:dyDescent="0.55000000000000004">
      <c r="C9" s="162"/>
      <c r="D9" s="2"/>
      <c r="E9" s="173"/>
      <c r="F9" s="173"/>
      <c r="G9" s="173"/>
      <c r="H9" s="174"/>
      <c r="I9" s="5"/>
      <c r="J9" s="169"/>
      <c r="K9" s="170"/>
      <c r="M9" s="32"/>
    </row>
    <row r="10" spans="3:17" ht="19" x14ac:dyDescent="0.55000000000000004">
      <c r="C10" s="33">
        <f>COUNTIF('Eventos de riesgos'!$L$1:$L$87,E10)</f>
        <v>5</v>
      </c>
      <c r="D10" s="3"/>
      <c r="E10" s="177" t="s">
        <v>72</v>
      </c>
      <c r="F10" s="177"/>
      <c r="G10" s="177"/>
      <c r="H10" s="178"/>
      <c r="I10" s="1"/>
      <c r="J10" s="25"/>
      <c r="K10" s="25"/>
      <c r="M10" s="32"/>
    </row>
    <row r="11" spans="3:17" ht="19" x14ac:dyDescent="0.55000000000000004">
      <c r="C11" s="33">
        <f>COUNTIF('Eventos de riesgos'!$L$1:$L$87,E11)</f>
        <v>11</v>
      </c>
      <c r="D11" s="3"/>
      <c r="E11" s="177" t="s">
        <v>45</v>
      </c>
      <c r="F11" s="177"/>
      <c r="G11" s="177"/>
      <c r="H11" s="178"/>
      <c r="I11" s="1"/>
      <c r="J11" s="26" t="s">
        <v>217</v>
      </c>
      <c r="K11" s="25">
        <f>COUNTIF(Tabla15[[#All],[Estado]],J11)</f>
        <v>314</v>
      </c>
      <c r="M11" s="32"/>
    </row>
    <row r="12" spans="3:17" ht="19" x14ac:dyDescent="0.55000000000000004">
      <c r="C12" s="33">
        <f>COUNTIF('Eventos de riesgos'!$L$1:$L$87,E12)</f>
        <v>10</v>
      </c>
      <c r="D12" s="3"/>
      <c r="E12" s="177" t="s">
        <v>141</v>
      </c>
      <c r="F12" s="177"/>
      <c r="G12" s="177"/>
      <c r="H12" s="178"/>
      <c r="I12" s="1"/>
      <c r="J12" s="26" t="s">
        <v>402</v>
      </c>
      <c r="K12" s="25">
        <f>COUNTIF(Tabla15[[#All],[Estado]],J12)</f>
        <v>3</v>
      </c>
      <c r="M12" s="32"/>
      <c r="P12"/>
    </row>
    <row r="13" spans="3:17" ht="19" x14ac:dyDescent="0.55000000000000004">
      <c r="C13" s="33">
        <f>COUNTIF('Eventos de riesgos'!$L$1:$L$87,E13)</f>
        <v>0</v>
      </c>
      <c r="D13" s="3"/>
      <c r="E13" s="177" t="s">
        <v>849</v>
      </c>
      <c r="F13" s="177"/>
      <c r="G13" s="177"/>
      <c r="H13" s="178"/>
      <c r="I13" s="1"/>
      <c r="J13" s="25"/>
      <c r="K13" s="25"/>
      <c r="M13" s="32"/>
    </row>
    <row r="14" spans="3:17" ht="19" x14ac:dyDescent="0.55000000000000004">
      <c r="C14" s="33">
        <f>COUNTIF('Eventos de riesgos'!$L$1:$L$87,E14)</f>
        <v>0</v>
      </c>
      <c r="D14" s="3"/>
      <c r="E14" s="177" t="s">
        <v>850</v>
      </c>
      <c r="F14" s="177"/>
      <c r="G14" s="177"/>
      <c r="H14" s="178"/>
      <c r="I14" s="1"/>
      <c r="J14" s="25"/>
      <c r="K14" s="25"/>
      <c r="M14" s="32"/>
      <c r="Q14"/>
    </row>
    <row r="15" spans="3:17" ht="19" x14ac:dyDescent="0.55000000000000004">
      <c r="C15" s="34">
        <f>COUNTIF('Eventos de riesgos'!$L$1:$L$87,E15)</f>
        <v>35</v>
      </c>
      <c r="D15" s="23"/>
      <c r="E15" s="175" t="s">
        <v>493</v>
      </c>
      <c r="F15" s="175"/>
      <c r="G15" s="175"/>
      <c r="H15" s="176"/>
      <c r="I15" s="1"/>
      <c r="M15" s="32"/>
    </row>
    <row r="16" spans="3:17" ht="19" x14ac:dyDescent="0.55000000000000004">
      <c r="C16" s="35"/>
      <c r="D16" s="36"/>
      <c r="E16" s="37"/>
      <c r="F16" s="38"/>
      <c r="G16" s="66"/>
      <c r="H16" s="77"/>
      <c r="I16" s="39"/>
      <c r="J16" s="36"/>
      <c r="K16" s="36"/>
      <c r="L16" s="40"/>
      <c r="M16" s="41"/>
    </row>
    <row r="17" spans="3:33" ht="9" customHeight="1" x14ac:dyDescent="0.55000000000000004">
      <c r="E17" s="10"/>
      <c r="F17" s="11"/>
      <c r="G17" s="67"/>
    </row>
    <row r="18" spans="3:33" ht="19" x14ac:dyDescent="0.55000000000000004">
      <c r="E18" s="10"/>
      <c r="F18" s="11"/>
      <c r="G18" s="67"/>
    </row>
    <row r="19" spans="3:33" ht="19" x14ac:dyDescent="0.55000000000000004">
      <c r="E19" s="10"/>
      <c r="F19" s="11"/>
      <c r="G19" s="67"/>
    </row>
    <row r="20" spans="3:33" ht="49.5" customHeight="1" x14ac:dyDescent="0.55000000000000004">
      <c r="E20" s="10"/>
      <c r="F20" s="11"/>
      <c r="G20" s="67"/>
    </row>
    <row r="21" spans="3:33" s="42" customFormat="1" ht="23.25" customHeight="1" x14ac:dyDescent="0.35">
      <c r="C21" s="165" t="s">
        <v>392</v>
      </c>
      <c r="D21" s="166"/>
      <c r="E21" s="166"/>
      <c r="F21" s="166"/>
      <c r="G21" s="166"/>
      <c r="H21" s="166"/>
      <c r="I21" s="166"/>
      <c r="J21" s="166"/>
      <c r="K21" s="166"/>
      <c r="L21" s="166"/>
      <c r="M21" s="166"/>
      <c r="N21" s="166"/>
      <c r="O21" s="167" t="s">
        <v>400</v>
      </c>
      <c r="P21" s="167"/>
      <c r="Q21" s="167"/>
      <c r="R21" s="167"/>
      <c r="S21" s="167"/>
      <c r="T21" s="167"/>
      <c r="U21" s="167"/>
      <c r="V21" s="167"/>
      <c r="W21" s="167"/>
      <c r="X21" s="167"/>
      <c r="Y21" s="167"/>
      <c r="Z21" s="167"/>
      <c r="AA21" s="167"/>
      <c r="AB21" s="167"/>
      <c r="AC21" s="167"/>
      <c r="AD21" s="167"/>
      <c r="AE21" s="167"/>
      <c r="AF21" s="167"/>
      <c r="AG21" s="168"/>
    </row>
    <row r="22" spans="3:33" ht="42" x14ac:dyDescent="0.55000000000000004">
      <c r="C22" s="12" t="s">
        <v>203</v>
      </c>
      <c r="D22" s="12" t="s">
        <v>204</v>
      </c>
      <c r="E22" s="12" t="s">
        <v>205</v>
      </c>
      <c r="F22" s="13" t="s">
        <v>206</v>
      </c>
      <c r="G22" s="12" t="s">
        <v>851</v>
      </c>
      <c r="H22" s="12" t="s">
        <v>207</v>
      </c>
      <c r="I22" s="12" t="s">
        <v>208</v>
      </c>
      <c r="J22" s="14" t="s">
        <v>209</v>
      </c>
      <c r="K22" s="14" t="s">
        <v>210</v>
      </c>
      <c r="L22" s="12" t="s">
        <v>211</v>
      </c>
      <c r="M22" s="12" t="s">
        <v>212</v>
      </c>
      <c r="N22" s="12" t="s">
        <v>213</v>
      </c>
      <c r="O22" s="15" t="s">
        <v>0</v>
      </c>
      <c r="P22" s="15" t="s">
        <v>1</v>
      </c>
      <c r="Q22" s="16" t="s">
        <v>3</v>
      </c>
      <c r="R22" s="16" t="s">
        <v>4</v>
      </c>
      <c r="S22" s="16" t="s">
        <v>5</v>
      </c>
      <c r="T22" s="15" t="s">
        <v>6</v>
      </c>
      <c r="U22" s="21" t="s">
        <v>7</v>
      </c>
      <c r="V22" s="21" t="s">
        <v>8</v>
      </c>
      <c r="W22" s="21" t="s">
        <v>9</v>
      </c>
      <c r="X22" s="15" t="s">
        <v>10</v>
      </c>
      <c r="Y22" s="15" t="s">
        <v>11</v>
      </c>
      <c r="Z22" s="15" t="s">
        <v>12</v>
      </c>
      <c r="AA22" s="15" t="s">
        <v>22</v>
      </c>
      <c r="AB22" s="15" t="s">
        <v>13</v>
      </c>
      <c r="AC22" s="16" t="s">
        <v>14</v>
      </c>
      <c r="AD22" s="15" t="s">
        <v>15</v>
      </c>
      <c r="AE22" s="15" t="s">
        <v>16</v>
      </c>
      <c r="AF22" s="15" t="s">
        <v>20</v>
      </c>
      <c r="AG22" s="15" t="s">
        <v>21</v>
      </c>
    </row>
    <row r="23" spans="3:33" ht="59" customHeight="1" x14ac:dyDescent="0.55000000000000004">
      <c r="C23" s="43" t="str">
        <f>+Tabla15[[#This Row],[N° 
Evento]]&amp;"-"&amp;Tabla15[[#This Row],[N° Tarea]]</f>
        <v>1-1</v>
      </c>
      <c r="D23" s="43">
        <v>1</v>
      </c>
      <c r="E23" s="43">
        <v>1</v>
      </c>
      <c r="F23" s="44" t="s">
        <v>214</v>
      </c>
      <c r="G23" s="44" t="s">
        <v>1052</v>
      </c>
      <c r="H23" s="44" t="s">
        <v>215</v>
      </c>
      <c r="I23" s="45" t="s">
        <v>216</v>
      </c>
      <c r="J23" s="46">
        <v>44531</v>
      </c>
      <c r="K23" s="46">
        <v>44531</v>
      </c>
      <c r="L23" s="47" t="str">
        <f>IF(Tabla15[[#This Row],[Fecha de Finalización]]&gt;0,"Cerrada","En Proceso")</f>
        <v>Cerrada</v>
      </c>
      <c r="M23" s="43">
        <f t="shared" ref="M23:M54" si="0">+K23-J23</f>
        <v>0</v>
      </c>
      <c r="N23" s="44" t="s">
        <v>218</v>
      </c>
      <c r="O23" s="43">
        <f>VLOOKUP(Tabla15[[#This Row],[N° 
Evento]],'Eventos de riesgos'!B:C,2,0)</f>
        <v>2021</v>
      </c>
      <c r="P23" s="43" t="str">
        <f>VLOOKUP(Tabla15[[#This Row],[N° 
Evento]],'Eventos de riesgos'!B:D,3,0)</f>
        <v xml:space="preserve">Dic  </v>
      </c>
      <c r="Q23" s="48">
        <f>VLOOKUP(Tabla15[[#This Row],[N° 
Evento]],'Eventos de riesgos'!B:E,4,0)</f>
        <v>44440.834722222222</v>
      </c>
      <c r="R23" s="48">
        <f>VLOOKUP(Tabla15[[#This Row],[N° 
Evento]],'Eventos de riesgos'!B:F,5,0)</f>
        <v>44531.834722222222</v>
      </c>
      <c r="S23" s="48">
        <f>VLOOKUP(Tabla15[[#This Row],[N° 
Evento]],'Eventos de riesgos'!B:G,6,0)</f>
        <v>44531.834722222222</v>
      </c>
      <c r="T23" s="62" t="str">
        <f>VLOOKUP(Tabla15[[#This Row],[N° 
Evento]],'Eventos de riesgos'!B:H,7,0)</f>
        <v xml:space="preserve">Caso
Febor tiene contratado los servicios de Visionamos para operaciones electrónicas. El pasado 1 de septiembre de 2020, Visionamos ejecutó un proceso en cola de aplicación de nomina erróneamente, este proceso se ejecutó más de una vez debido a desconexiones tecnológicas donde no se evidenció la corrida del proceso inicial y se procedió a correrlo 2 veces mas, ocasionando aumento en los saldos y obligando a reprocesar con reversiones de saldos.
En este proceso se afectó 137 asociados por un valor total de $ 344.885.519, no hubo pérdidas económicas ya que los dineros abonados no habían sido retirados de las cuentas por parte de los asociados. Desde Febor se operó un reintegro masivo para recuperar los dineros, sin embargo, siendo Visionamos el responsable material, se observó que no intervino en el reproceso y que por otro lado se identificó la falla hasta diciembre de 2021 por parte del área operativa (1 año y 3 meses después), esto genera alertas tales como: Riesgo operativo de terceros, fallas en la comunicación y flujos operativos con terceros, reputación y credibilidad de la Cooperativa.
Acciones
Reversión de saldos
Realizar reversión de las operaciones erradas. Monitoreo permanente de las operaciones electrónicas, puede que las desconexiones de interface se repitan pero la Cooperativa debe conocerlo inmediatamente. Es necesario soporte permanente también desde visionamos. Jefe de Operaciones
</v>
      </c>
      <c r="U23" s="49">
        <f>VLOOKUP(Tabla15[[#This Row],[N° 
Evento]],'Eventos de riesgos'!B:I,8,0)</f>
        <v>344885519</v>
      </c>
      <c r="V23" s="49">
        <f>VLOOKUP(Tabla15[[#This Row],[N° 
Evento]],'Eventos de riesgos'!B:J,9,0)</f>
        <v>344885519</v>
      </c>
      <c r="W23" s="49">
        <f>VLOOKUP(Tabla15[[#This Row],[N° 
Evento]],'Eventos de riesgos'!B:K,10,0)</f>
        <v>0</v>
      </c>
      <c r="X23" s="44" t="str">
        <f>VLOOKUP(Tabla15[[#This Row],[N° 
Evento]],'Eventos de riesgos'!B:L,11,0)</f>
        <v>7 - Ejecución y Administración de Procesos</v>
      </c>
      <c r="Y23" s="44" t="str">
        <f>VLOOKUP(Tabla15[[#This Row],[N° 
Evento]],'Eventos de riesgos'!B:M,12,0)</f>
        <v>76 - Proveedores</v>
      </c>
      <c r="Z23" s="44" t="str">
        <f>VLOOKUP(Tabla15[[#This Row],[N° 
Evento]],'Eventos de riesgos'!B:N,13,0)</f>
        <v>763 - Incumplimiento de las Actividades Contratadas</v>
      </c>
      <c r="AA23" s="44" t="str">
        <f>+VLOOKUP(Tabla15[[#This Row],[N° 
Evento]],'Eventos de riesgos'!$B$1:$AA$87,23,0)</f>
        <v>Falla en operaciones electrónicas originadas por el proveedor</v>
      </c>
      <c r="AB23" s="43" t="str">
        <f>VLOOKUP(Tabla15[[#This Row],[N° 
Evento]],'Eventos de riesgos'!B:O,14,0)</f>
        <v>Ninguna</v>
      </c>
      <c r="AC23" s="48">
        <f>VLOOKUP(Tabla15[[#This Row],[N° 
Evento]],'Eventos de riesgos'!B:P,15,0)</f>
        <v>44561</v>
      </c>
      <c r="AD23" s="43" t="str">
        <f>VLOOKUP(Tabla15[[#This Row],[N° 
Evento]],'Eventos de riesgos'!B:Q,16,0)</f>
        <v>Ahorros voluntarios</v>
      </c>
      <c r="AE23" s="43" t="str">
        <f>VLOOKUP(Tabla15[[#This Row],[N° 
Evento]],'Eventos de riesgos'!B:R,17,0)</f>
        <v>Ninguno</v>
      </c>
      <c r="AF23" s="45" t="str">
        <f>VLOOKUP(Tabla15[[#This Row],[N° 
Evento]],'Eventos de riesgos'!B:V,21,0)</f>
        <v>Aprobado</v>
      </c>
      <c r="AG23" s="44" t="str">
        <f>VLOOKUP(Tabla15[[#This Row],[N° 
Evento]],'Eventos de riesgos'!B:W,22,0)</f>
        <v>16/02/2022 20:08:19: Riesgo. Pérdidas económicas por fallas operativas que implica la relación e intervención con proveedores y/o terceros y pérdida de imagen y confianza de los asociados si se ven afectados sus productos financieros a causa de actividades erradas desde la Cooperativa.</v>
      </c>
    </row>
    <row r="24" spans="3:33" ht="59" customHeight="1" x14ac:dyDescent="0.55000000000000004">
      <c r="C24" s="43" t="str">
        <f>+Tabla15[[#This Row],[N° 
Evento]]&amp;"-"&amp;Tabla15[[#This Row],[N° Tarea]]</f>
        <v>2-1</v>
      </c>
      <c r="D24" s="43">
        <v>2</v>
      </c>
      <c r="E24" s="43">
        <v>1</v>
      </c>
      <c r="F24" s="44" t="s">
        <v>219</v>
      </c>
      <c r="G24" s="44" t="s">
        <v>1052</v>
      </c>
      <c r="H24" s="44" t="s">
        <v>215</v>
      </c>
      <c r="I24" s="45" t="s">
        <v>216</v>
      </c>
      <c r="J24" s="46">
        <v>44489</v>
      </c>
      <c r="K24" s="46">
        <v>44561</v>
      </c>
      <c r="L24" s="47" t="str">
        <f>IF(Tabla15[[#This Row],[Fecha de Finalización]]&gt;0,"Cerrada","En Proceso")</f>
        <v>Cerrada</v>
      </c>
      <c r="M24" s="43">
        <f t="shared" si="0"/>
        <v>72</v>
      </c>
      <c r="N24" s="44" t="s">
        <v>220</v>
      </c>
      <c r="O24" s="43">
        <f>VLOOKUP(Tabla15[[#This Row],[N° 
Evento]],'Eventos de riesgos'!B:C,2,0)</f>
        <v>2021</v>
      </c>
      <c r="P24" s="43" t="str">
        <f>VLOOKUP(Tabla15[[#This Row],[N° 
Evento]],'Eventos de riesgos'!B:D,3,0)</f>
        <v xml:space="preserve">Oct </v>
      </c>
      <c r="Q24" s="48">
        <f>VLOOKUP(Tabla15[[#This Row],[N° 
Evento]],'Eventos de riesgos'!B:E,4,0)</f>
        <v>44286</v>
      </c>
      <c r="R24" s="48">
        <f>VLOOKUP(Tabla15[[#This Row],[N° 
Evento]],'Eventos de riesgos'!B:F,5,0)</f>
        <v>44286</v>
      </c>
      <c r="S24" s="48">
        <f>VLOOKUP(Tabla15[[#This Row],[N° 
Evento]],'Eventos de riesgos'!B:G,6,0)</f>
        <v>44489</v>
      </c>
      <c r="T24" s="62" t="str">
        <f>VLOOKUP(Tabla15[[#This Row],[N° 
Evento]],'Eventos de riesgos'!B:H,7,0)</f>
        <v>Caso
Sobre los primeros días de marzo de 2021, 35 asociados hicieron operaciones con su tarjeta débito que en total sumó $7.943.416. Se presentó fallas tecnológicas, desconexión entre los aplicativos y dichas operaciones nunca fueron descontadas de los ahorros voluntarios de los asociados.
Por otro lado, se añade que al momento de realizar conciliaciones, no se verificó estas operaciones y en el mes de octubre cuando se detectó la falla, varios  asociados ya no tenían este dinero es sus cuentas de ahorro para realizar el cobro correspondiente.
Acciones
De los  $7.943.416 que sumó el total de las transacciones, se recuperó $4.365.767 quedando un valor  por recuperar de $3.607.649. 
Revisar las operaciones  de los asociados afectados, conciliar y recuperar los dineros de las cuentas de ahorro voluntario y para quienes ya no contaban con el recurso ir recuperando de manera paulatina.</v>
      </c>
      <c r="U24" s="49">
        <f>VLOOKUP(Tabla15[[#This Row],[N° 
Evento]],'Eventos de riesgos'!B:I,8,0)</f>
        <v>7943416</v>
      </c>
      <c r="V24" s="49">
        <f>VLOOKUP(Tabla15[[#This Row],[N° 
Evento]],'Eventos de riesgos'!B:J,9,0)</f>
        <v>4365767</v>
      </c>
      <c r="W24" s="49">
        <f>VLOOKUP(Tabla15[[#This Row],[N° 
Evento]],'Eventos de riesgos'!B:K,10,0)</f>
        <v>0</v>
      </c>
      <c r="X24" s="44" t="str">
        <f>VLOOKUP(Tabla15[[#This Row],[N° 
Evento]],'Eventos de riesgos'!B:L,11,0)</f>
        <v>6 - Fallas Tecnologicas</v>
      </c>
      <c r="Y24" s="44" t="str">
        <f>VLOOKUP(Tabla15[[#This Row],[N° 
Evento]],'Eventos de riesgos'!B:M,12,0)</f>
        <v>61 - Sistemas</v>
      </c>
      <c r="Z24" s="44" t="str">
        <f>VLOOKUP(Tabla15[[#This Row],[N° 
Evento]],'Eventos de riesgos'!B:N,13,0)</f>
        <v>614 - Interrupción en el Suministro de un Servicio Público que Ocasiones Falla en los Sistemas</v>
      </c>
      <c r="AA24" s="44" t="str">
        <f>+VLOOKUP(Tabla15[[#This Row],[N° 
Evento]],'Eventos de riesgos'!$B$1:$AA$87,23,0)</f>
        <v>Falla en operaciones electrónicas originadas por el proveedor</v>
      </c>
      <c r="AB24" s="43" t="str">
        <f>VLOOKUP(Tabla15[[#This Row],[N° 
Evento]],'Eventos de riesgos'!B:O,14,0)</f>
        <v>Ninguna</v>
      </c>
      <c r="AC24" s="48">
        <f>VLOOKUP(Tabla15[[#This Row],[N° 
Evento]],'Eventos de riesgos'!B:P,15,0)</f>
        <v>44500</v>
      </c>
      <c r="AD24" s="43" t="str">
        <f>VLOOKUP(Tabla15[[#This Row],[N° 
Evento]],'Eventos de riesgos'!B:Q,16,0)</f>
        <v>Ahorros voluntarios</v>
      </c>
      <c r="AE24" s="43" t="str">
        <f>VLOOKUP(Tabla15[[#This Row],[N° 
Evento]],'Eventos de riesgos'!B:R,17,0)</f>
        <v>Ninguno</v>
      </c>
      <c r="AF24" s="45" t="str">
        <f>VLOOKUP(Tabla15[[#This Row],[N° 
Evento]],'Eventos de riesgos'!B:V,21,0)</f>
        <v>Aprobado</v>
      </c>
      <c r="AG24" s="44" t="str">
        <f>VLOOKUP(Tabla15[[#This Row],[N° 
Evento]],'Eventos de riesgos'!B:W,22,0)</f>
        <v>18/02/2022 15:52:17: Riesgo identificado - Pérdidas económicas por fallas tecnológicas entra los aplicativos que conectan la operación de la Cooperativa.</v>
      </c>
    </row>
    <row r="25" spans="3:33" ht="59" customHeight="1" x14ac:dyDescent="0.55000000000000004">
      <c r="C25" s="43" t="str">
        <f>+Tabla15[[#This Row],[N° 
Evento]]&amp;"-"&amp;Tabla15[[#This Row],[N° Tarea]]</f>
        <v>3-1</v>
      </c>
      <c r="D25" s="43">
        <v>3</v>
      </c>
      <c r="E25" s="43">
        <v>1</v>
      </c>
      <c r="F25" s="44" t="s">
        <v>221</v>
      </c>
      <c r="G25" s="44" t="s">
        <v>1052</v>
      </c>
      <c r="H25" s="44" t="s">
        <v>215</v>
      </c>
      <c r="I25" s="45" t="s">
        <v>216</v>
      </c>
      <c r="J25" s="46">
        <v>44533</v>
      </c>
      <c r="K25" s="46">
        <v>44533</v>
      </c>
      <c r="L25" s="47" t="str">
        <f>IF(Tabla15[[#This Row],[Fecha de Finalización]]&gt;0,"Cerrada","En Proceso")</f>
        <v>Cerrada</v>
      </c>
      <c r="M25" s="43">
        <f t="shared" si="0"/>
        <v>0</v>
      </c>
      <c r="N25" s="44" t="s">
        <v>222</v>
      </c>
      <c r="O25" s="43">
        <f>VLOOKUP(Tabla15[[#This Row],[N° 
Evento]],'Eventos de riesgos'!B:C,2,0)</f>
        <v>2021</v>
      </c>
      <c r="P25" s="43" t="str">
        <f>VLOOKUP(Tabla15[[#This Row],[N° 
Evento]],'Eventos de riesgos'!B:D,3,0)</f>
        <v xml:space="preserve">Dic  </v>
      </c>
      <c r="Q25" s="48">
        <f>VLOOKUP(Tabla15[[#This Row],[N° 
Evento]],'Eventos de riesgos'!B:E,4,0)</f>
        <v>44529</v>
      </c>
      <c r="R25" s="48">
        <f>VLOOKUP(Tabla15[[#This Row],[N° 
Evento]],'Eventos de riesgos'!B:F,5,0)</f>
        <v>44533</v>
      </c>
      <c r="S25" s="48">
        <f>VLOOKUP(Tabla15[[#This Row],[N° 
Evento]],'Eventos de riesgos'!B:G,6,0)</f>
        <v>44533</v>
      </c>
      <c r="T25" s="62" t="str">
        <f>VLOOKUP(Tabla15[[#This Row],[N° 
Evento]],'Eventos de riesgos'!B:H,7,0)</f>
        <v>Caso
El 29 de noviembre, el área de operaciones ejecutó el proceso acostumbrado de aplicación de nominas de Colpensiones, tomando la plantilla oficial publicada en la página Web de Colpensiones.
El 3 de diciembre, cuando el área de operaciones verificó el proceso  junto con el área contable se hallaron diferencias con el reporte aplicado
Se evidenció  que la plantilla utilizada para dicha operación  era errada, (error que reconoció Colpensiones y posteriormente publicó la plantilla corregida) y que faltaba información por suministrar. En este proceso se procedió a realizar el cargue nuevamente y no se generaron pérdidas económicas para la Cooperativa.
Acciones
Corregir las operaciones ejecutadas de manera errónea, de forma urgente.
Medida de autocontrol por parte del analista, debe revisar plantillas y versiones oficiales antes de los cargues</v>
      </c>
      <c r="U25" s="49">
        <f>VLOOKUP(Tabla15[[#This Row],[N° 
Evento]],'Eventos de riesgos'!B:I,8,0)</f>
        <v>0</v>
      </c>
      <c r="V25" s="49">
        <f>VLOOKUP(Tabla15[[#This Row],[N° 
Evento]],'Eventos de riesgos'!B:J,9,0)</f>
        <v>0</v>
      </c>
      <c r="W25" s="49">
        <f>VLOOKUP(Tabla15[[#This Row],[N° 
Evento]],'Eventos de riesgos'!B:K,10,0)</f>
        <v>0</v>
      </c>
      <c r="X25" s="44" t="str">
        <f>VLOOKUP(Tabla15[[#This Row],[N° 
Evento]],'Eventos de riesgos'!B:L,11,0)</f>
        <v>7 - Ejecución y Administración de Procesos</v>
      </c>
      <c r="Y25" s="44" t="str">
        <f>VLOOKUP(Tabla15[[#This Row],[N° 
Evento]],'Eventos de riesgos'!B:M,12,0)</f>
        <v>71 - Recepción, Ejecución y Mantenimiento de Operaciones</v>
      </c>
      <c r="Z25" s="44" t="str">
        <f>VLOOKUP(Tabla15[[#This Row],[N° 
Evento]],'Eventos de riesgos'!B:N,13,0)</f>
        <v>717 - Problema en el Mantenimiento de Datos de Referencia</v>
      </c>
      <c r="AA25" s="44" t="str">
        <f>+VLOOKUP(Tabla15[[#This Row],[N° 
Evento]],'Eventos de riesgos'!$B$1:$AA$87,23,0)</f>
        <v>Error en aplicación de nómina Colpensiones</v>
      </c>
      <c r="AB25" s="43" t="str">
        <f>VLOOKUP(Tabla15[[#This Row],[N° 
Evento]],'Eventos de riesgos'!B:O,14,0)</f>
        <v>Ninguna</v>
      </c>
      <c r="AC25" s="48">
        <f>VLOOKUP(Tabla15[[#This Row],[N° 
Evento]],'Eventos de riesgos'!B:P,15,0)</f>
        <v>44561</v>
      </c>
      <c r="AD25" s="43" t="str">
        <f>VLOOKUP(Tabla15[[#This Row],[N° 
Evento]],'Eventos de riesgos'!B:Q,16,0)</f>
        <v>Varios tipos de crédito</v>
      </c>
      <c r="AE25" s="43" t="str">
        <f>VLOOKUP(Tabla15[[#This Row],[N° 
Evento]],'Eventos de riesgos'!B:R,17,0)</f>
        <v>Ninguno</v>
      </c>
      <c r="AF25" s="45" t="str">
        <f>VLOOKUP(Tabla15[[#This Row],[N° 
Evento]],'Eventos de riesgos'!B:V,21,0)</f>
        <v>Aprobado</v>
      </c>
      <c r="AG25" s="44" t="str">
        <f>VLOOKUP(Tabla15[[#This Row],[N° 
Evento]],'Eventos de riesgos'!B:W,22,0)</f>
        <v>18/02/2022 15:59:23: Identificación de riesgo- Pérdidas económicas por operaciones erradas en la aplicación de nomina.</v>
      </c>
    </row>
    <row r="26" spans="3:33" ht="59" customHeight="1" x14ac:dyDescent="0.55000000000000004">
      <c r="C26" s="43" t="str">
        <f>+Tabla15[[#This Row],[N° 
Evento]]&amp;"-"&amp;Tabla15[[#This Row],[N° Tarea]]</f>
        <v>5-1</v>
      </c>
      <c r="D26" s="43">
        <v>5</v>
      </c>
      <c r="E26" s="43">
        <v>1</v>
      </c>
      <c r="F26" s="44" t="s">
        <v>223</v>
      </c>
      <c r="G26" s="44" t="s">
        <v>1053</v>
      </c>
      <c r="H26" s="44" t="s">
        <v>224</v>
      </c>
      <c r="I26" s="45" t="s">
        <v>225</v>
      </c>
      <c r="J26" s="46">
        <v>44562</v>
      </c>
      <c r="K26" s="46">
        <v>44562</v>
      </c>
      <c r="L26" s="47" t="str">
        <f>IF(Tabla15[[#This Row],[Fecha de Finalización]]&gt;0,"Cerrada","En Proceso")</f>
        <v>Cerrada</v>
      </c>
      <c r="M26" s="43">
        <f t="shared" si="0"/>
        <v>0</v>
      </c>
      <c r="N26" s="44" t="s">
        <v>226</v>
      </c>
      <c r="O26" s="43">
        <f>VLOOKUP(Tabla15[[#This Row],[N° 
Evento]],'Eventos de riesgos'!B:C,2,0)</f>
        <v>2022</v>
      </c>
      <c r="P26" s="43" t="str">
        <f>VLOOKUP(Tabla15[[#This Row],[N° 
Evento]],'Eventos de riesgos'!B:D,3,0)</f>
        <v xml:space="preserve">Ene </v>
      </c>
      <c r="Q26" s="48">
        <f>VLOOKUP(Tabla15[[#This Row],[N° 
Evento]],'Eventos de riesgos'!B:E,4,0)</f>
        <v>44562</v>
      </c>
      <c r="R26" s="48">
        <f>VLOOKUP(Tabla15[[#This Row],[N° 
Evento]],'Eventos de riesgos'!B:F,5,0)</f>
        <v>44562</v>
      </c>
      <c r="S26" s="48">
        <f>VLOOKUP(Tabla15[[#This Row],[N° 
Evento]],'Eventos de riesgos'!B:G,6,0)</f>
        <v>44562</v>
      </c>
      <c r="T26" s="62" t="str">
        <f>VLOOKUP(Tabla15[[#This Row],[N° 
Evento]],'Eventos de riesgos'!B:H,7,0)</f>
        <v>Caso
Personas inescrupulosas crearon una página web www.coopfebor.com falsa para ofrecer préstamos de libre inversión, aprovechándose del buen nombre de Febor. Realizaron publicidad de oferta de servicios mediante cartas dirigidas y por la línea de WhatsApp 3123312790 donde solicitan envío de información al correo de gerencia@coopfebor.com con el fin de obtener tal servicio. En dicha pagina web se publicó la dirección real de Febor para crear confianza, Febor acudió inmediatamente a la publicación oficial de la novedad por los canales oficiales dirigida a los asociados y tramitó las denuncias correspondientes.
El proceso de suplantación no surgió efecto, no se identifican asociados víctimas de fraude en este evento.
Acciones
Comunicación y alerta inmediata a través de los canales oficiales de la Cooperativa para prevenir a los asociados de ser victimas de fraude.
Verificación permanente de sitios web sospechosos con información básica de Febor.</v>
      </c>
      <c r="U26" s="49">
        <f>VLOOKUP(Tabla15[[#This Row],[N° 
Evento]],'Eventos de riesgos'!B:I,8,0)</f>
        <v>0</v>
      </c>
      <c r="V26" s="49">
        <f>VLOOKUP(Tabla15[[#This Row],[N° 
Evento]],'Eventos de riesgos'!B:J,9,0)</f>
        <v>0</v>
      </c>
      <c r="W26" s="49">
        <f>VLOOKUP(Tabla15[[#This Row],[N° 
Evento]],'Eventos de riesgos'!B:K,10,0)</f>
        <v>0</v>
      </c>
      <c r="X26" s="44" t="str">
        <f>VLOOKUP(Tabla15[[#This Row],[N° 
Evento]],'Eventos de riesgos'!B:L,11,0)</f>
        <v>2 - Fraude Externo</v>
      </c>
      <c r="Y26" s="44" t="str">
        <f>VLOOKUP(Tabla15[[#This Row],[N° 
Evento]],'Eventos de riesgos'!B:M,12,0)</f>
        <v>22 - Hurto y Fraude</v>
      </c>
      <c r="Z26" s="44" t="str">
        <f>VLOOKUP(Tabla15[[#This Row],[N° 
Evento]],'Eventos de riesgos'!B:N,13,0)</f>
        <v>222 - Falsificación</v>
      </c>
      <c r="AA26" s="44" t="str">
        <f>+VLOOKUP(Tabla15[[#This Row],[N° 
Evento]],'Eventos de riesgos'!$B$1:$AA$87,23,0)</f>
        <v>Suplantación de página web de Febor</v>
      </c>
      <c r="AB26" s="43" t="str">
        <f>VLOOKUP(Tabla15[[#This Row],[N° 
Evento]],'Eventos de riesgos'!B:O,14,0)</f>
        <v>Ninguna</v>
      </c>
      <c r="AC26" s="48">
        <f>VLOOKUP(Tabla15[[#This Row],[N° 
Evento]],'Eventos de riesgos'!B:P,15,0)</f>
        <v>44592</v>
      </c>
      <c r="AD26" s="43" t="str">
        <f>VLOOKUP(Tabla15[[#This Row],[N° 
Evento]],'Eventos de riesgos'!B:Q,16,0)</f>
        <v>Crédito de libre inversión</v>
      </c>
      <c r="AE26" s="43" t="str">
        <f>VLOOKUP(Tabla15[[#This Row],[N° 
Evento]],'Eventos de riesgos'!B:R,17,0)</f>
        <v>Canales de comunicación virtual</v>
      </c>
      <c r="AF26" s="45" t="str">
        <f>VLOOKUP(Tabla15[[#This Row],[N° 
Evento]],'Eventos de riesgos'!B:V,21,0)</f>
        <v>Aprobado</v>
      </c>
      <c r="AG26" s="44" t="str">
        <f>VLOOKUP(Tabla15[[#This Row],[N° 
Evento]],'Eventos de riesgos'!B:W,22,0)</f>
        <v xml:space="preserve">
18/02/2022 16:14:05: Transacción de riesgo- Pérdida de imagen y reputación debido a suplantaciones realizadas por personas inescrupulosas.</v>
      </c>
    </row>
    <row r="27" spans="3:33" ht="59" customHeight="1" x14ac:dyDescent="0.55000000000000004">
      <c r="C27" s="43" t="str">
        <f>+Tabla15[[#This Row],[N° 
Evento]]&amp;"-"&amp;Tabla15[[#This Row],[N° Tarea]]</f>
        <v>8-1</v>
      </c>
      <c r="D27" s="43">
        <v>8</v>
      </c>
      <c r="E27" s="43">
        <v>1</v>
      </c>
      <c r="F27" s="44" t="s">
        <v>227</v>
      </c>
      <c r="G27" s="44" t="s">
        <v>1052</v>
      </c>
      <c r="H27" s="44" t="s">
        <v>771</v>
      </c>
      <c r="I27" s="45" t="s">
        <v>228</v>
      </c>
      <c r="J27" s="46">
        <v>44602</v>
      </c>
      <c r="K27" s="46">
        <v>44602</v>
      </c>
      <c r="L27" s="47" t="str">
        <f>IF(Tabla15[[#This Row],[Fecha de Finalización]]&gt;0,"Cerrada","En Proceso")</f>
        <v>Cerrada</v>
      </c>
      <c r="M27" s="43">
        <f t="shared" si="0"/>
        <v>0</v>
      </c>
      <c r="N27" s="44" t="s">
        <v>229</v>
      </c>
      <c r="O27" s="43">
        <f>VLOOKUP(Tabla15[[#This Row],[N° 
Evento]],'Eventos de riesgos'!B:C,2,0)</f>
        <v>2022</v>
      </c>
      <c r="P27" s="43" t="str">
        <f>VLOOKUP(Tabla15[[#This Row],[N° 
Evento]],'Eventos de riesgos'!B:D,3,0)</f>
        <v xml:space="preserve">Feb </v>
      </c>
      <c r="Q27" s="48">
        <f>VLOOKUP(Tabla15[[#This Row],[N° 
Evento]],'Eventos de riesgos'!B:E,4,0)</f>
        <v>43870</v>
      </c>
      <c r="R27" s="48">
        <f>VLOOKUP(Tabla15[[#This Row],[N° 
Evento]],'Eventos de riesgos'!B:F,5,0)</f>
        <v>43871</v>
      </c>
      <c r="S27" s="48">
        <f>VLOOKUP(Tabla15[[#This Row],[N° 
Evento]],'Eventos de riesgos'!B:G,6,0)</f>
        <v>44602</v>
      </c>
      <c r="T27" s="62" t="str">
        <f>VLOOKUP(Tabla15[[#This Row],[N° 
Evento]],'Eventos de riesgos'!B:H,7,0)</f>
        <v>Caso
El 09 de febrero de 2022 se presentaron fallas en la conexión de internet y en el PBX a partir de las 6:00pm, ocasionado por un daño en el switch (un dispositivo de interconexión utilizado para conectar equipos en red). Se realizó el proceso de restablecimiento del sistema y opera con normalidad a partir de las 8:30 am del 10 de febrero 2022. Para garantizar continuidad de la operación, se reemplazará el dispositivo de interconexión con los recursos presupuestados para el mantenimiento preventivo y/o correctivo de equipos e infraestructura tecnológica.
No se registran pérdidas económicas que deba asumir la Cooperativa.
Acciones
Reemplazar el switch dañado para garantizar nuevamente la conectividad.</v>
      </c>
      <c r="U27" s="49">
        <f>VLOOKUP(Tabla15[[#This Row],[N° 
Evento]],'Eventos de riesgos'!B:I,8,0)</f>
        <v>0</v>
      </c>
      <c r="V27" s="49">
        <f>VLOOKUP(Tabla15[[#This Row],[N° 
Evento]],'Eventos de riesgos'!B:J,9,0)</f>
        <v>0</v>
      </c>
      <c r="W27" s="49">
        <f>VLOOKUP(Tabla15[[#This Row],[N° 
Evento]],'Eventos de riesgos'!B:K,10,0)</f>
        <v>0</v>
      </c>
      <c r="X27" s="44" t="str">
        <f>VLOOKUP(Tabla15[[#This Row],[N° 
Evento]],'Eventos de riesgos'!B:L,11,0)</f>
        <v>6 - Fallas Tecnologicas</v>
      </c>
      <c r="Y27" s="44" t="str">
        <f>VLOOKUP(Tabla15[[#This Row],[N° 
Evento]],'Eventos de riesgos'!B:M,12,0)</f>
        <v>61 - Sistemas</v>
      </c>
      <c r="Z27" s="44" t="str">
        <f>VLOOKUP(Tabla15[[#This Row],[N° 
Evento]],'Eventos de riesgos'!B:N,13,0)</f>
        <v>613 - Pérdida por Fallas en Telecomunicaciones</v>
      </c>
      <c r="AA27" s="44" t="str">
        <f>+VLOOKUP(Tabla15[[#This Row],[N° 
Evento]],'Eventos de riesgos'!$B$1:$AA$87,23,0)</f>
        <v>Indisponibilidad PBX</v>
      </c>
      <c r="AB27" s="43" t="str">
        <f>VLOOKUP(Tabla15[[#This Row],[N° 
Evento]],'Eventos de riesgos'!B:O,14,0)</f>
        <v>Ninguna</v>
      </c>
      <c r="AC27" s="48">
        <f>VLOOKUP(Tabla15[[#This Row],[N° 
Evento]],'Eventos de riesgos'!B:P,15,0)</f>
        <v>44620</v>
      </c>
      <c r="AD27" s="43" t="str">
        <f>VLOOKUP(Tabla15[[#This Row],[N° 
Evento]],'Eventos de riesgos'!B:Q,16,0)</f>
        <v>Ninguno</v>
      </c>
      <c r="AE27" s="43" t="str">
        <f>VLOOKUP(Tabla15[[#This Row],[N° 
Evento]],'Eventos de riesgos'!B:R,17,0)</f>
        <v>Comunicación por PBX</v>
      </c>
      <c r="AF27" s="45" t="str">
        <f>VLOOKUP(Tabla15[[#This Row],[N° 
Evento]],'Eventos de riesgos'!B:V,21,0)</f>
        <v>Aprobado</v>
      </c>
      <c r="AG27" s="44" t="str">
        <f>VLOOKUP(Tabla15[[#This Row],[N° 
Evento]],'Eventos de riesgos'!B:W,22,0)</f>
        <v>18/02/2022 16:53:31: Transacción de riesgo - Insatisfacción de los asociados por no prestar oportunamente los servicios mediante los canales telefónicos dado que las fallas tecnológicas interrumpen este medio de comunicación.</v>
      </c>
    </row>
    <row r="28" spans="3:33" ht="59" customHeight="1" x14ac:dyDescent="0.55000000000000004">
      <c r="C28" s="43" t="str">
        <f>+Tabla15[[#This Row],[N° 
Evento]]&amp;"-"&amp;Tabla15[[#This Row],[N° Tarea]]</f>
        <v>9-1</v>
      </c>
      <c r="D28" s="43">
        <v>9</v>
      </c>
      <c r="E28" s="43">
        <v>1</v>
      </c>
      <c r="F28" s="44" t="s">
        <v>230</v>
      </c>
      <c r="G28" s="44" t="s">
        <v>1052</v>
      </c>
      <c r="H28" s="44" t="s">
        <v>215</v>
      </c>
      <c r="I28" s="45" t="s">
        <v>91</v>
      </c>
      <c r="J28" s="46">
        <v>44606</v>
      </c>
      <c r="K28" s="46">
        <v>44606</v>
      </c>
      <c r="L28" s="47" t="str">
        <f>IF(Tabla15[[#This Row],[Fecha de Finalización]]&gt;0,"Cerrada","En Proceso")</f>
        <v>Cerrada</v>
      </c>
      <c r="M28" s="43">
        <f t="shared" si="0"/>
        <v>0</v>
      </c>
      <c r="N28" s="44" t="s">
        <v>231</v>
      </c>
      <c r="O28" s="43">
        <f>VLOOKUP(Tabla15[[#This Row],[N° 
Evento]],'Eventos de riesgos'!B:C,2,0)</f>
        <v>2022</v>
      </c>
      <c r="P28" s="43" t="str">
        <f>VLOOKUP(Tabla15[[#This Row],[N° 
Evento]],'Eventos de riesgos'!B:D,3,0)</f>
        <v xml:space="preserve">Feb </v>
      </c>
      <c r="Q28" s="48">
        <f>VLOOKUP(Tabla15[[#This Row],[N° 
Evento]],'Eventos de riesgos'!B:E,4,0)</f>
        <v>44606</v>
      </c>
      <c r="R28" s="48">
        <f>VLOOKUP(Tabla15[[#This Row],[N° 
Evento]],'Eventos de riesgos'!B:F,5,0)</f>
        <v>44607</v>
      </c>
      <c r="S28" s="48">
        <f>VLOOKUP(Tabla15[[#This Row],[N° 
Evento]],'Eventos de riesgos'!B:G,6,0)</f>
        <v>44606</v>
      </c>
      <c r="T28" s="62" t="str">
        <f>VLOOKUP(Tabla15[[#This Row],[N° 
Evento]],'Eventos de riesgos'!B:H,7,0)</f>
        <v xml:space="preserve">Caso
El día 14 de febrero 2022 el asociado José Neira Ochoa identificado con CC 170562291 reportó sobre las 4:30 pm a Febor que intentaban extraer dinero de su cuenta de ahorros voluntarios sin su consentimiento. Al indagar y averiguar la situación expuesta por el asociado, se logró identificar dos personas que intentaban extraer $12 millones de pesos, y se bloqueó la aplicación del retiro inmediatamente, de igual al día siguiente, el asociado reportó que en la madrugada del 15 de febrero también tuvo intento de robo por $20 millones por uno de las personas identificadas.
El Asociado José Neira argumenta que esta persona es un asesor de una empresa de telefonía donde solicitó un servicio, y él confiado entregó su celular, por tal motivo este asesor tuvo acceso a su App móvil transaccional e inicio sus intentos de fraude. Febor hizo los bloqueos correspondientes sobre los productos del asociado para evitar este hurto y brindó la información pertinente para que pudiera iniciar un proceso de denuncia formal ante las autoridades competentes.
Acciones
Realizar el bloqueo inmediato de las cuentas y productos del asociado, asesorar al asociado para el restablecimiento de contraseñas
Comunicar y alertar de manera preventiva a los asociados para que cuiden su información y equipos de uso personal.
Brindar información al asociado con respecto de los intentos de fraude y asesoramiento para que presente la denuncia correspondiente.
</v>
      </c>
      <c r="U28" s="49">
        <f>VLOOKUP(Tabla15[[#This Row],[N° 
Evento]],'Eventos de riesgos'!B:I,8,0)</f>
        <v>0</v>
      </c>
      <c r="V28" s="49">
        <f>VLOOKUP(Tabla15[[#This Row],[N° 
Evento]],'Eventos de riesgos'!B:J,9,0)</f>
        <v>0</v>
      </c>
      <c r="W28" s="49">
        <f>VLOOKUP(Tabla15[[#This Row],[N° 
Evento]],'Eventos de riesgos'!B:K,10,0)</f>
        <v>0</v>
      </c>
      <c r="X28" s="44" t="str">
        <f>VLOOKUP(Tabla15[[#This Row],[N° 
Evento]],'Eventos de riesgos'!B:L,11,0)</f>
        <v>2 - Fraude Externo</v>
      </c>
      <c r="Y28" s="44" t="str">
        <f>VLOOKUP(Tabla15[[#This Row],[N° 
Evento]],'Eventos de riesgos'!B:M,12,0)</f>
        <v>22 - Hurto y Fraude</v>
      </c>
      <c r="Z28" s="44" t="str">
        <f>VLOOKUP(Tabla15[[#This Row],[N° 
Evento]],'Eventos de riesgos'!B:N,13,0)</f>
        <v>221 - Robo o Hurto</v>
      </c>
      <c r="AA28" s="44" t="str">
        <f>+VLOOKUP(Tabla15[[#This Row],[N° 
Evento]],'Eventos de riesgos'!$B$1:$AA$87,23,0)</f>
        <v>Suplantación y fraude a asociados</v>
      </c>
      <c r="AB28" s="43" t="str">
        <f>VLOOKUP(Tabla15[[#This Row],[N° 
Evento]],'Eventos de riesgos'!B:O,14,0)</f>
        <v>Ninguna</v>
      </c>
      <c r="AC28" s="48">
        <f>VLOOKUP(Tabla15[[#This Row],[N° 
Evento]],'Eventos de riesgos'!B:P,15,0)</f>
        <v>44620</v>
      </c>
      <c r="AD28" s="43" t="str">
        <f>VLOOKUP(Tabla15[[#This Row],[N° 
Evento]],'Eventos de riesgos'!B:Q,16,0)</f>
        <v>Ahorros voluntarios</v>
      </c>
      <c r="AE28" s="43" t="str">
        <f>VLOOKUP(Tabla15[[#This Row],[N° 
Evento]],'Eventos de riesgos'!B:R,17,0)</f>
        <v>Aplicación móvil (App Febor)</v>
      </c>
      <c r="AF28" s="45" t="str">
        <f>VLOOKUP(Tabla15[[#This Row],[N° 
Evento]],'Eventos de riesgos'!B:V,21,0)</f>
        <v>Aprobado</v>
      </c>
      <c r="AG28" s="44" t="str">
        <f>VLOOKUP(Tabla15[[#This Row],[N° 
Evento]],'Eventos de riesgos'!B:W,22,0)</f>
        <v>18/02/2022 16:58:10: Transacción de riesgo- Pérdida de imagen y credibilidad con respecto de la seguridad de nuestros mecanismos de seguridad tecnológica y oportunidad de respuesta ante situaciones de posible fraude.</v>
      </c>
    </row>
    <row r="29" spans="3:33" ht="59" customHeight="1" x14ac:dyDescent="0.55000000000000004">
      <c r="C29" s="43" t="str">
        <f>+Tabla15[[#This Row],[N° 
Evento]]&amp;"-"&amp;Tabla15[[#This Row],[N° Tarea]]</f>
        <v>9-2</v>
      </c>
      <c r="D29" s="43">
        <v>9</v>
      </c>
      <c r="E29" s="43">
        <v>2</v>
      </c>
      <c r="F29" s="44" t="s">
        <v>232</v>
      </c>
      <c r="G29" s="44" t="s">
        <v>1052</v>
      </c>
      <c r="H29" s="44" t="s">
        <v>233</v>
      </c>
      <c r="I29" s="45" t="s">
        <v>234</v>
      </c>
      <c r="J29" s="46">
        <v>44606</v>
      </c>
      <c r="K29" s="46">
        <v>44607</v>
      </c>
      <c r="L29" s="47" t="str">
        <f>IF(Tabla15[[#This Row],[Fecha de Finalización]]&gt;0,"Cerrada","En Proceso")</f>
        <v>Cerrada</v>
      </c>
      <c r="M29" s="43">
        <f t="shared" si="0"/>
        <v>1</v>
      </c>
      <c r="N29" s="44" t="s">
        <v>852</v>
      </c>
      <c r="O29" s="43">
        <f>VLOOKUP(Tabla15[[#This Row],[N° 
Evento]],'Eventos de riesgos'!B:C,2,0)</f>
        <v>2022</v>
      </c>
      <c r="P29" s="43" t="str">
        <f>VLOOKUP(Tabla15[[#This Row],[N° 
Evento]],'Eventos de riesgos'!B:D,3,0)</f>
        <v xml:space="preserve">Feb </v>
      </c>
      <c r="Q29" s="48">
        <f>VLOOKUP(Tabla15[[#This Row],[N° 
Evento]],'Eventos de riesgos'!B:E,4,0)</f>
        <v>44606</v>
      </c>
      <c r="R29" s="48">
        <f>VLOOKUP(Tabla15[[#This Row],[N° 
Evento]],'Eventos de riesgos'!B:F,5,0)</f>
        <v>44607</v>
      </c>
      <c r="S29" s="48">
        <f>VLOOKUP(Tabla15[[#This Row],[N° 
Evento]],'Eventos de riesgos'!B:G,6,0)</f>
        <v>44606</v>
      </c>
      <c r="T29" s="62" t="str">
        <f>VLOOKUP(Tabla15[[#This Row],[N° 
Evento]],'Eventos de riesgos'!B:H,7,0)</f>
        <v xml:space="preserve">Caso
El día 14 de febrero 2022 el asociado José Neira Ochoa identificado con CC 170562291 reportó sobre las 4:30 pm a Febor que intentaban extraer dinero de su cuenta de ahorros voluntarios sin su consentimiento. Al indagar y averiguar la situación expuesta por el asociado, se logró identificar dos personas que intentaban extraer $12 millones de pesos, y se bloqueó la aplicación del retiro inmediatamente, de igual al día siguiente, el asociado reportó que en la madrugada del 15 de febrero también tuvo intento de robo por $20 millones por uno de las personas identificadas.
El Asociado José Neira argumenta que esta persona es un asesor de una empresa de telefonía donde solicitó un servicio, y él confiado entregó su celular, por tal motivo este asesor tuvo acceso a su App móvil transaccional e inicio sus intentos de fraude. Febor hizo los bloqueos correspondientes sobre los productos del asociado para evitar este hurto y brindó la información pertinente para que pudiera iniciar un proceso de denuncia formal ante las autoridades competentes.
Acciones
Realizar el bloqueo inmediato de las cuentas y productos del asociado, asesorar al asociado para el restablecimiento de contraseñas
Comunicar y alertar de manera preventiva a los asociados para que cuiden su información y equipos de uso personal.
Brindar información al asociado con respecto de los intentos de fraude y asesoramiento para que presente la denuncia correspondiente.
</v>
      </c>
      <c r="U29" s="49">
        <f>VLOOKUP(Tabla15[[#This Row],[N° 
Evento]],'Eventos de riesgos'!B:I,8,0)</f>
        <v>0</v>
      </c>
      <c r="V29" s="49">
        <f>VLOOKUP(Tabla15[[#This Row],[N° 
Evento]],'Eventos de riesgos'!B:J,9,0)</f>
        <v>0</v>
      </c>
      <c r="W29" s="49">
        <f>VLOOKUP(Tabla15[[#This Row],[N° 
Evento]],'Eventos de riesgos'!B:K,10,0)</f>
        <v>0</v>
      </c>
      <c r="X29" s="44" t="str">
        <f>VLOOKUP(Tabla15[[#This Row],[N° 
Evento]],'Eventos de riesgos'!B:L,11,0)</f>
        <v>2 - Fraude Externo</v>
      </c>
      <c r="Y29" s="44" t="str">
        <f>VLOOKUP(Tabla15[[#This Row],[N° 
Evento]],'Eventos de riesgos'!B:M,12,0)</f>
        <v>22 - Hurto y Fraude</v>
      </c>
      <c r="Z29" s="44" t="str">
        <f>VLOOKUP(Tabla15[[#This Row],[N° 
Evento]],'Eventos de riesgos'!B:N,13,0)</f>
        <v>221 - Robo o Hurto</v>
      </c>
      <c r="AA29" s="44" t="str">
        <f>+VLOOKUP(Tabla15[[#This Row],[N° 
Evento]],'Eventos de riesgos'!$B$1:$AA$87,23,0)</f>
        <v>Suplantación y fraude a asociados</v>
      </c>
      <c r="AB29" s="43" t="str">
        <f>VLOOKUP(Tabla15[[#This Row],[N° 
Evento]],'Eventos de riesgos'!B:O,14,0)</f>
        <v>Ninguna</v>
      </c>
      <c r="AC29" s="48">
        <f>VLOOKUP(Tabla15[[#This Row],[N° 
Evento]],'Eventos de riesgos'!B:P,15,0)</f>
        <v>44620</v>
      </c>
      <c r="AD29" s="43" t="str">
        <f>VLOOKUP(Tabla15[[#This Row],[N° 
Evento]],'Eventos de riesgos'!B:Q,16,0)</f>
        <v>Ahorros voluntarios</v>
      </c>
      <c r="AE29" s="43" t="str">
        <f>VLOOKUP(Tabla15[[#This Row],[N° 
Evento]],'Eventos de riesgos'!B:R,17,0)</f>
        <v>Aplicación móvil (App Febor)</v>
      </c>
      <c r="AF29" s="45" t="str">
        <f>VLOOKUP(Tabla15[[#This Row],[N° 
Evento]],'Eventos de riesgos'!B:V,21,0)</f>
        <v>Aprobado</v>
      </c>
      <c r="AG29" s="44" t="str">
        <f>VLOOKUP(Tabla15[[#This Row],[N° 
Evento]],'Eventos de riesgos'!B:W,22,0)</f>
        <v>18/02/2022 16:58:10: Transacción de riesgo- Pérdida de imagen y credibilidad con respecto de la seguridad de nuestros mecanismos de seguridad tecnológica y oportunidad de respuesta ante situaciones de posible fraude.</v>
      </c>
    </row>
    <row r="30" spans="3:33" ht="59" customHeight="1" x14ac:dyDescent="0.55000000000000004">
      <c r="C30" s="43" t="str">
        <f>+Tabla15[[#This Row],[N° 
Evento]]&amp;"-"&amp;Tabla15[[#This Row],[N° Tarea]]</f>
        <v>10-1</v>
      </c>
      <c r="D30" s="43">
        <v>10</v>
      </c>
      <c r="E30" s="43">
        <v>1</v>
      </c>
      <c r="F30" s="44" t="s">
        <v>235</v>
      </c>
      <c r="G30" s="44" t="s">
        <v>1052</v>
      </c>
      <c r="H30" s="44" t="s">
        <v>215</v>
      </c>
      <c r="I30" s="45" t="s">
        <v>216</v>
      </c>
      <c r="J30" s="46">
        <v>44564</v>
      </c>
      <c r="K30" s="46">
        <v>44564</v>
      </c>
      <c r="L30" s="47" t="str">
        <f>IF(Tabla15[[#This Row],[Fecha de Finalización]]&gt;0,"Cerrada","En Proceso")</f>
        <v>Cerrada</v>
      </c>
      <c r="M30" s="43">
        <f t="shared" si="0"/>
        <v>0</v>
      </c>
      <c r="N30" s="44" t="s">
        <v>236</v>
      </c>
      <c r="O30" s="43">
        <f>VLOOKUP(Tabla15[[#This Row],[N° 
Evento]],'Eventos de riesgos'!B:C,2,0)</f>
        <v>2022</v>
      </c>
      <c r="P30" s="43" t="str">
        <f>VLOOKUP(Tabla15[[#This Row],[N° 
Evento]],'Eventos de riesgos'!B:D,3,0)</f>
        <v xml:space="preserve">Ene </v>
      </c>
      <c r="Q30" s="48">
        <f>VLOOKUP(Tabla15[[#This Row],[N° 
Evento]],'Eventos de riesgos'!B:E,4,0)</f>
        <v>44556</v>
      </c>
      <c r="R30" s="48">
        <f>VLOOKUP(Tabla15[[#This Row],[N° 
Evento]],'Eventos de riesgos'!B:F,5,0)</f>
        <v>44564</v>
      </c>
      <c r="S30" s="48">
        <f>VLOOKUP(Tabla15[[#This Row],[N° 
Evento]],'Eventos de riesgos'!B:G,6,0)</f>
        <v>44564</v>
      </c>
      <c r="T30" s="62" t="str">
        <f>VLOOKUP(Tabla15[[#This Row],[N° 
Evento]],'Eventos de riesgos'!B:H,7,0)</f>
        <v>Caso
No se programó el débito automático de la asociada Olaine Salas Fuentes de su producto Línea temporal con un saldo e $6.500.000 y una cuota de $110.500, debido a que el proceso de programación de débitos automáticos no está automatizado, se realiza de forma manual agregando un listado oficial en Excel y por olvido del analista que administra dicha información, no se incorporó la programación del débito para esta obligación.
La obligación vencía el 26 de diciembre /21 y se aplicó el débito hasta el día 3 de enero/22.
Acciones
Programar y ejecutar de manera inmediata el débito automático.
Auditoría a los procesos de gestión de operaciones para identificar oportunidades de mejora en los diferentes procesos.</v>
      </c>
      <c r="U30" s="49">
        <f>VLOOKUP(Tabla15[[#This Row],[N° 
Evento]],'Eventos de riesgos'!B:I,8,0)</f>
        <v>110500</v>
      </c>
      <c r="V30" s="49">
        <f>VLOOKUP(Tabla15[[#This Row],[N° 
Evento]],'Eventos de riesgos'!B:J,9,0)</f>
        <v>110500</v>
      </c>
      <c r="W30" s="49">
        <f>VLOOKUP(Tabla15[[#This Row],[N° 
Evento]],'Eventos de riesgos'!B:K,10,0)</f>
        <v>0</v>
      </c>
      <c r="X30" s="44" t="str">
        <f>VLOOKUP(Tabla15[[#This Row],[N° 
Evento]],'Eventos de riesgos'!B:L,11,0)</f>
        <v>7 - Ejecución y Administración de Procesos</v>
      </c>
      <c r="Y30" s="44" t="str">
        <f>VLOOKUP(Tabla15[[#This Row],[N° 
Evento]],'Eventos de riesgos'!B:M,12,0)</f>
        <v>71 - Recepción, Ejecución y Mantenimiento de Operaciones</v>
      </c>
      <c r="Z30" s="44" t="str">
        <f>VLOOKUP(Tabla15[[#This Row],[N° 
Evento]],'Eventos de riesgos'!B:N,13,0)</f>
        <v>711 - Exceso de Manualidad</v>
      </c>
      <c r="AA30" s="44" t="str">
        <f>+VLOOKUP(Tabla15[[#This Row],[N° 
Evento]],'Eventos de riesgos'!$B$1:$AA$87,23,0)</f>
        <v>Error en débitos automáticos</v>
      </c>
      <c r="AB30" s="43" t="str">
        <f>VLOOKUP(Tabla15[[#This Row],[N° 
Evento]],'Eventos de riesgos'!B:O,14,0)</f>
        <v>Ninguna</v>
      </c>
      <c r="AC30" s="48">
        <f>VLOOKUP(Tabla15[[#This Row],[N° 
Evento]],'Eventos de riesgos'!B:P,15,0)</f>
        <v>44592</v>
      </c>
      <c r="AD30" s="43" t="str">
        <f>VLOOKUP(Tabla15[[#This Row],[N° 
Evento]],'Eventos de riesgos'!B:Q,16,0)</f>
        <v>Crédito de consumo</v>
      </c>
      <c r="AE30" s="43" t="str">
        <f>VLOOKUP(Tabla15[[#This Row],[N° 
Evento]],'Eventos de riesgos'!B:R,17,0)</f>
        <v>Ninguno</v>
      </c>
      <c r="AF30" s="45" t="str">
        <f>VLOOKUP(Tabla15[[#This Row],[N° 
Evento]],'Eventos de riesgos'!B:V,21,0)</f>
        <v>Aprobado</v>
      </c>
      <c r="AG30" s="44" t="str">
        <f>VLOOKUP(Tabla15[[#This Row],[N° 
Evento]],'Eventos de riesgos'!B:W,22,0)</f>
        <v>18/02/2022 16:48:20: Transacción de riesgo- Aumento de la cartera en mora por no aplicar oportunamente los descuentos de recaudo autorizados
18/02/2022 16:58:57: Transacción de riesgo- Aumento de la cartera en mora por no aplicar oportunamente los descuentos de recaudo autorizados</v>
      </c>
    </row>
    <row r="31" spans="3:33" ht="59" customHeight="1" x14ac:dyDescent="0.55000000000000004">
      <c r="C31" s="43" t="str">
        <f>+Tabla15[[#This Row],[N° 
Evento]]&amp;"-"&amp;Tabla15[[#This Row],[N° Tarea]]</f>
        <v>11-1</v>
      </c>
      <c r="D31" s="43">
        <v>11</v>
      </c>
      <c r="E31" s="43">
        <v>1</v>
      </c>
      <c r="F31" s="44" t="s">
        <v>237</v>
      </c>
      <c r="G31" s="44" t="s">
        <v>1052</v>
      </c>
      <c r="H31" s="44" t="s">
        <v>215</v>
      </c>
      <c r="I31" s="45" t="s">
        <v>216</v>
      </c>
      <c r="J31" s="46">
        <v>44536</v>
      </c>
      <c r="K31" s="46">
        <v>44538</v>
      </c>
      <c r="L31" s="47" t="str">
        <f>IF(Tabla15[[#This Row],[Fecha de Finalización]]&gt;0,"Cerrada","En Proceso")</f>
        <v>Cerrada</v>
      </c>
      <c r="M31" s="43">
        <f t="shared" si="0"/>
        <v>2</v>
      </c>
      <c r="N31" s="44" t="s">
        <v>238</v>
      </c>
      <c r="O31" s="43">
        <f>VLOOKUP(Tabla15[[#This Row],[N° 
Evento]],'Eventos de riesgos'!B:C,2,0)</f>
        <v>2021</v>
      </c>
      <c r="P31" s="43" t="str">
        <f>VLOOKUP(Tabla15[[#This Row],[N° 
Evento]],'Eventos de riesgos'!B:D,3,0)</f>
        <v xml:space="preserve">Dic  </v>
      </c>
      <c r="Q31" s="48">
        <f>VLOOKUP(Tabla15[[#This Row],[N° 
Evento]],'Eventos de riesgos'!B:E,4,0)</f>
        <v>44535</v>
      </c>
      <c r="R31" s="48">
        <f>VLOOKUP(Tabla15[[#This Row],[N° 
Evento]],'Eventos de riesgos'!B:F,5,0)</f>
        <v>44536</v>
      </c>
      <c r="S31" s="48">
        <f>VLOOKUP(Tabla15[[#This Row],[N° 
Evento]],'Eventos de riesgos'!B:G,6,0)</f>
        <v>44536</v>
      </c>
      <c r="T31" s="62" t="str">
        <f>VLOOKUP(Tabla15[[#This Row],[N° 
Evento]],'Eventos de riesgos'!B:H,7,0)</f>
        <v>Caso
Se sobregiraron las cuentas de ahorros de aproximadamente 30 asociados por un total de $41.000.000 debido a que se realizaron operaciones de retiro el domingo 5 de diciembre/21 y la conexión entre Wog-Visionamos -Empacto no reflejó oportunamente aquellos giros efectuados. 
Las actualizaciones no quedan inmediatamente, se hacen 3 veces al día, pero el día del evento era fin de semana y el día siguiente, lunes 6 de diciembre/21  al realizar dichas actualizaciones se detecto el sobregiro.
No se registra pérdidas económicas asumidas por la Cooperativa, se toman acciones inmediatas para la recuperación del dinero.
Acciones
Identificar los asociados con sobregiro para proceder a la recuperación de la operación o solicitud de la devolución del dinero.</v>
      </c>
      <c r="U31" s="49">
        <f>VLOOKUP(Tabla15[[#This Row],[N° 
Evento]],'Eventos de riesgos'!B:I,8,0)</f>
        <v>41000000</v>
      </c>
      <c r="V31" s="49">
        <f>VLOOKUP(Tabla15[[#This Row],[N° 
Evento]],'Eventos de riesgos'!B:J,9,0)</f>
        <v>41000000</v>
      </c>
      <c r="W31" s="49">
        <f>VLOOKUP(Tabla15[[#This Row],[N° 
Evento]],'Eventos de riesgos'!B:K,10,0)</f>
        <v>0</v>
      </c>
      <c r="X31" s="44" t="str">
        <f>VLOOKUP(Tabla15[[#This Row],[N° 
Evento]],'Eventos de riesgos'!B:L,11,0)</f>
        <v>7 - Ejecución y Administración de Procesos</v>
      </c>
      <c r="Y31" s="44" t="str">
        <f>VLOOKUP(Tabla15[[#This Row],[N° 
Evento]],'Eventos de riesgos'!B:M,12,0)</f>
        <v>76 - Proveedores</v>
      </c>
      <c r="Z31" s="44" t="str">
        <f>VLOOKUP(Tabla15[[#This Row],[N° 
Evento]],'Eventos de riesgos'!B:N,13,0)</f>
        <v>763 - Incumplimiento de las Actividades Contratadas</v>
      </c>
      <c r="AA31" s="44" t="str">
        <f>+VLOOKUP(Tabla15[[#This Row],[N° 
Evento]],'Eventos de riesgos'!$B$1:$AA$87,23,0)</f>
        <v>Sobregiro de cuentas de ahorro voluntario</v>
      </c>
      <c r="AB31" s="43" t="str">
        <f>VLOOKUP(Tabla15[[#This Row],[N° 
Evento]],'Eventos de riesgos'!B:O,14,0)</f>
        <v>Ninguna</v>
      </c>
      <c r="AC31" s="48">
        <f>VLOOKUP(Tabla15[[#This Row],[N° 
Evento]],'Eventos de riesgos'!B:P,15,0)</f>
        <v>44561</v>
      </c>
      <c r="AD31" s="43" t="str">
        <f>VLOOKUP(Tabla15[[#This Row],[N° 
Evento]],'Eventos de riesgos'!B:Q,16,0)</f>
        <v>Ahorros voluntarios</v>
      </c>
      <c r="AE31" s="43" t="str">
        <f>VLOOKUP(Tabla15[[#This Row],[N° 
Evento]],'Eventos de riesgos'!B:R,17,0)</f>
        <v>Ninguno</v>
      </c>
      <c r="AF31" s="45" t="str">
        <f>VLOOKUP(Tabla15[[#This Row],[N° 
Evento]],'Eventos de riesgos'!B:V,21,0)</f>
        <v>Aprobado</v>
      </c>
      <c r="AG31" s="44" t="str">
        <f>VLOOKUP(Tabla15[[#This Row],[N° 
Evento]],'Eventos de riesgos'!B:W,22,0)</f>
        <v>18/02/2022 16:43:37: Transacción de riesgo - Pérdidas económicas, de imagen y credibilidad en la ejecución de operaciones y transacciones, originado por fallas tecnológicas entre los aplicativos que conectan la operación de la Cooperativa.
18/02/2022 16:59:46: Transacción de riesgo- Pérdidas económicas, de imagen y credibilidad en la ejecución de operaciones y transacciones, originado por fallas tecnológicas entre los aplicativos que conectan la operación de la Cooperativa.</v>
      </c>
    </row>
    <row r="32" spans="3:33" ht="59" customHeight="1" x14ac:dyDescent="0.55000000000000004">
      <c r="C32" s="43" t="str">
        <f>+Tabla15[[#This Row],[N° 
Evento]]&amp;"-"&amp;Tabla15[[#This Row],[N° Tarea]]</f>
        <v>12-1</v>
      </c>
      <c r="D32" s="43">
        <v>12</v>
      </c>
      <c r="E32" s="43">
        <v>1</v>
      </c>
      <c r="F32" s="44" t="s">
        <v>239</v>
      </c>
      <c r="G32" s="44" t="s">
        <v>1052</v>
      </c>
      <c r="H32" s="44" t="s">
        <v>233</v>
      </c>
      <c r="I32" s="45" t="s">
        <v>240</v>
      </c>
      <c r="J32" s="46">
        <v>44609</v>
      </c>
      <c r="K32" s="46">
        <v>44891</v>
      </c>
      <c r="L32" s="47" t="str">
        <f>IF(Tabla15[[#This Row],[Fecha de Finalización]]&gt;0,"Cerrada","En Proceso")</f>
        <v>Cerrada</v>
      </c>
      <c r="M32" s="43">
        <f t="shared" si="0"/>
        <v>282</v>
      </c>
      <c r="N32" s="44" t="s">
        <v>241</v>
      </c>
      <c r="O32" s="43">
        <f>VLOOKUP(Tabla15[[#This Row],[N° 
Evento]],'Eventos de riesgos'!B:C,2,0)</f>
        <v>2022</v>
      </c>
      <c r="P32" s="43" t="str">
        <f>VLOOKUP(Tabla15[[#This Row],[N° 
Evento]],'Eventos de riesgos'!B:D,3,0)</f>
        <v xml:space="preserve">Feb </v>
      </c>
      <c r="Q32" s="48">
        <f>VLOOKUP(Tabla15[[#This Row],[N° 
Evento]],'Eventos de riesgos'!B:E,4,0)</f>
        <v>44609.585416666669</v>
      </c>
      <c r="R32" s="48">
        <f>VLOOKUP(Tabla15[[#This Row],[N° 
Evento]],'Eventos de riesgos'!B:F,5,0)</f>
        <v>44610.594444444447</v>
      </c>
      <c r="S32" s="48">
        <f>VLOOKUP(Tabla15[[#This Row],[N° 
Evento]],'Eventos de riesgos'!B:G,6,0)</f>
        <v>44609.594444444447</v>
      </c>
      <c r="T32" s="62" t="str">
        <f>VLOOKUP(Tabla15[[#This Row],[N° 
Evento]],'Eventos de riesgos'!B:H,7,0)</f>
        <v>Caso
El asociado WULFRAN ENRIQUE LOPEZ OJEDA identificado con cédula de ciudadanía 3726870, realizó un proceso de compra de cartera con la entidad Excelcredit, valiéndose de un paz y salvo valiéndose de la falsificación de un paz y salvo a nombre de Febor sobre los productos de crédito 1192902 y 111977 firmado por una persona que no trabaja en la Cooperativa (Beatriz Elene Henao Quintero).
El jue, 17 feb 2022 a las 16:50, Ángela Carrillo (&lt;acarrillo@excelcredit.co&gt;) escribió a Febor:
Cordial Saludo,
Solicito su amable colaboración, procediendo con la suspensión o baja de descuento, del cliente en relación; teniendo en cuenta que le generamos compra de cartera.
*Se adjunta soporte de pago y paz y salvo
Cliente:
WULFRAN ENRIQUE LOPEZ OJEDA
C.c :3726870
Pagaduría: COLPENSIONES
Febor responde lo siguiente:
Buenas tardes Por medio de la presente nos permitimos informar que:
1.El paz y salvo adjunto no fue emitido por esta entidad cooperativa, ya que el asociado Wulfran Enrique lopez c.c. 3726870 tiene vigente el crédito Nª1192902
2.La persona que firma el certificado no es funcionario de Febor entidad cooperativa
Por lo anterior no es procedente la solicitud en mención
Acciones de la Cooperativa
La Cooperativa mediante la jefatura jurídica  inicia el  debido proceso disciplinario con el asociado mencionado y se comunica a los funcionarios algunas recomendaciones importantes:
1 Recordemos que toda información de nuestros asociados es privada por tanto a ninguna persona, entidad, alto funcionario o quien quiera que solicite copias de cédulas, información de saldos, números de teléfono o demás NO es posible que lo brindemos incurrimos en una grave violación al deber de cuidado que tenemos con la autorización que nos brindan para proteger sus datos personales
2 Recordemos que las únicas firmas autorizadas para expedir certificaciones, paz y salvos y demás de este tipo son la dela Directora de Servicio al Asociado y el Gerente, por tanto generemos alerta inmediata cuando reciban llamadas para corroborar datos de este tipo de preguntar: fecha de la certificación, y quien la firma. Para control de todos considero importante que puedan incluir en pie de firma quien elaboró la certificación.
3 Proceso disciplinario - llamado de atención evaluado por la Junta de Vigilancia y el Consejo de Administración.
4 El Consejo  de Administración decidió hacerle proceso de exclusión una vez que esté en firme el embargo de la mesada pensional. Sesión de Consejo 26 de noviembre 2022</v>
      </c>
      <c r="U32" s="49">
        <f>VLOOKUP(Tabla15[[#This Row],[N° 
Evento]],'Eventos de riesgos'!B:I,8,0)</f>
        <v>0</v>
      </c>
      <c r="V32" s="49">
        <f>VLOOKUP(Tabla15[[#This Row],[N° 
Evento]],'Eventos de riesgos'!B:J,9,0)</f>
        <v>0</v>
      </c>
      <c r="W32" s="49">
        <f>VLOOKUP(Tabla15[[#This Row],[N° 
Evento]],'Eventos de riesgos'!B:K,10,0)</f>
        <v>0</v>
      </c>
      <c r="X32" s="44" t="str">
        <f>VLOOKUP(Tabla15[[#This Row],[N° 
Evento]],'Eventos de riesgos'!B:L,11,0)</f>
        <v>1 - Fraude Interno</v>
      </c>
      <c r="Y32" s="44" t="str">
        <f>VLOOKUP(Tabla15[[#This Row],[N° 
Evento]],'Eventos de riesgos'!B:M,12,0)</f>
        <v>12 - Hurto y Fraude</v>
      </c>
      <c r="Z32" s="44" t="str">
        <f>VLOOKUP(Tabla15[[#This Row],[N° 
Evento]],'Eventos de riesgos'!B:N,13,0)</f>
        <v xml:space="preserve">	125 Falsificación</v>
      </c>
      <c r="AA32" s="44" t="str">
        <f>+VLOOKUP(Tabla15[[#This Row],[N° 
Evento]],'Eventos de riesgos'!$B$1:$AA$87,23,0)</f>
        <v>Falsificación de documentos por parte de un asociado</v>
      </c>
      <c r="AB32" s="43" t="str">
        <f>VLOOKUP(Tabla15[[#This Row],[N° 
Evento]],'Eventos de riesgos'!B:O,14,0)</f>
        <v>Ninguna</v>
      </c>
      <c r="AC32" s="48">
        <f>VLOOKUP(Tabla15[[#This Row],[N° 
Evento]],'Eventos de riesgos'!B:P,15,0)</f>
        <v>44620</v>
      </c>
      <c r="AD32" s="43" t="str">
        <f>VLOOKUP(Tabla15[[#This Row],[N° 
Evento]],'Eventos de riesgos'!B:Q,16,0)</f>
        <v>Crédito de consumo</v>
      </c>
      <c r="AE32" s="43" t="str">
        <f>VLOOKUP(Tabla15[[#This Row],[N° 
Evento]],'Eventos de riesgos'!B:R,17,0)</f>
        <v>Canales de comunicación virtual</v>
      </c>
      <c r="AF32" s="45" t="str">
        <f>VLOOKUP(Tabla15[[#This Row],[N° 
Evento]],'Eventos de riesgos'!B:V,21,0)</f>
        <v>Aprobado</v>
      </c>
      <c r="AG32" s="44" t="str">
        <f>VLOOKUP(Tabla15[[#This Row],[N° 
Evento]],'Eventos de riesgos'!B:W,22,0)</f>
        <v>21/02/2022 14:24:58: Es importante en cada gestión que se realice en casos similares, tener las precauciones de revisar detalladamente la información y documentación recibida, confirmar hasta estar completamente seguro de que el proceso es real y transparente, dado que podrían existir métodos de falsificación de mayor nivel con dificultad de detección.</v>
      </c>
    </row>
    <row r="33" spans="3:33" ht="59" customHeight="1" x14ac:dyDescent="0.55000000000000004">
      <c r="C33" s="43" t="str">
        <f>+Tabla15[[#This Row],[N° 
Evento]]&amp;"-"&amp;Tabla15[[#This Row],[N° Tarea]]</f>
        <v>13-1</v>
      </c>
      <c r="D33" s="43">
        <v>13</v>
      </c>
      <c r="E33" s="43">
        <v>1</v>
      </c>
      <c r="F33" s="44" t="s">
        <v>242</v>
      </c>
      <c r="G33" s="44" t="s">
        <v>1052</v>
      </c>
      <c r="H33" s="44" t="s">
        <v>771</v>
      </c>
      <c r="I33" s="45" t="s">
        <v>228</v>
      </c>
      <c r="J33" s="46">
        <v>44655</v>
      </c>
      <c r="K33" s="46">
        <v>44656</v>
      </c>
      <c r="L33" s="47" t="str">
        <f>IF(Tabla15[[#This Row],[Fecha de Finalización]]&gt;0,"Cerrada","En Proceso")</f>
        <v>Cerrada</v>
      </c>
      <c r="M33" s="43">
        <f t="shared" si="0"/>
        <v>1</v>
      </c>
      <c r="N33" s="44" t="s">
        <v>243</v>
      </c>
      <c r="O33" s="43">
        <f>VLOOKUP(Tabla15[[#This Row],[N° 
Evento]],'Eventos de riesgos'!B:C,2,0)</f>
        <v>2022</v>
      </c>
      <c r="P33" s="43" t="str">
        <f>VLOOKUP(Tabla15[[#This Row],[N° 
Evento]],'Eventos de riesgos'!B:D,3,0)</f>
        <v>Abr</v>
      </c>
      <c r="Q33" s="48">
        <f>VLOOKUP(Tabla15[[#This Row],[N° 
Evento]],'Eventos de riesgos'!B:E,4,0)</f>
        <v>44655.405555555553</v>
      </c>
      <c r="R33" s="48">
        <f>VLOOKUP(Tabla15[[#This Row],[N° 
Evento]],'Eventos de riesgos'!B:F,5,0)</f>
        <v>44656.405555555553</v>
      </c>
      <c r="S33" s="48">
        <f>VLOOKUP(Tabla15[[#This Row],[N° 
Evento]],'Eventos de riesgos'!B:G,6,0)</f>
        <v>44655.405555555553</v>
      </c>
      <c r="T33" s="62" t="str">
        <f>VLOOKUP(Tabla15[[#This Row],[N° 
Evento]],'Eventos de riesgos'!B:H,7,0)</f>
        <v>Caso
El día 4 de abril se detectaron errores en el sistema transaccional y en general de varios módulos de operación en Wog, debido a que este sistema tuvo cambio de versión el fin de semana (2 y 3 de abril) por la incorporación del modelo de originación en la fabrica de créditos.
No se presentaron pérdidas económicas, ni se afectaron productos de los asociados ya que durante la ocurrencia se daba solución a las novedades por parte del área de tecnología y operaciones.
Acciones
Comunicación inmediata con el proveedor para la corrección de reportes y módulos afectados. 
El proveedor debe informar las actualizaciones y cambios de versión antes y prevenir a la entidad de los posibles daños.</v>
      </c>
      <c r="U33" s="49">
        <f>VLOOKUP(Tabla15[[#This Row],[N° 
Evento]],'Eventos de riesgos'!B:I,8,0)</f>
        <v>0</v>
      </c>
      <c r="V33" s="49">
        <f>VLOOKUP(Tabla15[[#This Row],[N° 
Evento]],'Eventos de riesgos'!B:J,9,0)</f>
        <v>0</v>
      </c>
      <c r="W33" s="49">
        <f>VLOOKUP(Tabla15[[#This Row],[N° 
Evento]],'Eventos de riesgos'!B:K,10,0)</f>
        <v>0</v>
      </c>
      <c r="X33" s="44" t="str">
        <f>VLOOKUP(Tabla15[[#This Row],[N° 
Evento]],'Eventos de riesgos'!B:L,11,0)</f>
        <v>6 - Fallas Tecnologicas</v>
      </c>
      <c r="Y33" s="44" t="str">
        <f>VLOOKUP(Tabla15[[#This Row],[N° 
Evento]],'Eventos de riesgos'!B:M,12,0)</f>
        <v>61 - Sistemas</v>
      </c>
      <c r="Z33" s="44" t="str">
        <f>VLOOKUP(Tabla15[[#This Row],[N° 
Evento]],'Eventos de riesgos'!B:N,13,0)</f>
        <v>611 - Pérdida por Problemas en Software</v>
      </c>
      <c r="AA33" s="44" t="str">
        <f>+VLOOKUP(Tabla15[[#This Row],[N° 
Evento]],'Eventos de riesgos'!$B$1:$AA$87,23,0)</f>
        <v>Errores por actualizaciones en Wog</v>
      </c>
      <c r="AB33" s="43" t="str">
        <f>VLOOKUP(Tabla15[[#This Row],[N° 
Evento]],'Eventos de riesgos'!B:O,14,0)</f>
        <v>Ninguna</v>
      </c>
      <c r="AC33" s="48">
        <f>VLOOKUP(Tabla15[[#This Row],[N° 
Evento]],'Eventos de riesgos'!B:P,15,0)</f>
        <v>44681</v>
      </c>
      <c r="AD33" s="43" t="str">
        <f>VLOOKUP(Tabla15[[#This Row],[N° 
Evento]],'Eventos de riesgos'!B:Q,16,0)</f>
        <v>Ninguno</v>
      </c>
      <c r="AE33" s="43" t="str">
        <f>VLOOKUP(Tabla15[[#This Row],[N° 
Evento]],'Eventos de riesgos'!B:R,17,0)</f>
        <v>Ninguno</v>
      </c>
      <c r="AF33" s="45" t="str">
        <f>VLOOKUP(Tabla15[[#This Row],[N° 
Evento]],'Eventos de riesgos'!B:V,21,0)</f>
        <v>Aprobado</v>
      </c>
      <c r="AG33" s="44" t="str">
        <f>VLOOKUP(Tabla15[[#This Row],[N° 
Evento]],'Eventos de riesgos'!B:W,22,0)</f>
        <v>05/04/2022 09:47:50: Evento registrado desde el área de riesgos</v>
      </c>
    </row>
    <row r="34" spans="3:33" ht="59" customHeight="1" x14ac:dyDescent="0.55000000000000004">
      <c r="C34" s="43" t="str">
        <f>+Tabla15[[#This Row],[N° 
Evento]]&amp;"-"&amp;Tabla15[[#This Row],[N° Tarea]]</f>
        <v>14-1</v>
      </c>
      <c r="D34" s="43">
        <v>14</v>
      </c>
      <c r="E34" s="43">
        <v>1</v>
      </c>
      <c r="F34" s="44" t="s">
        <v>244</v>
      </c>
      <c r="G34" s="44" t="s">
        <v>1053</v>
      </c>
      <c r="H34" s="44" t="s">
        <v>215</v>
      </c>
      <c r="I34" s="45" t="s">
        <v>91</v>
      </c>
      <c r="J34" s="46">
        <v>44687</v>
      </c>
      <c r="K34" s="46">
        <v>44742</v>
      </c>
      <c r="L34" s="47" t="str">
        <f>IF(Tabla15[[#This Row],[Fecha de Finalización]]&gt;0,"Cerrada","En Proceso")</f>
        <v>Cerrada</v>
      </c>
      <c r="M34" s="43">
        <f t="shared" si="0"/>
        <v>55</v>
      </c>
      <c r="N34" s="44" t="s">
        <v>245</v>
      </c>
      <c r="O34" s="43">
        <f>VLOOKUP(Tabla15[[#This Row],[N° 
Evento]],'Eventos de riesgos'!B:C,2,0)</f>
        <v>2022</v>
      </c>
      <c r="P34" s="43" t="str">
        <f>VLOOKUP(Tabla15[[#This Row],[N° 
Evento]],'Eventos de riesgos'!B:D,3,0)</f>
        <v>May</v>
      </c>
      <c r="Q34" s="48">
        <f>VLOOKUP(Tabla15[[#This Row],[N° 
Evento]],'Eventos de riesgos'!B:E,4,0)</f>
        <v>44686.898611111108</v>
      </c>
      <c r="R34" s="48">
        <f>VLOOKUP(Tabla15[[#This Row],[N° 
Evento]],'Eventos de riesgos'!B:F,5,0)</f>
        <v>44687.899305555555</v>
      </c>
      <c r="S34" s="48">
        <f>VLOOKUP(Tabla15[[#This Row],[N° 
Evento]],'Eventos de riesgos'!B:G,6,0)</f>
        <v>44687.899305555555</v>
      </c>
      <c r="T34" s="62" t="str">
        <f>VLOOKUP(Tabla15[[#This Row],[N° 
Evento]],'Eventos de riesgos'!B:H,7,0)</f>
        <v xml:space="preserve">Caso
Se presenta un caso de inconformidad por fallas en el proceso de consignación por cheque y tiempo de espera en la liberación de canje el 6 de mayo 2022.
Mensaje del asociado Marco a la Gerencia:
El pasado lunes, aproximadamente a la una de la tarde, consigné en la oficina de Febor del edificio anexo un cheque de gerencia para ser abonado a la cuenta de ahorros voluntarios, por valor de 82 millones. Considerando que el canje debe tardar, a lo sumo, 3 días, ayer jueves en la tarde le solicité vía WhatsApp a Jorge Lievano que del producto de esa consignación me hiciera el favor de hacer un pago por $80 millones a capital del crédito de reestructuración solidaria, Jorge me contesta después de unos minutos que el cheque todavía no ha sido confirmado el canje, yo le hice la observación en el sentido que consideraba que desde el lunes no era razonable que el canje no se hubiera dado, cuando se sabe que el canje normalmente demora 2 días. Hoy viernes alrededor de medio día volví a preguntarle a Jorge sobre la operación,  me comentó que él estaba pendiente, pero que contabilidad, u operaciones todavía no le daba conformidad sobre el canje del cheque, a lo que volví a hacerle la observación sobre que no encontraba razonable tanta demora en el canje. Ante esta nueva situación, decidí llamar a Teresita y pedirle que me colaborara, hasta que finalmente hace un rato Jorge me confirmó que la operación de pago al crédito se hizo. 
El caso es que si yo no estoy pendiente e indagando, la plata queda depositada en la cuenta de Febor por varios días, sin aplicar ni a mi cuenta de ahorros voluntarios, ni para hacer el pago al crédito y por supuesto al no darse ese pago se causan intereses sobre mi crédito sin tener en cuenta que la plata ya está en poder de Febor desde hace varios días; sino hubiera estado yo pendiente la operación hubiera quedado para la semana entrante. 
En mi caso, porque tengo la posibilidad de llamar a Teresita y solicitarle colaboración, veo que Jorge no tiene culpa, porque el fué diligente cuando yo le hice la solicitud, simplemente él no podía hacer la operación mientras no le dieran la conformidad del canje.
________________
Se evalúa con el área de operaciones si el canje lo libera automáticamente el sistema, y si tiene un funcionario responsable de su verificación, además de definir el tiempo que debe durar en canje el cheque, que sea estrictamente lo necesario (máx. 3 días)
Acciones
El sistema tiene programados los días de liberar los cheques de canje (3 días), se ordena por parte de Gerencia disminuir los días a (1) en el sistema
</v>
      </c>
      <c r="U34" s="49">
        <f>VLOOKUP(Tabla15[[#This Row],[N° 
Evento]],'Eventos de riesgos'!B:I,8,0)</f>
        <v>0</v>
      </c>
      <c r="V34" s="49">
        <f>VLOOKUP(Tabla15[[#This Row],[N° 
Evento]],'Eventos de riesgos'!B:J,9,0)</f>
        <v>0</v>
      </c>
      <c r="W34" s="49">
        <f>VLOOKUP(Tabla15[[#This Row],[N° 
Evento]],'Eventos de riesgos'!B:K,10,0)</f>
        <v>0</v>
      </c>
      <c r="X34" s="44" t="str">
        <f>VLOOKUP(Tabla15[[#This Row],[N° 
Evento]],'Eventos de riesgos'!B:L,11,0)</f>
        <v>7 - Ejecución y Administración de Procesos</v>
      </c>
      <c r="Y34" s="44" t="str">
        <f>VLOOKUP(Tabla15[[#This Row],[N° 
Evento]],'Eventos de riesgos'!B:M,12,0)</f>
        <v>71 - Recepción, Ejecución y Mantenimiento de Operaciones</v>
      </c>
      <c r="Z34" s="44" t="str">
        <f>VLOOKUP(Tabla15[[#This Row],[N° 
Evento]],'Eventos de riesgos'!B:N,13,0)</f>
        <v>713 - Incumplimiento de Plazos o Responsabilidades</v>
      </c>
      <c r="AA34" s="44" t="str">
        <f>+VLOOKUP(Tabla15[[#This Row],[N° 
Evento]],'Eventos de riesgos'!$B$1:$AA$87,23,0)</f>
        <v>Demoras en canje de cheques de asociados</v>
      </c>
      <c r="AB34" s="43" t="str">
        <f>VLOOKUP(Tabla15[[#This Row],[N° 
Evento]],'Eventos de riesgos'!B:O,14,0)</f>
        <v>Ninguna</v>
      </c>
      <c r="AC34" s="48">
        <f>VLOOKUP(Tabla15[[#This Row],[N° 
Evento]],'Eventos de riesgos'!B:P,15,0)</f>
        <v>44712</v>
      </c>
      <c r="AD34" s="43" t="str">
        <f>VLOOKUP(Tabla15[[#This Row],[N° 
Evento]],'Eventos de riesgos'!B:Q,16,0)</f>
        <v>Ahorros voluntarios</v>
      </c>
      <c r="AE34" s="43" t="str">
        <f>VLOOKUP(Tabla15[[#This Row],[N° 
Evento]],'Eventos de riesgos'!B:R,17,0)</f>
        <v>Buzón Quejas y Reclamos</v>
      </c>
      <c r="AF34" s="45" t="str">
        <f>VLOOKUP(Tabla15[[#This Row],[N° 
Evento]],'Eventos de riesgos'!B:V,21,0)</f>
        <v>Aprobado</v>
      </c>
      <c r="AG34" s="44" t="str">
        <f>VLOOKUP(Tabla15[[#This Row],[N° 
Evento]],'Eventos de riesgos'!B:W,22,0)</f>
        <v>07/05/2022 21:38:37: Información tomada de la presentación del caso por el grupo de dirección en WhatsApp por parte de la Gerencia</v>
      </c>
    </row>
    <row r="35" spans="3:33" ht="59" customHeight="1" x14ac:dyDescent="0.55000000000000004">
      <c r="C35" s="43" t="str">
        <f>+Tabla15[[#This Row],[N° 
Evento]]&amp;"-"&amp;Tabla15[[#This Row],[N° Tarea]]</f>
        <v>15-1</v>
      </c>
      <c r="D35" s="43">
        <v>15</v>
      </c>
      <c r="E35" s="43">
        <v>1</v>
      </c>
      <c r="F35" s="44" t="s">
        <v>246</v>
      </c>
      <c r="G35" s="44" t="s">
        <v>1052</v>
      </c>
      <c r="H35" s="44" t="s">
        <v>233</v>
      </c>
      <c r="I35" s="45" t="s">
        <v>234</v>
      </c>
      <c r="J35" s="46">
        <v>44679</v>
      </c>
      <c r="K35" s="46">
        <v>44691</v>
      </c>
      <c r="L35" s="47" t="str">
        <f>IF(Tabla15[[#This Row],[Fecha de Finalización]]&gt;0,"Cerrada","En Proceso")</f>
        <v>Cerrada</v>
      </c>
      <c r="M35" s="43">
        <f t="shared" si="0"/>
        <v>12</v>
      </c>
      <c r="N35" s="44" t="s">
        <v>247</v>
      </c>
      <c r="O35" s="43">
        <f>VLOOKUP(Tabla15[[#This Row],[N° 
Evento]],'Eventos de riesgos'!B:C,2,0)</f>
        <v>2022</v>
      </c>
      <c r="P35" s="43" t="str">
        <f>VLOOKUP(Tabla15[[#This Row],[N° 
Evento]],'Eventos de riesgos'!B:D,3,0)</f>
        <v>Abr</v>
      </c>
      <c r="Q35" s="48">
        <f>VLOOKUP(Tabla15[[#This Row],[N° 
Evento]],'Eventos de riesgos'!B:E,4,0)</f>
        <v>44679.722222222219</v>
      </c>
      <c r="R35" s="48">
        <f>VLOOKUP(Tabla15[[#This Row],[N° 
Evento]],'Eventos de riesgos'!B:F,5,0)</f>
        <v>44679.722222222219</v>
      </c>
      <c r="S35" s="48">
        <f>VLOOKUP(Tabla15[[#This Row],[N° 
Evento]],'Eventos de riesgos'!B:G,6,0)</f>
        <v>44679.722222222219</v>
      </c>
      <c r="T35" s="62" t="str">
        <f>VLOOKUP(Tabla15[[#This Row],[N° 
Evento]],'Eventos de riesgos'!B:H,7,0)</f>
        <v>Caso
El señor Luis Eduardo Rosales, ciudadano no asociado a la Cooperativa presento una queja ante la SES , inconforme por recibir correos con extractos bancarios que no le corresponden, pero que si le corresponden al asociado Luis Eduardo Rosales. La confusión consiste en envio de correo errado a luiseduardorosales@gmail.com y el correcto es luiseduardorosales08@gmail.com.
Acciones 
A.   La funcionaria Rina Herrera se comunicó con el asociado Luis Eduardo Rosales y efectivamente el correo de él es luiseduardorosales08@gmail.com, adicional contactará al señor Luis Rosales y se le indicará que no va a volver a recibir estos correos por parte de Febor Entidad Cooperativa.
Se verifica sistema de encriptación frente a Base social, para que el problema sea solucionado de raíz, actualizándolo en el sistema Wog.
Se verifica uno a uno los asociados a los que se les envío extractos de tarjeta crédito, para constatar que no hubo más inconsistencias, lo cual solo se presentó con este asociado.
Se dio respuesta a la queja del ciudadano con conocimiento de la Junta de vigilancia y con copia a la Superintendencia de Economía Solidaria.</v>
      </c>
      <c r="U35" s="49">
        <f>VLOOKUP(Tabla15[[#This Row],[N° 
Evento]],'Eventos de riesgos'!B:I,8,0)</f>
        <v>0</v>
      </c>
      <c r="V35" s="49">
        <f>VLOOKUP(Tabla15[[#This Row],[N° 
Evento]],'Eventos de riesgos'!B:J,9,0)</f>
        <v>0</v>
      </c>
      <c r="W35" s="49">
        <f>VLOOKUP(Tabla15[[#This Row],[N° 
Evento]],'Eventos de riesgos'!B:K,10,0)</f>
        <v>0</v>
      </c>
      <c r="X35" s="44" t="str">
        <f>VLOOKUP(Tabla15[[#This Row],[N° 
Evento]],'Eventos de riesgos'!B:L,11,0)</f>
        <v>7 - Ejecución y Administración de Procesos</v>
      </c>
      <c r="Y35" s="44" t="str">
        <f>VLOOKUP(Tabla15[[#This Row],[N° 
Evento]],'Eventos de riesgos'!B:M,12,0)</f>
        <v>71 - Recepción, Ejecución y Mantenimiento de Operaciones</v>
      </c>
      <c r="Z35" s="44" t="str">
        <f>VLOOKUP(Tabla15[[#This Row],[N° 
Evento]],'Eventos de riesgos'!B:N,13,0)</f>
        <v>719 - Seguridad de la Información</v>
      </c>
      <c r="AA35" s="44" t="str">
        <f>+VLOOKUP(Tabla15[[#This Row],[N° 
Evento]],'Eventos de riesgos'!$B$1:$AA$87,23,0)</f>
        <v>Manejo de datos personales</v>
      </c>
      <c r="AB35" s="43" t="str">
        <f>VLOOKUP(Tabla15[[#This Row],[N° 
Evento]],'Eventos de riesgos'!B:O,14,0)</f>
        <v>Ninguna</v>
      </c>
      <c r="AC35" s="48">
        <f>VLOOKUP(Tabla15[[#This Row],[N° 
Evento]],'Eventos de riesgos'!B:P,15,0)</f>
        <v>44681</v>
      </c>
      <c r="AD35" s="43" t="str">
        <f>VLOOKUP(Tabla15[[#This Row],[N° 
Evento]],'Eventos de riesgos'!B:Q,16,0)</f>
        <v>Tarjeta crédito</v>
      </c>
      <c r="AE35" s="43" t="str">
        <f>VLOOKUP(Tabla15[[#This Row],[N° 
Evento]],'Eventos de riesgos'!B:R,17,0)</f>
        <v>Buzón Quejas y Reclamos</v>
      </c>
      <c r="AF35" s="45" t="str">
        <f>VLOOKUP(Tabla15[[#This Row],[N° 
Evento]],'Eventos de riesgos'!B:V,21,0)</f>
        <v>Aprobado</v>
      </c>
      <c r="AG35" s="44" t="str">
        <f>VLOOKUP(Tabla15[[#This Row],[N° 
Evento]],'Eventos de riesgos'!B:W,22,0)</f>
        <v>24/05/2022 17:21:30: La queja respuesta se proyecta, se traslada a junta de vigilancia para ser respondida al ciudadano con copia a la SES</v>
      </c>
    </row>
    <row r="36" spans="3:33" ht="59" customHeight="1" x14ac:dyDescent="0.55000000000000004">
      <c r="C36" s="43" t="str">
        <f>+Tabla15[[#This Row],[N° 
Evento]]&amp;"-"&amp;Tabla15[[#This Row],[N° Tarea]]</f>
        <v>15-2</v>
      </c>
      <c r="D36" s="43">
        <v>15</v>
      </c>
      <c r="E36" s="43">
        <v>2</v>
      </c>
      <c r="F36" s="44" t="s">
        <v>248</v>
      </c>
      <c r="G36" s="44" t="s">
        <v>1053</v>
      </c>
      <c r="H36" s="44" t="s">
        <v>215</v>
      </c>
      <c r="I36" s="45" t="s">
        <v>91</v>
      </c>
      <c r="J36" s="46">
        <v>44679</v>
      </c>
      <c r="K36" s="46">
        <v>44681</v>
      </c>
      <c r="L36" s="47" t="str">
        <f>IF(Tabla15[[#This Row],[Fecha de Finalización]]&gt;0,"Cerrada","En Proceso")</f>
        <v>Cerrada</v>
      </c>
      <c r="M36" s="43">
        <f t="shared" si="0"/>
        <v>2</v>
      </c>
      <c r="N36" s="44" t="s">
        <v>249</v>
      </c>
      <c r="O36" s="43">
        <f>VLOOKUP(Tabla15[[#This Row],[N° 
Evento]],'Eventos de riesgos'!B:C,2,0)</f>
        <v>2022</v>
      </c>
      <c r="P36" s="43" t="str">
        <f>VLOOKUP(Tabla15[[#This Row],[N° 
Evento]],'Eventos de riesgos'!B:D,3,0)</f>
        <v>Abr</v>
      </c>
      <c r="Q36" s="48">
        <f>VLOOKUP(Tabla15[[#This Row],[N° 
Evento]],'Eventos de riesgos'!B:E,4,0)</f>
        <v>44679.722222222219</v>
      </c>
      <c r="R36" s="48">
        <f>VLOOKUP(Tabla15[[#This Row],[N° 
Evento]],'Eventos de riesgos'!B:F,5,0)</f>
        <v>44679.722222222219</v>
      </c>
      <c r="S36" s="48">
        <f>VLOOKUP(Tabla15[[#This Row],[N° 
Evento]],'Eventos de riesgos'!B:G,6,0)</f>
        <v>44679.722222222219</v>
      </c>
      <c r="T36" s="62" t="str">
        <f>VLOOKUP(Tabla15[[#This Row],[N° 
Evento]],'Eventos de riesgos'!B:H,7,0)</f>
        <v>Caso
El señor Luis Eduardo Rosales, ciudadano no asociado a la Cooperativa presento una queja ante la SES , inconforme por recibir correos con extractos bancarios que no le corresponden, pero que si le corresponden al asociado Luis Eduardo Rosales. La confusión consiste en envio de correo errado a luiseduardorosales@gmail.com y el correcto es luiseduardorosales08@gmail.com.
Acciones 
A.   La funcionaria Rina Herrera se comunicó con el asociado Luis Eduardo Rosales y efectivamente el correo de él es luiseduardorosales08@gmail.com, adicional contactará al señor Luis Rosales y se le indicará que no va a volver a recibir estos correos por parte de Febor Entidad Cooperativa.
Se verifica sistema de encriptación frente a Base social, para que el problema sea solucionado de raíz, actualizándolo en el sistema Wog.
Se verifica uno a uno los asociados a los que se les envío extractos de tarjeta crédito, para constatar que no hubo más inconsistencias, lo cual solo se presentó con este asociado.
Se dio respuesta a la queja del ciudadano con conocimiento de la Junta de vigilancia y con copia a la Superintendencia de Economía Solidaria.</v>
      </c>
      <c r="U36" s="49">
        <f>VLOOKUP(Tabla15[[#This Row],[N° 
Evento]],'Eventos de riesgos'!B:I,8,0)</f>
        <v>0</v>
      </c>
      <c r="V36" s="49">
        <f>VLOOKUP(Tabla15[[#This Row],[N° 
Evento]],'Eventos de riesgos'!B:J,9,0)</f>
        <v>0</v>
      </c>
      <c r="W36" s="49">
        <f>VLOOKUP(Tabla15[[#This Row],[N° 
Evento]],'Eventos de riesgos'!B:K,10,0)</f>
        <v>0</v>
      </c>
      <c r="X36" s="44" t="str">
        <f>VLOOKUP(Tabla15[[#This Row],[N° 
Evento]],'Eventos de riesgos'!B:L,11,0)</f>
        <v>7 - Ejecución y Administración de Procesos</v>
      </c>
      <c r="Y36" s="44" t="str">
        <f>VLOOKUP(Tabla15[[#This Row],[N° 
Evento]],'Eventos de riesgos'!B:M,12,0)</f>
        <v>71 - Recepción, Ejecución y Mantenimiento de Operaciones</v>
      </c>
      <c r="Z36" s="44" t="str">
        <f>VLOOKUP(Tabla15[[#This Row],[N° 
Evento]],'Eventos de riesgos'!B:N,13,0)</f>
        <v>719 - Seguridad de la Información</v>
      </c>
      <c r="AA36" s="44" t="str">
        <f>+VLOOKUP(Tabla15[[#This Row],[N° 
Evento]],'Eventos de riesgos'!$B$1:$AA$87,23,0)</f>
        <v>Manejo de datos personales</v>
      </c>
      <c r="AB36" s="43" t="str">
        <f>VLOOKUP(Tabla15[[#This Row],[N° 
Evento]],'Eventos de riesgos'!B:O,14,0)</f>
        <v>Ninguna</v>
      </c>
      <c r="AC36" s="48">
        <f>VLOOKUP(Tabla15[[#This Row],[N° 
Evento]],'Eventos de riesgos'!B:P,15,0)</f>
        <v>44681</v>
      </c>
      <c r="AD36" s="43" t="str">
        <f>VLOOKUP(Tabla15[[#This Row],[N° 
Evento]],'Eventos de riesgos'!B:Q,16,0)</f>
        <v>Tarjeta crédito</v>
      </c>
      <c r="AE36" s="43" t="str">
        <f>VLOOKUP(Tabla15[[#This Row],[N° 
Evento]],'Eventos de riesgos'!B:R,17,0)</f>
        <v>Buzón Quejas y Reclamos</v>
      </c>
      <c r="AF36" s="45" t="str">
        <f>VLOOKUP(Tabla15[[#This Row],[N° 
Evento]],'Eventos de riesgos'!B:V,21,0)</f>
        <v>Aprobado</v>
      </c>
      <c r="AG36" s="44" t="str">
        <f>VLOOKUP(Tabla15[[#This Row],[N° 
Evento]],'Eventos de riesgos'!B:W,22,0)</f>
        <v>24/05/2022 17:21:30: La queja respuesta se proyecta, se traslada a junta de vigilancia para ser respondida al ciudadano con copia a la SES</v>
      </c>
    </row>
    <row r="37" spans="3:33" ht="59" customHeight="1" x14ac:dyDescent="0.55000000000000004">
      <c r="C37" s="43" t="str">
        <f>+Tabla15[[#This Row],[N° 
Evento]]&amp;"-"&amp;Tabla15[[#This Row],[N° Tarea]]</f>
        <v>16-1</v>
      </c>
      <c r="D37" s="43">
        <v>16</v>
      </c>
      <c r="E37" s="43">
        <v>1</v>
      </c>
      <c r="F37" s="44" t="s">
        <v>250</v>
      </c>
      <c r="G37" s="44" t="s">
        <v>1052</v>
      </c>
      <c r="H37" s="44" t="s">
        <v>215</v>
      </c>
      <c r="I37" s="45" t="s">
        <v>91</v>
      </c>
      <c r="J37" s="46">
        <v>44683</v>
      </c>
      <c r="K37" s="46">
        <v>44704</v>
      </c>
      <c r="L37" s="47" t="str">
        <f>IF(Tabla15[[#This Row],[Fecha de Finalización]]&gt;0,"Cerrada","En Proceso")</f>
        <v>Cerrada</v>
      </c>
      <c r="M37" s="43">
        <f t="shared" si="0"/>
        <v>21</v>
      </c>
      <c r="N37" s="44" t="s">
        <v>251</v>
      </c>
      <c r="O37" s="43">
        <f>VLOOKUP(Tabla15[[#This Row],[N° 
Evento]],'Eventos de riesgos'!B:C,2,0)</f>
        <v>2022</v>
      </c>
      <c r="P37" s="43" t="str">
        <f>VLOOKUP(Tabla15[[#This Row],[N° 
Evento]],'Eventos de riesgos'!B:D,3,0)</f>
        <v>May</v>
      </c>
      <c r="Q37" s="48">
        <f>VLOOKUP(Tabla15[[#This Row],[N° 
Evento]],'Eventos de riesgos'!B:E,4,0)</f>
        <v>44702.541666666664</v>
      </c>
      <c r="R37" s="48">
        <f>VLOOKUP(Tabla15[[#This Row],[N° 
Evento]],'Eventos de riesgos'!B:F,5,0)</f>
        <v>44703.4375</v>
      </c>
      <c r="S37" s="48">
        <f>VLOOKUP(Tabla15[[#This Row],[N° 
Evento]],'Eventos de riesgos'!B:G,6,0)</f>
        <v>44705.875</v>
      </c>
      <c r="T37" s="62" t="str">
        <f>VLOOKUP(Tabla15[[#This Row],[N° 
Evento]],'Eventos de riesgos'!B:H,7,0)</f>
        <v>Caso
Se presenta desconexión del servicio entre visionamos - Empacto - WOG el día 21 de mayo de 2022, que produce que las operaciones que los asociados realizaron con su tarjeta debito, su cuenta de ahorro, o sus cupos rotativos y avance no fueran registradas en el producto pero si fueron ejecutadas correctamente por visionamos y compensadas a Febor un total de 42 asociados. Diariamente se validan que las operaciones del día anterior sean ejecutadas en su totalidad en los productos correspondientes, el día Lunes 23 de mayo de 2022 se evidencian operaciones que presentan diferencias por lo cual se procede a remitir la información a contabilidad para validar si estas fueron compensadas por visionamos a febor. por parte de wog el 24 solicitan el envió el archivo AUT por medio del cual registran las operaciones que reporta visionamos y son cargados a los productos en WOG, una vez identifican las diferencias proceden a aplicarlas en producto con fecha 24 al cierre del día y en la descripción se diligencia que corresponden al 21 de mayo de 2022. Se debe validar la forma como monitorear en linea las desconexiones entre visionamos - Empacto - WOG, con el fin de realizar las acciones correctivas con mayor prontitud.
Acciones
Identifican las diferencias en los saldos y aplicar correcciones en el producto.</v>
      </c>
      <c r="U37" s="49">
        <f>VLOOKUP(Tabla15[[#This Row],[N° 
Evento]],'Eventos de riesgos'!B:I,8,0)</f>
        <v>9649785</v>
      </c>
      <c r="V37" s="49">
        <f>VLOOKUP(Tabla15[[#This Row],[N° 
Evento]],'Eventos de riesgos'!B:J,9,0)</f>
        <v>9649785</v>
      </c>
      <c r="W37" s="49">
        <f>VLOOKUP(Tabla15[[#This Row],[N° 
Evento]],'Eventos de riesgos'!B:K,10,0)</f>
        <v>0</v>
      </c>
      <c r="X37" s="44" t="str">
        <f>VLOOKUP(Tabla15[[#This Row],[N° 
Evento]],'Eventos de riesgos'!B:L,11,0)</f>
        <v>6 - Fallas Tecnologicas</v>
      </c>
      <c r="Y37" s="44" t="str">
        <f>VLOOKUP(Tabla15[[#This Row],[N° 
Evento]],'Eventos de riesgos'!B:M,12,0)</f>
        <v>61 - Sistemas</v>
      </c>
      <c r="Z37" s="44" t="str">
        <f>VLOOKUP(Tabla15[[#This Row],[N° 
Evento]],'Eventos de riesgos'!B:N,13,0)</f>
        <v>614 - Interrupción en el Suministro de un Servicio Público que Ocasiones Falla en los Sistemas</v>
      </c>
      <c r="AA37" s="44" t="str">
        <f>+VLOOKUP(Tabla15[[#This Row],[N° 
Evento]],'Eventos de riesgos'!$B$1:$AA$87,23,0)</f>
        <v>Falla en operaciones electrónicas originadas por el proveedor</v>
      </c>
      <c r="AB37" s="43" t="str">
        <f>VLOOKUP(Tabla15[[#This Row],[N° 
Evento]],'Eventos de riesgos'!B:O,14,0)</f>
        <v>Ninguna</v>
      </c>
      <c r="AC37" s="48">
        <f>VLOOKUP(Tabla15[[#This Row],[N° 
Evento]],'Eventos de riesgos'!B:P,15,0)</f>
        <v>44712</v>
      </c>
      <c r="AD37" s="43" t="str">
        <f>VLOOKUP(Tabla15[[#This Row],[N° 
Evento]],'Eventos de riesgos'!B:Q,16,0)</f>
        <v>Ahorros voluntarios</v>
      </c>
      <c r="AE37" s="43" t="str">
        <f>VLOOKUP(Tabla15[[#This Row],[N° 
Evento]],'Eventos de riesgos'!B:R,17,0)</f>
        <v>Ninguno</v>
      </c>
      <c r="AF37" s="45" t="str">
        <f>VLOOKUP(Tabla15[[#This Row],[N° 
Evento]],'Eventos de riesgos'!B:V,21,0)</f>
        <v>Aprobado</v>
      </c>
      <c r="AG37" s="44" t="str">
        <f>VLOOKUP(Tabla15[[#This Row],[N° 
Evento]],'Eventos de riesgos'!B:W,22,0)</f>
        <v>25/05/2022 15:55:14: Reporte Evento SARO link
26/05/2022 12:36:41: Caso recibido, revisado por Dirección Riesgos</v>
      </c>
    </row>
    <row r="38" spans="3:33" ht="59" customHeight="1" x14ac:dyDescent="0.55000000000000004">
      <c r="C38" s="43" t="str">
        <f>+Tabla15[[#This Row],[N° 
Evento]]&amp;"-"&amp;Tabla15[[#This Row],[N° Tarea]]</f>
        <v>17-1</v>
      </c>
      <c r="D38" s="43">
        <v>17</v>
      </c>
      <c r="E38" s="43">
        <v>1</v>
      </c>
      <c r="F38" s="44" t="s">
        <v>252</v>
      </c>
      <c r="G38" s="44" t="s">
        <v>1052</v>
      </c>
      <c r="H38" s="44" t="s">
        <v>253</v>
      </c>
      <c r="I38" s="45" t="s">
        <v>254</v>
      </c>
      <c r="J38" s="46">
        <v>44704</v>
      </c>
      <c r="K38" s="46">
        <v>44705</v>
      </c>
      <c r="L38" s="47" t="str">
        <f>IF(Tabla15[[#This Row],[Fecha de Finalización]]&gt;0,"Cerrada","En Proceso")</f>
        <v>Cerrada</v>
      </c>
      <c r="M38" s="43">
        <f t="shared" si="0"/>
        <v>1</v>
      </c>
      <c r="N38" s="44" t="s">
        <v>255</v>
      </c>
      <c r="O38" s="43">
        <f>VLOOKUP(Tabla15[[#This Row],[N° 
Evento]],'Eventos de riesgos'!B:C,2,0)</f>
        <v>2022</v>
      </c>
      <c r="P38" s="43" t="str">
        <f>VLOOKUP(Tabla15[[#This Row],[N° 
Evento]],'Eventos de riesgos'!B:D,3,0)</f>
        <v>May</v>
      </c>
      <c r="Q38" s="48">
        <f>VLOOKUP(Tabla15[[#This Row],[N° 
Evento]],'Eventos de riesgos'!B:E,4,0)</f>
        <v>44704.5</v>
      </c>
      <c r="R38" s="48">
        <f>VLOOKUP(Tabla15[[#This Row],[N° 
Evento]],'Eventos de riesgos'!B:F,5,0)</f>
        <v>44712.791666666664</v>
      </c>
      <c r="S38" s="48">
        <f>VLOOKUP(Tabla15[[#This Row],[N° 
Evento]],'Eventos de riesgos'!B:G,6,0)</f>
        <v>44704.541666666664</v>
      </c>
      <c r="T38" s="62" t="str">
        <f>VLOOKUP(Tabla15[[#This Row],[N° 
Evento]],'Eventos de riesgos'!B:H,7,0)</f>
        <v>Caso
El pasado lunes 23 de mayo, nuestra cajera de Mazuren Laura Nataly Arevalo tuvo un descuadre en cajera por $1.100.000- el mismo día al cierre luego de haber hecho todos los cruces respectivos informo del faltante y aseguro saber a que asociada le habia dado el dinero de mas, así mismo, informo que la llamo y la sra informo no tener el dinero de sobra.
El martes 24 nuestra asociada se acerco a la oficina del centro y entrego un millón de pesos.
Al revisar el video del momento de la atención en caja de la asociada, no se evidencia cual pudo haber sido la falla puntual, sin embargo considero que pudo darse por que la asesora tenia dinero en la maquina contadora.
Valga le pena mencionar que es la primera vez que se presenta un descuadre en cabeza de nuestra asesora Laura Nataly Arevalo quien es la encargada de la caja desde 01 de septiembre en nuestra extensión de caja de Mazuren.
Acciones
Recuperación y devolución del dinero a la caja. Esta tarea la debe realizar la asesora Nataly Arévalo.</v>
      </c>
      <c r="U38" s="49">
        <f>VLOOKUP(Tabla15[[#This Row],[N° 
Evento]],'Eventos de riesgos'!B:I,8,0)</f>
        <v>1100000</v>
      </c>
      <c r="V38" s="49">
        <f>VLOOKUP(Tabla15[[#This Row],[N° 
Evento]],'Eventos de riesgos'!B:J,9,0)</f>
        <v>1100000</v>
      </c>
      <c r="W38" s="49">
        <f>VLOOKUP(Tabla15[[#This Row],[N° 
Evento]],'Eventos de riesgos'!B:K,10,0)</f>
        <v>0</v>
      </c>
      <c r="X38" s="44" t="str">
        <f>VLOOKUP(Tabla15[[#This Row],[N° 
Evento]],'Eventos de riesgos'!B:L,11,0)</f>
        <v>7 - Ejecución y Administración de Procesos</v>
      </c>
      <c r="Y38" s="44" t="str">
        <f>VLOOKUP(Tabla15[[#This Row],[N° 
Evento]],'Eventos de riesgos'!B:M,12,0)</f>
        <v>71 - Recepción, Ejecución y Mantenimiento de Operaciones</v>
      </c>
      <c r="Z38" s="44" t="str">
        <f>VLOOKUP(Tabla15[[#This Row],[N° 
Evento]],'Eventos de riesgos'!B:N,13,0)</f>
        <v>718 - Error en Otras Tareas, Falla en la Entrega</v>
      </c>
      <c r="AA38" s="44" t="str">
        <f>+VLOOKUP(Tabla15[[#This Row],[N° 
Evento]],'Eventos de riesgos'!$B$1:$AA$87,23,0)</f>
        <v>Descuadre en caja</v>
      </c>
      <c r="AB38" s="43" t="str">
        <f>VLOOKUP(Tabla15[[#This Row],[N° 
Evento]],'Eventos de riesgos'!B:O,14,0)</f>
        <v>Ninguna</v>
      </c>
      <c r="AC38" s="48">
        <f>VLOOKUP(Tabla15[[#This Row],[N° 
Evento]],'Eventos de riesgos'!B:P,15,0)</f>
        <v>44712</v>
      </c>
      <c r="AD38" s="43" t="str">
        <f>VLOOKUP(Tabla15[[#This Row],[N° 
Evento]],'Eventos de riesgos'!B:Q,16,0)</f>
        <v>Ninguno</v>
      </c>
      <c r="AE38" s="43" t="str">
        <f>VLOOKUP(Tabla15[[#This Row],[N° 
Evento]],'Eventos de riesgos'!B:R,17,0)</f>
        <v>Atención en oficina (caja)</v>
      </c>
      <c r="AF38" s="45" t="str">
        <f>VLOOKUP(Tabla15[[#This Row],[N° 
Evento]],'Eventos de riesgos'!B:V,21,0)</f>
        <v>Aprobado</v>
      </c>
      <c r="AG38" s="44" t="str">
        <f>VLOOKUP(Tabla15[[#This Row],[N° 
Evento]],'Eventos de riesgos'!B:W,22,0)</f>
        <v>31/05/2022 07:37:29: Reporte Evento SARO link
01/06/2022 10:24:23: Se sugiere que el cajero tenga claro su procedimiento de operación en caja: 1. Se atiende un asociado a la vez 2. Se ingresa el dinero , se cuenta se guarda y se realiza la operación ( no dejar dinero en la maquina contadora) 3. Si se entrega dinero, grabar la operación, tomar el dinero, contarlo en la maquina, entregarlo y solicitar al asociado que confirme la cantidad entregada 4. Evitar distracciones durante las operaciones en caja (celulares, hablar con compañeros o demás visitantes etc.)</v>
      </c>
    </row>
    <row r="39" spans="3:33" ht="59" customHeight="1" x14ac:dyDescent="0.55000000000000004">
      <c r="C39" s="43" t="str">
        <f>+Tabla15[[#This Row],[N° 
Evento]]&amp;"-"&amp;Tabla15[[#This Row],[N° Tarea]]</f>
        <v>18-1</v>
      </c>
      <c r="D39" s="43">
        <v>18</v>
      </c>
      <c r="E39" s="43">
        <v>1</v>
      </c>
      <c r="F39" s="44" t="s">
        <v>242</v>
      </c>
      <c r="G39" s="44" t="s">
        <v>1052</v>
      </c>
      <c r="H39" s="44" t="s">
        <v>771</v>
      </c>
      <c r="I39" s="45" t="s">
        <v>228</v>
      </c>
      <c r="J39" s="46">
        <v>44712</v>
      </c>
      <c r="K39" s="46">
        <v>44715</v>
      </c>
      <c r="L39" s="47" t="str">
        <f>IF(Tabla15[[#This Row],[Fecha de Finalización]]&gt;0,"Cerrada","En Proceso")</f>
        <v>Cerrada</v>
      </c>
      <c r="M39" s="43">
        <f t="shared" si="0"/>
        <v>3</v>
      </c>
      <c r="N39" s="44" t="s">
        <v>256</v>
      </c>
      <c r="O39" s="43">
        <f>VLOOKUP(Tabla15[[#This Row],[N° 
Evento]],'Eventos de riesgos'!B:C,2,0)</f>
        <v>2022</v>
      </c>
      <c r="P39" s="43" t="str">
        <f>VLOOKUP(Tabla15[[#This Row],[N° 
Evento]],'Eventos de riesgos'!B:D,3,0)</f>
        <v>May</v>
      </c>
      <c r="Q39" s="48">
        <f>VLOOKUP(Tabla15[[#This Row],[N° 
Evento]],'Eventos de riesgos'!B:E,4,0)</f>
        <v>44711.635416666664</v>
      </c>
      <c r="R39" s="48">
        <f>VLOOKUP(Tabla15[[#This Row],[N° 
Evento]],'Eventos de riesgos'!B:F,5,0)</f>
        <v>44711.636111111111</v>
      </c>
      <c r="S39" s="48">
        <f>VLOOKUP(Tabla15[[#This Row],[N° 
Evento]],'Eventos de riesgos'!B:G,6,0)</f>
        <v>44712.916666666664</v>
      </c>
      <c r="T39" s="62" t="str">
        <f>VLOOKUP(Tabla15[[#This Row],[N° 
Evento]],'Eventos de riesgos'!B:H,7,0)</f>
        <v xml:space="preserve">Caso
Fallas en los sistemas retrasan la operación por casi dos horas, esto se debe a que se ejecutaron varios procesos masivos al tiempo y dado que los dos apuntan directamente a la base de datos, se  estaban cargando créditos al mismo tiempo y adicionalmente se estaban procesando los archivos de Tarjeta de Crédito (que provienen de ASNET) los cuales generaron conflicto con el procesamiento del servidor. Al contactar con urgencia al proveedor WOG para solucionar el conflicto se tuvo los siguientes inconvenientes:
Falta de soporte y prontitud del proveedor en las respuestas de solución. 
Burocracia en la toma de decisiones por parte del proveedor para la solución inmediata del problema.
Esta afectación se evidencia por falta de monitoreo por parte del proveedor WOG, dado que ellos son los que administran la aplicación y determinan los procesos que afectan en gran escala al sistema.
Acciones
Comunicación inmediata con el proveedor para la corrección de reportes y módulos afectados
Verificar la capacidad del servidor, evaluar lo que se requiere para que el rendimiento del sistema no disminuya por la ejecución de varios procesos.
</v>
      </c>
      <c r="U39" s="49">
        <f>VLOOKUP(Tabla15[[#This Row],[N° 
Evento]],'Eventos de riesgos'!B:I,8,0)</f>
        <v>0</v>
      </c>
      <c r="V39" s="49">
        <f>VLOOKUP(Tabla15[[#This Row],[N° 
Evento]],'Eventos de riesgos'!B:J,9,0)</f>
        <v>0</v>
      </c>
      <c r="W39" s="49">
        <f>VLOOKUP(Tabla15[[#This Row],[N° 
Evento]],'Eventos de riesgos'!B:K,10,0)</f>
        <v>0</v>
      </c>
      <c r="X39" s="44" t="str">
        <f>VLOOKUP(Tabla15[[#This Row],[N° 
Evento]],'Eventos de riesgos'!B:L,11,0)</f>
        <v>6 - Fallas Tecnologicas</v>
      </c>
      <c r="Y39" s="44" t="str">
        <f>VLOOKUP(Tabla15[[#This Row],[N° 
Evento]],'Eventos de riesgos'!B:M,12,0)</f>
        <v>61 - Sistemas</v>
      </c>
      <c r="Z39" s="44" t="str">
        <f>VLOOKUP(Tabla15[[#This Row],[N° 
Evento]],'Eventos de riesgos'!B:N,13,0)</f>
        <v>611 - Pérdida por Problemas en Software</v>
      </c>
      <c r="AA39" s="44" t="str">
        <f>+VLOOKUP(Tabla15[[#This Row],[N° 
Evento]],'Eventos de riesgos'!$B$1:$AA$87,23,0)</f>
        <v>Indisponibilidad Core Financiero Wog</v>
      </c>
      <c r="AB39" s="43" t="str">
        <f>VLOOKUP(Tabla15[[#This Row],[N° 
Evento]],'Eventos de riesgos'!B:O,14,0)</f>
        <v>Ninguna</v>
      </c>
      <c r="AC39" s="48">
        <f>VLOOKUP(Tabla15[[#This Row],[N° 
Evento]],'Eventos de riesgos'!B:P,15,0)</f>
        <v>44712</v>
      </c>
      <c r="AD39" s="43" t="str">
        <f>VLOOKUP(Tabla15[[#This Row],[N° 
Evento]],'Eventos de riesgos'!B:Q,16,0)</f>
        <v>Varios tipos de crédito</v>
      </c>
      <c r="AE39" s="43" t="str">
        <f>VLOOKUP(Tabla15[[#This Row],[N° 
Evento]],'Eventos de riesgos'!B:R,17,0)</f>
        <v>Ninguno</v>
      </c>
      <c r="AF39" s="45" t="str">
        <f>VLOOKUP(Tabla15[[#This Row],[N° 
Evento]],'Eventos de riesgos'!B:V,21,0)</f>
        <v>Aprobado</v>
      </c>
      <c r="AG39" s="44" t="str">
        <f>VLOOKUP(Tabla15[[#This Row],[N° 
Evento]],'Eventos de riesgos'!B:W,22,0)</f>
        <v>03/06/2022 12:24:42: Reporte Evento SARO link
05/06/2022 15:35:27: Desde el área de tecnología, se debe verificar la capacidad del servidor, evaluar lo que se requiere para que el rendimiento del sistema no disminuya por la ejecución de varios procesos. Se deben generar las recomendaciones preventivas para el buen manejo del sistema a los funcionarios con acceso a operaciones delicadas.</v>
      </c>
    </row>
    <row r="40" spans="3:33" ht="59" customHeight="1" x14ac:dyDescent="0.55000000000000004">
      <c r="C40" s="43" t="str">
        <f>+Tabla15[[#This Row],[N° 
Evento]]&amp;"-"&amp;Tabla15[[#This Row],[N° Tarea]]</f>
        <v>18-2</v>
      </c>
      <c r="D40" s="43">
        <v>18</v>
      </c>
      <c r="E40" s="43">
        <v>2</v>
      </c>
      <c r="F40" s="44" t="s">
        <v>257</v>
      </c>
      <c r="G40" s="44" t="s">
        <v>1053</v>
      </c>
      <c r="H40" s="44" t="s">
        <v>771</v>
      </c>
      <c r="I40" s="45" t="s">
        <v>228</v>
      </c>
      <c r="J40" s="46">
        <v>44712</v>
      </c>
      <c r="K40" s="46">
        <v>44715</v>
      </c>
      <c r="L40" s="47" t="str">
        <f>IF(Tabla15[[#This Row],[Fecha de Finalización]]&gt;0,"Cerrada","En Proceso")</f>
        <v>Cerrada</v>
      </c>
      <c r="M40" s="43">
        <f t="shared" si="0"/>
        <v>3</v>
      </c>
      <c r="N40" s="44" t="s">
        <v>247</v>
      </c>
      <c r="O40" s="43">
        <f>VLOOKUP(Tabla15[[#This Row],[N° 
Evento]],'Eventos de riesgos'!B:C,2,0)</f>
        <v>2022</v>
      </c>
      <c r="P40" s="43" t="str">
        <f>VLOOKUP(Tabla15[[#This Row],[N° 
Evento]],'Eventos de riesgos'!B:D,3,0)</f>
        <v>May</v>
      </c>
      <c r="Q40" s="48">
        <f>VLOOKUP(Tabla15[[#This Row],[N° 
Evento]],'Eventos de riesgos'!B:E,4,0)</f>
        <v>44711.635416666664</v>
      </c>
      <c r="R40" s="48">
        <f>VLOOKUP(Tabla15[[#This Row],[N° 
Evento]],'Eventos de riesgos'!B:F,5,0)</f>
        <v>44711.636111111111</v>
      </c>
      <c r="S40" s="48">
        <f>VLOOKUP(Tabla15[[#This Row],[N° 
Evento]],'Eventos de riesgos'!B:G,6,0)</f>
        <v>44712.916666666664</v>
      </c>
      <c r="T40" s="62" t="str">
        <f>VLOOKUP(Tabla15[[#This Row],[N° 
Evento]],'Eventos de riesgos'!B:H,7,0)</f>
        <v xml:space="preserve">Caso
Fallas en los sistemas retrasan la operación por casi dos horas, esto se debe a que se ejecutaron varios procesos masivos al tiempo y dado que los dos apuntan directamente a la base de datos, se  estaban cargando créditos al mismo tiempo y adicionalmente se estaban procesando los archivos de Tarjeta de Crédito (que provienen de ASNET) los cuales generaron conflicto con el procesamiento del servidor. Al contactar con urgencia al proveedor WOG para solucionar el conflicto se tuvo los siguientes inconvenientes:
Falta de soporte y prontitud del proveedor en las respuestas de solución. 
Burocracia en la toma de decisiones por parte del proveedor para la solución inmediata del problema.
Esta afectación se evidencia por falta de monitoreo por parte del proveedor WOG, dado que ellos son los que administran la aplicación y determinan los procesos que afectan en gran escala al sistema.
Acciones
Comunicación inmediata con el proveedor para la corrección de reportes y módulos afectados
Verificar la capacidad del servidor, evaluar lo que se requiere para que el rendimiento del sistema no disminuya por la ejecución de varios procesos.
</v>
      </c>
      <c r="U40" s="49">
        <f>VLOOKUP(Tabla15[[#This Row],[N° 
Evento]],'Eventos de riesgos'!B:I,8,0)</f>
        <v>0</v>
      </c>
      <c r="V40" s="49">
        <f>VLOOKUP(Tabla15[[#This Row],[N° 
Evento]],'Eventos de riesgos'!B:J,9,0)</f>
        <v>0</v>
      </c>
      <c r="W40" s="49">
        <f>VLOOKUP(Tabla15[[#This Row],[N° 
Evento]],'Eventos de riesgos'!B:K,10,0)</f>
        <v>0</v>
      </c>
      <c r="X40" s="44" t="str">
        <f>VLOOKUP(Tabla15[[#This Row],[N° 
Evento]],'Eventos de riesgos'!B:L,11,0)</f>
        <v>6 - Fallas Tecnologicas</v>
      </c>
      <c r="Y40" s="44" t="str">
        <f>VLOOKUP(Tabla15[[#This Row],[N° 
Evento]],'Eventos de riesgos'!B:M,12,0)</f>
        <v>61 - Sistemas</v>
      </c>
      <c r="Z40" s="44" t="str">
        <f>VLOOKUP(Tabla15[[#This Row],[N° 
Evento]],'Eventos de riesgos'!B:N,13,0)</f>
        <v>611 - Pérdida por Problemas en Software</v>
      </c>
      <c r="AA40" s="44" t="str">
        <f>+VLOOKUP(Tabla15[[#This Row],[N° 
Evento]],'Eventos de riesgos'!$B$1:$AA$87,23,0)</f>
        <v>Indisponibilidad Core Financiero Wog</v>
      </c>
      <c r="AB40" s="43" t="str">
        <f>VLOOKUP(Tabla15[[#This Row],[N° 
Evento]],'Eventos de riesgos'!B:O,14,0)</f>
        <v>Ninguna</v>
      </c>
      <c r="AC40" s="48">
        <f>VLOOKUP(Tabla15[[#This Row],[N° 
Evento]],'Eventos de riesgos'!B:P,15,0)</f>
        <v>44712</v>
      </c>
      <c r="AD40" s="43" t="str">
        <f>VLOOKUP(Tabla15[[#This Row],[N° 
Evento]],'Eventos de riesgos'!B:Q,16,0)</f>
        <v>Varios tipos de crédito</v>
      </c>
      <c r="AE40" s="43" t="str">
        <f>VLOOKUP(Tabla15[[#This Row],[N° 
Evento]],'Eventos de riesgos'!B:R,17,0)</f>
        <v>Ninguno</v>
      </c>
      <c r="AF40" s="45" t="str">
        <f>VLOOKUP(Tabla15[[#This Row],[N° 
Evento]],'Eventos de riesgos'!B:V,21,0)</f>
        <v>Aprobado</v>
      </c>
      <c r="AG40" s="44" t="str">
        <f>VLOOKUP(Tabla15[[#This Row],[N° 
Evento]],'Eventos de riesgos'!B:W,22,0)</f>
        <v>03/06/2022 12:24:42: Reporte Evento SARO link
05/06/2022 15:35:27: Desde el área de tecnología, se debe verificar la capacidad del servidor, evaluar lo que se requiere para que el rendimiento del sistema no disminuya por la ejecución de varios procesos. Se deben generar las recomendaciones preventivas para el buen manejo del sistema a los funcionarios con acceso a operaciones delicadas.</v>
      </c>
    </row>
    <row r="41" spans="3:33" ht="59" customHeight="1" x14ac:dyDescent="0.55000000000000004">
      <c r="C41" s="43" t="str">
        <f>+Tabla15[[#This Row],[N° 
Evento]]&amp;"-"&amp;Tabla15[[#This Row],[N° Tarea]]</f>
        <v>19-1</v>
      </c>
      <c r="D41" s="43">
        <v>19</v>
      </c>
      <c r="E41" s="43">
        <v>1</v>
      </c>
      <c r="F41" s="44" t="s">
        <v>258</v>
      </c>
      <c r="G41" s="44" t="s">
        <v>1053</v>
      </c>
      <c r="H41" s="44" t="s">
        <v>765</v>
      </c>
      <c r="I41" s="45" t="s">
        <v>259</v>
      </c>
      <c r="J41" s="46">
        <v>44705</v>
      </c>
      <c r="K41" s="46">
        <v>44705</v>
      </c>
      <c r="L41" s="47" t="str">
        <f>IF(Tabla15[[#This Row],[Fecha de Finalización]]&gt;0,"Cerrada","En Proceso")</f>
        <v>Cerrada</v>
      </c>
      <c r="M41" s="43">
        <f t="shared" si="0"/>
        <v>0</v>
      </c>
      <c r="N41" s="44" t="s">
        <v>247</v>
      </c>
      <c r="O41" s="43">
        <f>VLOOKUP(Tabla15[[#This Row],[N° 
Evento]],'Eventos de riesgos'!B:C,2,0)</f>
        <v>2022</v>
      </c>
      <c r="P41" s="43" t="str">
        <f>VLOOKUP(Tabla15[[#This Row],[N° 
Evento]],'Eventos de riesgos'!B:D,3,0)</f>
        <v>May</v>
      </c>
      <c r="Q41" s="48">
        <f>VLOOKUP(Tabla15[[#This Row],[N° 
Evento]],'Eventos de riesgos'!B:E,4,0)</f>
        <v>44705.416666666664</v>
      </c>
      <c r="R41" s="48">
        <f>VLOOKUP(Tabla15[[#This Row],[N° 
Evento]],'Eventos de riesgos'!B:F,5,0)</f>
        <v>44705.416666666664</v>
      </c>
      <c r="S41" s="48">
        <f>VLOOKUP(Tabla15[[#This Row],[N° 
Evento]],'Eventos de riesgos'!B:G,6,0)</f>
        <v>44705.416666666664</v>
      </c>
      <c r="T41" s="62" t="str">
        <f>VLOOKUP(Tabla15[[#This Row],[N° 
Evento]],'Eventos de riesgos'!B:H,7,0)</f>
        <v>Caso
El gerente Juan Pablo Vélez reporta como evento de riesgo la carencia y debilidad en el proceso de reporte de eventos de riesgo por parte de los funcionarios, a pesar de llevar a cabo capacitación al respecto, es necesario promover e intensificar el esfuerzo al respecto.
Es necesario y obligatorio que todos los funcionarios conozcan el proceso y los medios para reportar eventos de riesgo y hacerlo de manera oportuna.
Acciones
Sensibilización a los funcionarios sobre el reporte de eventos de riesgo mediante cápsulas de conocimiento, reuniones con el personal y guía en la elaboración de reportes directamente a los jefes de área.</v>
      </c>
      <c r="U41" s="49">
        <f>VLOOKUP(Tabla15[[#This Row],[N° 
Evento]],'Eventos de riesgos'!B:I,8,0)</f>
        <v>0</v>
      </c>
      <c r="V41" s="49">
        <f>VLOOKUP(Tabla15[[#This Row],[N° 
Evento]],'Eventos de riesgos'!B:J,9,0)</f>
        <v>0</v>
      </c>
      <c r="W41" s="49">
        <f>VLOOKUP(Tabla15[[#This Row],[N° 
Evento]],'Eventos de riesgos'!B:K,10,0)</f>
        <v>0</v>
      </c>
      <c r="X41" s="44" t="str">
        <f>VLOOKUP(Tabla15[[#This Row],[N° 
Evento]],'Eventos de riesgos'!B:L,11,0)</f>
        <v>7 - Ejecución y Administración de Procesos</v>
      </c>
      <c r="Y41" s="44" t="str">
        <f>VLOOKUP(Tabla15[[#This Row],[N° 
Evento]],'Eventos de riesgos'!B:M,12,0)</f>
        <v>72 - Seguimiento y Presentación de Informes</v>
      </c>
      <c r="Z41" s="44" t="str">
        <f>VLOOKUP(Tabla15[[#This Row],[N° 
Evento]],'Eventos de riesgos'!B:N,13,0)</f>
        <v>721 - Incumplimiento de la Obligación de Informar</v>
      </c>
      <c r="AA41" s="44" t="str">
        <f>+VLOOKUP(Tabla15[[#This Row],[N° 
Evento]],'Eventos de riesgos'!$B$1:$AA$87,23,0)</f>
        <v>Empleados no reportan RO</v>
      </c>
      <c r="AB41" s="43" t="str">
        <f>VLOOKUP(Tabla15[[#This Row],[N° 
Evento]],'Eventos de riesgos'!B:O,14,0)</f>
        <v>Ninguna</v>
      </c>
      <c r="AC41" s="48">
        <f>VLOOKUP(Tabla15[[#This Row],[N° 
Evento]],'Eventos de riesgos'!B:P,15,0)</f>
        <v>44712</v>
      </c>
      <c r="AD41" s="43" t="str">
        <f>VLOOKUP(Tabla15[[#This Row],[N° 
Evento]],'Eventos de riesgos'!B:Q,16,0)</f>
        <v>Ninguno</v>
      </c>
      <c r="AE41" s="43" t="str">
        <f>VLOOKUP(Tabla15[[#This Row],[N° 
Evento]],'Eventos de riesgos'!B:R,17,0)</f>
        <v>Ninguno</v>
      </c>
      <c r="AF41" s="45" t="str">
        <f>VLOOKUP(Tabla15[[#This Row],[N° 
Evento]],'Eventos de riesgos'!B:V,21,0)</f>
        <v>Aprobado</v>
      </c>
      <c r="AG41" s="44" t="str">
        <f>VLOOKUP(Tabla15[[#This Row],[N° 
Evento]],'Eventos de riesgos'!B:W,22,0)</f>
        <v>06/06/2022 14:19:46: El área de riesgos debe continuar fortaleciendo la cultura institucional basada en los procesos de riesgos.</v>
      </c>
    </row>
    <row r="42" spans="3:33" ht="59" customHeight="1" x14ac:dyDescent="0.55000000000000004">
      <c r="C42" s="43" t="str">
        <f>+Tabla15[[#This Row],[N° 
Evento]]&amp;"-"&amp;Tabla15[[#This Row],[N° Tarea]]</f>
        <v>20-1</v>
      </c>
      <c r="D42" s="43">
        <v>20</v>
      </c>
      <c r="E42" s="43">
        <v>1</v>
      </c>
      <c r="F42" s="44" t="s">
        <v>260</v>
      </c>
      <c r="G42" s="44" t="s">
        <v>1052</v>
      </c>
      <c r="H42" s="44" t="s">
        <v>261</v>
      </c>
      <c r="I42" s="45" t="s">
        <v>262</v>
      </c>
      <c r="J42" s="46">
        <v>44708</v>
      </c>
      <c r="K42" s="46">
        <v>44713</v>
      </c>
      <c r="L42" s="47" t="str">
        <f>IF(Tabla15[[#This Row],[Fecha de Finalización]]&gt;0,"Cerrada","En Proceso")</f>
        <v>Cerrada</v>
      </c>
      <c r="M42" s="43">
        <f t="shared" si="0"/>
        <v>5</v>
      </c>
      <c r="N42" s="44" t="s">
        <v>247</v>
      </c>
      <c r="O42" s="43">
        <f>VLOOKUP(Tabla15[[#This Row],[N° 
Evento]],'Eventos de riesgos'!B:C,2,0)</f>
        <v>2022</v>
      </c>
      <c r="P42" s="43" t="str">
        <f>VLOOKUP(Tabla15[[#This Row],[N° 
Evento]],'Eventos de riesgos'!B:D,3,0)</f>
        <v>Jun</v>
      </c>
      <c r="Q42" s="48">
        <f>VLOOKUP(Tabla15[[#This Row],[N° 
Evento]],'Eventos de riesgos'!B:E,4,0)</f>
        <v>44700.604861111111</v>
      </c>
      <c r="R42" s="48">
        <f>VLOOKUP(Tabla15[[#This Row],[N° 
Evento]],'Eventos de riesgos'!B:F,5,0)</f>
        <v>44708.605555555558</v>
      </c>
      <c r="S42" s="48">
        <f>VLOOKUP(Tabla15[[#This Row],[N° 
Evento]],'Eventos de riesgos'!B:G,6,0)</f>
        <v>44713.604861111111</v>
      </c>
      <c r="T42" s="62" t="str">
        <f>VLOOKUP(Tabla15[[#This Row],[N° 
Evento]],'Eventos de riesgos'!B:H,7,0)</f>
        <v xml:space="preserve">Caso
El día 19 de mayo el asociado Fredy Niño Rodríguez solicita un cheque por el monto de $ 283.000.000 el cual le fue entregado bajo el requerimiento de retiro de sus recursos, estos corresponden a fondos en sus ahorros voluntario y cancelación de CDAT;  el día 27 de mayo el asociado se acerca a las instalaciones de Febor en la Calle 42 y nos manifiesta que le informaron en el Fondo De Inversiones Colectivas Abierto Rentar que  el cheque había sido devuelto por la causal 2(fondos insuficientes), el asociado en ese momento no tiene el cheque físico  y el tercero le indica que puede re consignarlo solo hasta cuando sea reclamarlo igualmente le indican que este se lo estarán devolviendo hasta el día 31 de mayo en la tarde.
El asociado aun no sabe que desea hacer , si Re consignar el cheque , cambiarlo por un cheque de gerencia o si desea una transferencia directa a su cuenta, quedamos de hablar hasta el día 31 cuando el recogiera el cheque.
EL día 31 yo lo llame y el quedo de pasar a Febor en horas de la tarde cuando recogiera el cheque, en tarde el asociado trae el cheque y solicitar realizarle una transferencia a su cuenta de Davivienda por el monto de $ 284.132.000 la cual se le realiza el día 1 de junio de 2022 igualmente se le envía correo avisándole junto con el soporte de haberle realizado ya el giro.
Desde el día 27 de mayo cuando se supo de este inconveniente se reporto ante Banco Coopcentral ya que este cheque no aparece registrado en el movimiento de la cuenta y tampoco fue reportada su devolución; por parte de Coopcentral me confirman que después de haber revisado el tema pudieron detectar que se había presenta un error al momento de visar ese cheque y no lo revisaron con la cuenta de Febor si no con otro cliente del Banco, por tal motivo no fue pago ni reportado a Febor.
Acciones
Comunicarse con el asociado y brindarle otra alternativa de pago de su dinero mientras soluciona el reporte del cheque sin fondos. Transferencia a cuentas de ahorro. (Tesorería)
Tramitar la queja e inconformidad con el Banco Coopcentral (Tesorería)
</v>
      </c>
      <c r="U42" s="49">
        <f>VLOOKUP(Tabla15[[#This Row],[N° 
Evento]],'Eventos de riesgos'!B:I,8,0)</f>
        <v>0</v>
      </c>
      <c r="V42" s="49">
        <f>VLOOKUP(Tabla15[[#This Row],[N° 
Evento]],'Eventos de riesgos'!B:J,9,0)</f>
        <v>0</v>
      </c>
      <c r="W42" s="49">
        <f>VLOOKUP(Tabla15[[#This Row],[N° 
Evento]],'Eventos de riesgos'!B:K,10,0)</f>
        <v>0</v>
      </c>
      <c r="X42" s="44" t="str">
        <f>VLOOKUP(Tabla15[[#This Row],[N° 
Evento]],'Eventos de riesgos'!B:L,11,0)</f>
        <v>7 - Ejecución y Administración de Procesos</v>
      </c>
      <c r="Y42" s="44" t="str">
        <f>VLOOKUP(Tabla15[[#This Row],[N° 
Evento]],'Eventos de riesgos'!B:M,12,0)</f>
        <v>71 - Recepción, Ejecución y Mantenimiento de Operaciones</v>
      </c>
      <c r="Z42" s="44" t="str">
        <f>VLOOKUP(Tabla15[[#This Row],[N° 
Evento]],'Eventos de riesgos'!B:N,13,0)</f>
        <v>712 - Errores en Digitación de Datos, Mantenimiento o Descarga</v>
      </c>
      <c r="AA42" s="44" t="str">
        <f>+VLOOKUP(Tabla15[[#This Row],[N° 
Evento]],'Eventos de riesgos'!$B$1:$AA$87,23,0)</f>
        <v>Devolución de cheque por fondos insuficientes</v>
      </c>
      <c r="AB42" s="43" t="str">
        <f>VLOOKUP(Tabla15[[#This Row],[N° 
Evento]],'Eventos de riesgos'!B:O,14,0)</f>
        <v>Ninguna</v>
      </c>
      <c r="AC42" s="48">
        <f>VLOOKUP(Tabla15[[#This Row],[N° 
Evento]],'Eventos de riesgos'!B:P,15,0)</f>
        <v>44742</v>
      </c>
      <c r="AD42" s="43" t="str">
        <f>VLOOKUP(Tabla15[[#This Row],[N° 
Evento]],'Eventos de riesgos'!B:Q,16,0)</f>
        <v>Ahorros voluntarios</v>
      </c>
      <c r="AE42" s="43" t="str">
        <f>VLOOKUP(Tabla15[[#This Row],[N° 
Evento]],'Eventos de riesgos'!B:R,17,0)</f>
        <v>Atención en oficina</v>
      </c>
      <c r="AF42" s="45" t="str">
        <f>VLOOKUP(Tabla15[[#This Row],[N° 
Evento]],'Eventos de riesgos'!B:V,21,0)</f>
        <v>Aprobado</v>
      </c>
      <c r="AG42" s="44" t="str">
        <f>VLOOKUP(Tabla15[[#This Row],[N° 
Evento]],'Eventos de riesgos'!B:W,22,0)</f>
        <v>06/06/2022 09:55:34: Reporte Evento SARO link
06/06/2022 15:16:35: Es importante tener en cuenta el cupo de sobregiro en dado que se agote el fondo en la cuenta, que la retroalimentación entre el banco y Febor sea activa de tal manera que no se afecte el servicio de los asociados.</v>
      </c>
    </row>
    <row r="43" spans="3:33" ht="59" customHeight="1" x14ac:dyDescent="0.55000000000000004">
      <c r="C43" s="43" t="str">
        <f>+Tabla15[[#This Row],[N° 
Evento]]&amp;"-"&amp;Tabla15[[#This Row],[N° Tarea]]</f>
        <v>20-2</v>
      </c>
      <c r="D43" s="43">
        <v>20</v>
      </c>
      <c r="E43" s="43">
        <v>2</v>
      </c>
      <c r="F43" s="44" t="s">
        <v>263</v>
      </c>
      <c r="G43" s="44" t="s">
        <v>1052</v>
      </c>
      <c r="H43" s="44" t="s">
        <v>261</v>
      </c>
      <c r="I43" s="45" t="s">
        <v>262</v>
      </c>
      <c r="J43" s="46">
        <v>44708</v>
      </c>
      <c r="K43" s="46">
        <v>44713</v>
      </c>
      <c r="L43" s="47" t="str">
        <f>IF(Tabla15[[#This Row],[Fecha de Finalización]]&gt;0,"Cerrada","En Proceso")</f>
        <v>Cerrada</v>
      </c>
      <c r="M43" s="43">
        <f t="shared" si="0"/>
        <v>5</v>
      </c>
      <c r="N43" s="44" t="s">
        <v>247</v>
      </c>
      <c r="O43" s="43">
        <f>VLOOKUP(Tabla15[[#This Row],[N° 
Evento]],'Eventos de riesgos'!B:C,2,0)</f>
        <v>2022</v>
      </c>
      <c r="P43" s="43" t="str">
        <f>VLOOKUP(Tabla15[[#This Row],[N° 
Evento]],'Eventos de riesgos'!B:D,3,0)</f>
        <v>Jun</v>
      </c>
      <c r="Q43" s="48">
        <f>VLOOKUP(Tabla15[[#This Row],[N° 
Evento]],'Eventos de riesgos'!B:E,4,0)</f>
        <v>44700.604861111111</v>
      </c>
      <c r="R43" s="48">
        <f>VLOOKUP(Tabla15[[#This Row],[N° 
Evento]],'Eventos de riesgos'!B:F,5,0)</f>
        <v>44708.605555555558</v>
      </c>
      <c r="S43" s="48">
        <f>VLOOKUP(Tabla15[[#This Row],[N° 
Evento]],'Eventos de riesgos'!B:G,6,0)</f>
        <v>44713.604861111111</v>
      </c>
      <c r="T43" s="62" t="str">
        <f>VLOOKUP(Tabla15[[#This Row],[N° 
Evento]],'Eventos de riesgos'!B:H,7,0)</f>
        <v xml:space="preserve">Caso
El día 19 de mayo el asociado Fredy Niño Rodríguez solicita un cheque por el monto de $ 283.000.000 el cual le fue entregado bajo el requerimiento de retiro de sus recursos, estos corresponden a fondos en sus ahorros voluntario y cancelación de CDAT;  el día 27 de mayo el asociado se acerca a las instalaciones de Febor en la Calle 42 y nos manifiesta que le informaron en el Fondo De Inversiones Colectivas Abierto Rentar que  el cheque había sido devuelto por la causal 2(fondos insuficientes), el asociado en ese momento no tiene el cheque físico  y el tercero le indica que puede re consignarlo solo hasta cuando sea reclamarlo igualmente le indican que este se lo estarán devolviendo hasta el día 31 de mayo en la tarde.
El asociado aun no sabe que desea hacer , si Re consignar el cheque , cambiarlo por un cheque de gerencia o si desea una transferencia directa a su cuenta, quedamos de hablar hasta el día 31 cuando el recogiera el cheque.
EL día 31 yo lo llame y el quedo de pasar a Febor en horas de la tarde cuando recogiera el cheque, en tarde el asociado trae el cheque y solicitar realizarle una transferencia a su cuenta de Davivienda por el monto de $ 284.132.000 la cual se le realiza el día 1 de junio de 2022 igualmente se le envía correo avisándole junto con el soporte de haberle realizado ya el giro.
Desde el día 27 de mayo cuando se supo de este inconveniente se reporto ante Banco Coopcentral ya que este cheque no aparece registrado en el movimiento de la cuenta y tampoco fue reportada su devolución; por parte de Coopcentral me confirman que después de haber revisado el tema pudieron detectar que se había presenta un error al momento de visar ese cheque y no lo revisaron con la cuenta de Febor si no con otro cliente del Banco, por tal motivo no fue pago ni reportado a Febor.
Acciones
Comunicarse con el asociado y brindarle otra alternativa de pago de su dinero mientras soluciona el reporte del cheque sin fondos. Transferencia a cuentas de ahorro. (Tesorería)
Tramitar la queja e inconformidad con el Banco Coopcentral (Tesorería)
</v>
      </c>
      <c r="U43" s="49">
        <f>VLOOKUP(Tabla15[[#This Row],[N° 
Evento]],'Eventos de riesgos'!B:I,8,0)</f>
        <v>0</v>
      </c>
      <c r="V43" s="49">
        <f>VLOOKUP(Tabla15[[#This Row],[N° 
Evento]],'Eventos de riesgos'!B:J,9,0)</f>
        <v>0</v>
      </c>
      <c r="W43" s="49">
        <f>VLOOKUP(Tabla15[[#This Row],[N° 
Evento]],'Eventos de riesgos'!B:K,10,0)</f>
        <v>0</v>
      </c>
      <c r="X43" s="44" t="str">
        <f>VLOOKUP(Tabla15[[#This Row],[N° 
Evento]],'Eventos de riesgos'!B:L,11,0)</f>
        <v>7 - Ejecución y Administración de Procesos</v>
      </c>
      <c r="Y43" s="44" t="str">
        <f>VLOOKUP(Tabla15[[#This Row],[N° 
Evento]],'Eventos de riesgos'!B:M,12,0)</f>
        <v>71 - Recepción, Ejecución y Mantenimiento de Operaciones</v>
      </c>
      <c r="Z43" s="44" t="str">
        <f>VLOOKUP(Tabla15[[#This Row],[N° 
Evento]],'Eventos de riesgos'!B:N,13,0)</f>
        <v>712 - Errores en Digitación de Datos, Mantenimiento o Descarga</v>
      </c>
      <c r="AA43" s="44" t="str">
        <f>+VLOOKUP(Tabla15[[#This Row],[N° 
Evento]],'Eventos de riesgos'!$B$1:$AA$87,23,0)</f>
        <v>Devolución de cheque por fondos insuficientes</v>
      </c>
      <c r="AB43" s="43" t="str">
        <f>VLOOKUP(Tabla15[[#This Row],[N° 
Evento]],'Eventos de riesgos'!B:O,14,0)</f>
        <v>Ninguna</v>
      </c>
      <c r="AC43" s="48">
        <f>VLOOKUP(Tabla15[[#This Row],[N° 
Evento]],'Eventos de riesgos'!B:P,15,0)</f>
        <v>44742</v>
      </c>
      <c r="AD43" s="43" t="str">
        <f>VLOOKUP(Tabla15[[#This Row],[N° 
Evento]],'Eventos de riesgos'!B:Q,16,0)</f>
        <v>Ahorros voluntarios</v>
      </c>
      <c r="AE43" s="43" t="str">
        <f>VLOOKUP(Tabla15[[#This Row],[N° 
Evento]],'Eventos de riesgos'!B:R,17,0)</f>
        <v>Atención en oficina</v>
      </c>
      <c r="AF43" s="45" t="str">
        <f>VLOOKUP(Tabla15[[#This Row],[N° 
Evento]],'Eventos de riesgos'!B:V,21,0)</f>
        <v>Aprobado</v>
      </c>
      <c r="AG43" s="44" t="str">
        <f>VLOOKUP(Tabla15[[#This Row],[N° 
Evento]],'Eventos de riesgos'!B:W,22,0)</f>
        <v>06/06/2022 09:55:34: Reporte Evento SARO link
06/06/2022 15:16:35: Es importante tener en cuenta el cupo de sobregiro en dado que se agote el fondo en la cuenta, que la retroalimentación entre el banco y Febor sea activa de tal manera que no se afecte el servicio de los asociados.</v>
      </c>
    </row>
    <row r="44" spans="3:33" ht="59" customHeight="1" x14ac:dyDescent="0.55000000000000004">
      <c r="C44" s="43" t="str">
        <f>+Tabla15[[#This Row],[N° 
Evento]]&amp;"-"&amp;Tabla15[[#This Row],[N° Tarea]]</f>
        <v>21-1</v>
      </c>
      <c r="D44" s="43">
        <v>21</v>
      </c>
      <c r="E44" s="43">
        <v>1</v>
      </c>
      <c r="F44" s="44" t="s">
        <v>264</v>
      </c>
      <c r="G44" s="44" t="s">
        <v>1052</v>
      </c>
      <c r="H44" s="44" t="s">
        <v>215</v>
      </c>
      <c r="I44" s="45" t="s">
        <v>91</v>
      </c>
      <c r="J44" s="46">
        <v>44743</v>
      </c>
      <c r="K44" s="46">
        <v>44749</v>
      </c>
      <c r="L44" s="47" t="str">
        <f>IF(Tabla15[[#This Row],[Fecha de Finalización]]&gt;0,"Cerrada","En Proceso")</f>
        <v>Cerrada</v>
      </c>
      <c r="M44" s="43">
        <f t="shared" si="0"/>
        <v>6</v>
      </c>
      <c r="N44" s="44" t="s">
        <v>247</v>
      </c>
      <c r="O44" s="43">
        <f>VLOOKUP(Tabla15[[#This Row],[N° 
Evento]],'Eventos de riesgos'!B:C,2,0)</f>
        <v>2022</v>
      </c>
      <c r="P44" s="43" t="str">
        <f>VLOOKUP(Tabla15[[#This Row],[N° 
Evento]],'Eventos de riesgos'!B:D,3,0)</f>
        <v>Jul</v>
      </c>
      <c r="Q44" s="48">
        <f>VLOOKUP(Tabla15[[#This Row],[N° 
Evento]],'Eventos de riesgos'!B:E,4,0)</f>
        <v>44743.009722222225</v>
      </c>
      <c r="R44" s="48">
        <f>VLOOKUP(Tabla15[[#This Row],[N° 
Evento]],'Eventos de riesgos'!B:F,5,0)</f>
        <v>44743.009722222225</v>
      </c>
      <c r="S44" s="48">
        <f>VLOOKUP(Tabla15[[#This Row],[N° 
Evento]],'Eventos de riesgos'!B:G,6,0)</f>
        <v>44749.009722222225</v>
      </c>
      <c r="T44" s="62" t="str">
        <f>VLOOKUP(Tabla15[[#This Row],[N° 
Evento]],'Eventos de riesgos'!B:H,7,0)</f>
        <v>Caso
A cierre del mes de junio 2022 se evidenció afectación en el IRL (segunda banda) luego de ejecutar el cierre de productos debido a un incremento de aproximadamente $3,000 millones en la partida de créditos aprobados no desembolsado. La falla fue observada sobre las tarjetas de crédito ya que el saldo reflejado era negativo en aproximadamente $4,000 millones por imprecisiones e inconvenientes con Ascard. El área de operaciones y el área financiera realizaron las correcciones al saldo quedando positivo en más de $3,000 millones y pese a las depuraciones propias sobre otras cuentas de créditos aprobados no desembolsados por su tiempo de inutilidad, el saldo total de esta partida (cuenta 9115) se vio afectado de manera importante dejando como consecuencia una cobertura por debajo de 1 en la segunda banda del IRL.
Este tipo novedades obligan a la Cooperativa en crear acciones y alternativas que permitan subsanar el incumplimiento de límites, lo cual es informado a la Gerencia por parte de la Dirección de Riesgos y permanece en constante seguimiento.
Acciones
Revisión de la conciliación de cupos de las tarjetas
Revisar los escenarios de estrés del IRL para verificar si se presenta o no incumplimiento, evaluar los ALN e inversiones que dan cobertura al aumento del saldo de cupos de TC</v>
      </c>
      <c r="U44" s="49">
        <f>VLOOKUP(Tabla15[[#This Row],[N° 
Evento]],'Eventos de riesgos'!B:I,8,0)</f>
        <v>0</v>
      </c>
      <c r="V44" s="49">
        <f>VLOOKUP(Tabla15[[#This Row],[N° 
Evento]],'Eventos de riesgos'!B:J,9,0)</f>
        <v>0</v>
      </c>
      <c r="W44" s="49">
        <f>VLOOKUP(Tabla15[[#This Row],[N° 
Evento]],'Eventos de riesgos'!B:K,10,0)</f>
        <v>0</v>
      </c>
      <c r="X44" s="44" t="str">
        <f>VLOOKUP(Tabla15[[#This Row],[N° 
Evento]],'Eventos de riesgos'!B:L,11,0)</f>
        <v>7 - Ejecución y Administración de Procesos</v>
      </c>
      <c r="Y44" s="44" t="str">
        <f>VLOOKUP(Tabla15[[#This Row],[N° 
Evento]],'Eventos de riesgos'!B:M,12,0)</f>
        <v>71 - Recepción, Ejecución y Mantenimiento de Operaciones</v>
      </c>
      <c r="Z44" s="44" t="str">
        <f>VLOOKUP(Tabla15[[#This Row],[N° 
Evento]],'Eventos de riesgos'!B:N,13,0)</f>
        <v>714 - Ejecución Errónea de Modelos o de Sistemas</v>
      </c>
      <c r="AA44" s="44" t="str">
        <f>+VLOOKUP(Tabla15[[#This Row],[N° 
Evento]],'Eventos de riesgos'!$B$1:$AA$87,23,0)</f>
        <v>Afectación IRL por interpretacion cuentas contables</v>
      </c>
      <c r="AB44" s="43" t="str">
        <f>VLOOKUP(Tabla15[[#This Row],[N° 
Evento]],'Eventos de riesgos'!B:O,14,0)</f>
        <v>Ninguna</v>
      </c>
      <c r="AC44" s="48">
        <f>VLOOKUP(Tabla15[[#This Row],[N° 
Evento]],'Eventos de riesgos'!B:P,15,0)</f>
        <v>44773</v>
      </c>
      <c r="AD44" s="43" t="str">
        <f>VLOOKUP(Tabla15[[#This Row],[N° 
Evento]],'Eventos de riesgos'!B:Q,16,0)</f>
        <v>Tarjeta crédito</v>
      </c>
      <c r="AE44" s="43" t="str">
        <f>VLOOKUP(Tabla15[[#This Row],[N° 
Evento]],'Eventos de riesgos'!B:R,17,0)</f>
        <v>Ninguno</v>
      </c>
      <c r="AF44" s="45" t="str">
        <f>VLOOKUP(Tabla15[[#This Row],[N° 
Evento]],'Eventos de riesgos'!B:V,21,0)</f>
        <v>Aprobado</v>
      </c>
      <c r="AG44" s="44" t="str">
        <f>VLOOKUP(Tabla15[[#This Row],[N° 
Evento]],'Eventos de riesgos'!B:W,22,0)</f>
        <v>23/07/2022 00:31:49: Caso evaluado con la jefatura de operaciones y la coordinación de contabilidad</v>
      </c>
    </row>
    <row r="45" spans="3:33" ht="59" customHeight="1" x14ac:dyDescent="0.55000000000000004">
      <c r="C45" s="43" t="str">
        <f>+Tabla15[[#This Row],[N° 
Evento]]&amp;"-"&amp;Tabla15[[#This Row],[N° Tarea]]</f>
        <v>21-2</v>
      </c>
      <c r="D45" s="43">
        <v>21</v>
      </c>
      <c r="E45" s="43">
        <v>2</v>
      </c>
      <c r="F45" s="44" t="s">
        <v>265</v>
      </c>
      <c r="G45" s="44" t="s">
        <v>1053</v>
      </c>
      <c r="H45" s="44" t="s">
        <v>765</v>
      </c>
      <c r="I45" s="45" t="s">
        <v>259</v>
      </c>
      <c r="J45" s="46">
        <v>44743</v>
      </c>
      <c r="K45" s="46">
        <v>44749</v>
      </c>
      <c r="L45" s="47" t="str">
        <f>IF(Tabla15[[#This Row],[Fecha de Finalización]]&gt;0,"Cerrada","En Proceso")</f>
        <v>Cerrada</v>
      </c>
      <c r="M45" s="43">
        <f t="shared" si="0"/>
        <v>6</v>
      </c>
      <c r="N45" s="44" t="s">
        <v>266</v>
      </c>
      <c r="O45" s="43">
        <f>VLOOKUP(Tabla15[[#This Row],[N° 
Evento]],'Eventos de riesgos'!B:C,2,0)</f>
        <v>2022</v>
      </c>
      <c r="P45" s="43" t="str">
        <f>VLOOKUP(Tabla15[[#This Row],[N° 
Evento]],'Eventos de riesgos'!B:D,3,0)</f>
        <v>Jul</v>
      </c>
      <c r="Q45" s="48">
        <f>VLOOKUP(Tabla15[[#This Row],[N° 
Evento]],'Eventos de riesgos'!B:E,4,0)</f>
        <v>44743.009722222225</v>
      </c>
      <c r="R45" s="48">
        <f>VLOOKUP(Tabla15[[#This Row],[N° 
Evento]],'Eventos de riesgos'!B:F,5,0)</f>
        <v>44743.009722222225</v>
      </c>
      <c r="S45" s="48">
        <f>VLOOKUP(Tabla15[[#This Row],[N° 
Evento]],'Eventos de riesgos'!B:G,6,0)</f>
        <v>44749.009722222225</v>
      </c>
      <c r="T45" s="62" t="str">
        <f>VLOOKUP(Tabla15[[#This Row],[N° 
Evento]],'Eventos de riesgos'!B:H,7,0)</f>
        <v>Caso
A cierre del mes de junio 2022 se evidenció afectación en el IRL (segunda banda) luego de ejecutar el cierre de productos debido a un incremento de aproximadamente $3,000 millones en la partida de créditos aprobados no desembolsado. La falla fue observada sobre las tarjetas de crédito ya que el saldo reflejado era negativo en aproximadamente $4,000 millones por imprecisiones e inconvenientes con Ascard. El área de operaciones y el área financiera realizaron las correcciones al saldo quedando positivo en más de $3,000 millones y pese a las depuraciones propias sobre otras cuentas de créditos aprobados no desembolsados por su tiempo de inutilidad, el saldo total de esta partida (cuenta 9115) se vio afectado de manera importante dejando como consecuencia una cobertura por debajo de 1 en la segunda banda del IRL.
Este tipo novedades obligan a la Cooperativa en crear acciones y alternativas que permitan subsanar el incumplimiento de límites, lo cual es informado a la Gerencia por parte de la Dirección de Riesgos y permanece en constante seguimiento.
Acciones
Revisión de la conciliación de cupos de las tarjetas
Revisar los escenarios de estrés del IRL para verificar si se presenta o no incumplimiento, evaluar los ALN e inversiones que dan cobertura al aumento del saldo de cupos de TC</v>
      </c>
      <c r="U45" s="49">
        <f>VLOOKUP(Tabla15[[#This Row],[N° 
Evento]],'Eventos de riesgos'!B:I,8,0)</f>
        <v>0</v>
      </c>
      <c r="V45" s="49">
        <f>VLOOKUP(Tabla15[[#This Row],[N° 
Evento]],'Eventos de riesgos'!B:J,9,0)</f>
        <v>0</v>
      </c>
      <c r="W45" s="49">
        <f>VLOOKUP(Tabla15[[#This Row],[N° 
Evento]],'Eventos de riesgos'!B:K,10,0)</f>
        <v>0</v>
      </c>
      <c r="X45" s="44" t="str">
        <f>VLOOKUP(Tabla15[[#This Row],[N° 
Evento]],'Eventos de riesgos'!B:L,11,0)</f>
        <v>7 - Ejecución y Administración de Procesos</v>
      </c>
      <c r="Y45" s="44" t="str">
        <f>VLOOKUP(Tabla15[[#This Row],[N° 
Evento]],'Eventos de riesgos'!B:M,12,0)</f>
        <v>71 - Recepción, Ejecución y Mantenimiento de Operaciones</v>
      </c>
      <c r="Z45" s="44" t="str">
        <f>VLOOKUP(Tabla15[[#This Row],[N° 
Evento]],'Eventos de riesgos'!B:N,13,0)</f>
        <v>714 - Ejecución Errónea de Modelos o de Sistemas</v>
      </c>
      <c r="AA45" s="44" t="str">
        <f>+VLOOKUP(Tabla15[[#This Row],[N° 
Evento]],'Eventos de riesgos'!$B$1:$AA$87,23,0)</f>
        <v>Afectación IRL por interpretacion cuentas contables</v>
      </c>
      <c r="AB45" s="43" t="str">
        <f>VLOOKUP(Tabla15[[#This Row],[N° 
Evento]],'Eventos de riesgos'!B:O,14,0)</f>
        <v>Ninguna</v>
      </c>
      <c r="AC45" s="48">
        <f>VLOOKUP(Tabla15[[#This Row],[N° 
Evento]],'Eventos de riesgos'!B:P,15,0)</f>
        <v>44773</v>
      </c>
      <c r="AD45" s="43" t="str">
        <f>VLOOKUP(Tabla15[[#This Row],[N° 
Evento]],'Eventos de riesgos'!B:Q,16,0)</f>
        <v>Tarjeta crédito</v>
      </c>
      <c r="AE45" s="43" t="str">
        <f>VLOOKUP(Tabla15[[#This Row],[N° 
Evento]],'Eventos de riesgos'!B:R,17,0)</f>
        <v>Ninguno</v>
      </c>
      <c r="AF45" s="45" t="str">
        <f>VLOOKUP(Tabla15[[#This Row],[N° 
Evento]],'Eventos de riesgos'!B:V,21,0)</f>
        <v>Aprobado</v>
      </c>
      <c r="AG45" s="44" t="str">
        <f>VLOOKUP(Tabla15[[#This Row],[N° 
Evento]],'Eventos de riesgos'!B:W,22,0)</f>
        <v>23/07/2022 00:31:49: Caso evaluado con la jefatura de operaciones y la coordinación de contabilidad</v>
      </c>
    </row>
    <row r="46" spans="3:33" ht="59" customHeight="1" x14ac:dyDescent="0.55000000000000004">
      <c r="C46" s="43" t="str">
        <f>+Tabla15[[#This Row],[N° 
Evento]]&amp;"-"&amp;Tabla15[[#This Row],[N° Tarea]]</f>
        <v>22-1</v>
      </c>
      <c r="D46" s="43">
        <v>22</v>
      </c>
      <c r="E46" s="43">
        <v>1</v>
      </c>
      <c r="F46" s="44" t="s">
        <v>267</v>
      </c>
      <c r="G46" s="44" t="s">
        <v>1053</v>
      </c>
      <c r="H46" s="44" t="s">
        <v>215</v>
      </c>
      <c r="I46" s="45" t="s">
        <v>91</v>
      </c>
      <c r="J46" s="46">
        <v>44779</v>
      </c>
      <c r="K46" s="46">
        <v>44782</v>
      </c>
      <c r="L46" s="47" t="str">
        <f>IF(Tabla15[[#This Row],[Fecha de Finalización]]&gt;0,"Cerrada","En Proceso")</f>
        <v>Cerrada</v>
      </c>
      <c r="M46" s="43">
        <f t="shared" si="0"/>
        <v>3</v>
      </c>
      <c r="N46" s="44" t="s">
        <v>247</v>
      </c>
      <c r="O46" s="43">
        <f>VLOOKUP(Tabla15[[#This Row],[N° 
Evento]],'Eventos de riesgos'!B:C,2,0)</f>
        <v>2022</v>
      </c>
      <c r="P46" s="43" t="str">
        <f>VLOOKUP(Tabla15[[#This Row],[N° 
Evento]],'Eventos de riesgos'!B:D,3,0)</f>
        <v>Ago</v>
      </c>
      <c r="Q46" s="48">
        <f>VLOOKUP(Tabla15[[#This Row],[N° 
Evento]],'Eventos de riesgos'!B:E,4,0)</f>
        <v>44779.34652777778</v>
      </c>
      <c r="R46" s="48">
        <f>VLOOKUP(Tabla15[[#This Row],[N° 
Evento]],'Eventos de riesgos'!B:F,5,0)</f>
        <v>44782.34652777778</v>
      </c>
      <c r="S46" s="48">
        <f>VLOOKUP(Tabla15[[#This Row],[N° 
Evento]],'Eventos de riesgos'!B:G,6,0)</f>
        <v>44781.34652777778</v>
      </c>
      <c r="T46" s="62" t="str">
        <f>VLOOKUP(Tabla15[[#This Row],[N° 
Evento]],'Eventos de riesgos'!B:H,7,0)</f>
        <v>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v>
      </c>
      <c r="U46" s="49">
        <f>VLOOKUP(Tabla15[[#This Row],[N° 
Evento]],'Eventos de riesgos'!B:I,8,0)</f>
        <v>0</v>
      </c>
      <c r="V46" s="49">
        <f>VLOOKUP(Tabla15[[#This Row],[N° 
Evento]],'Eventos de riesgos'!B:J,9,0)</f>
        <v>0</v>
      </c>
      <c r="W46" s="49">
        <f>VLOOKUP(Tabla15[[#This Row],[N° 
Evento]],'Eventos de riesgos'!B:K,10,0)</f>
        <v>0</v>
      </c>
      <c r="X46" s="44" t="str">
        <f>VLOOKUP(Tabla15[[#This Row],[N° 
Evento]],'Eventos de riesgos'!B:L,11,0)</f>
        <v>6 - Fallas Tecnologicas</v>
      </c>
      <c r="Y46" s="44" t="str">
        <f>VLOOKUP(Tabla15[[#This Row],[N° 
Evento]],'Eventos de riesgos'!B:M,12,0)</f>
        <v>61 - Sistemas</v>
      </c>
      <c r="Z46" s="44" t="str">
        <f>VLOOKUP(Tabla15[[#This Row],[N° 
Evento]],'Eventos de riesgos'!B:N,13,0)</f>
        <v>611 - Pérdida por Problemas en Software</v>
      </c>
      <c r="AA46" s="44" t="str">
        <f>+VLOOKUP(Tabla15[[#This Row],[N° 
Evento]],'Eventos de riesgos'!$B$1:$AA$87,23,0)</f>
        <v>Fallas operadora de telefonía</v>
      </c>
      <c r="AB46" s="43" t="str">
        <f>VLOOKUP(Tabla15[[#This Row],[N° 
Evento]],'Eventos de riesgos'!B:O,14,0)</f>
        <v>Ninguna</v>
      </c>
      <c r="AC46" s="48">
        <f>VLOOKUP(Tabla15[[#This Row],[N° 
Evento]],'Eventos de riesgos'!B:P,15,0)</f>
        <v>44804</v>
      </c>
      <c r="AD46" s="43" t="str">
        <f>VLOOKUP(Tabla15[[#This Row],[N° 
Evento]],'Eventos de riesgos'!B:Q,16,0)</f>
        <v>Convenio de servicio de telefonía</v>
      </c>
      <c r="AE46" s="43" t="str">
        <f>VLOOKUP(Tabla15[[#This Row],[N° 
Evento]],'Eventos de riesgos'!B:R,17,0)</f>
        <v>Comunicación por PBX</v>
      </c>
      <c r="AF46" s="45" t="str">
        <f>VLOOKUP(Tabla15[[#This Row],[N° 
Evento]],'Eventos de riesgos'!B:V,21,0)</f>
        <v>Aprobado</v>
      </c>
      <c r="AG46" s="44" t="str">
        <f>VLOOKUP(Tabla15[[#This Row],[N° 
Evento]],'Eventos de riesgos'!B:W,22,0)</f>
        <v>10/08/2022 08:22:25: Pérdida de imagen y reputación por mala prestación se servicios no financieros en convenio con terceros</v>
      </c>
    </row>
    <row r="47" spans="3:33" ht="59" customHeight="1" x14ac:dyDescent="0.55000000000000004">
      <c r="C47" s="43" t="str">
        <f>+Tabla15[[#This Row],[N° 
Evento]]&amp;"-"&amp;Tabla15[[#This Row],[N° Tarea]]</f>
        <v>22-2</v>
      </c>
      <c r="D47" s="43">
        <v>22</v>
      </c>
      <c r="E47" s="43">
        <v>2</v>
      </c>
      <c r="F47" s="44" t="s">
        <v>268</v>
      </c>
      <c r="G47" s="44" t="s">
        <v>1052</v>
      </c>
      <c r="H47" s="44" t="s">
        <v>224</v>
      </c>
      <c r="I47" s="45" t="s">
        <v>269</v>
      </c>
      <c r="J47" s="46">
        <v>44779</v>
      </c>
      <c r="K47" s="46">
        <v>44782</v>
      </c>
      <c r="L47" s="47" t="str">
        <f>IF(Tabla15[[#This Row],[Fecha de Finalización]]&gt;0,"Cerrada","En Proceso")</f>
        <v>Cerrada</v>
      </c>
      <c r="M47" s="43">
        <f t="shared" si="0"/>
        <v>3</v>
      </c>
      <c r="N47" s="44" t="s">
        <v>247</v>
      </c>
      <c r="O47" s="43">
        <f>VLOOKUP(Tabla15[[#This Row],[N° 
Evento]],'Eventos de riesgos'!B:C,2,0)</f>
        <v>2022</v>
      </c>
      <c r="P47" s="43" t="str">
        <f>VLOOKUP(Tabla15[[#This Row],[N° 
Evento]],'Eventos de riesgos'!B:D,3,0)</f>
        <v>Ago</v>
      </c>
      <c r="Q47" s="48">
        <f>VLOOKUP(Tabla15[[#This Row],[N° 
Evento]],'Eventos de riesgos'!B:E,4,0)</f>
        <v>44779.34652777778</v>
      </c>
      <c r="R47" s="48">
        <f>VLOOKUP(Tabla15[[#This Row],[N° 
Evento]],'Eventos de riesgos'!B:F,5,0)</f>
        <v>44782.34652777778</v>
      </c>
      <c r="S47" s="48">
        <f>VLOOKUP(Tabla15[[#This Row],[N° 
Evento]],'Eventos de riesgos'!B:G,6,0)</f>
        <v>44781.34652777778</v>
      </c>
      <c r="T47" s="62" t="str">
        <f>VLOOKUP(Tabla15[[#This Row],[N° 
Evento]],'Eventos de riesgos'!B:H,7,0)</f>
        <v>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v>
      </c>
      <c r="U47" s="49">
        <f>VLOOKUP(Tabla15[[#This Row],[N° 
Evento]],'Eventos de riesgos'!B:I,8,0)</f>
        <v>0</v>
      </c>
      <c r="V47" s="49">
        <f>VLOOKUP(Tabla15[[#This Row],[N° 
Evento]],'Eventos de riesgos'!B:J,9,0)</f>
        <v>0</v>
      </c>
      <c r="W47" s="49">
        <f>VLOOKUP(Tabla15[[#This Row],[N° 
Evento]],'Eventos de riesgos'!B:K,10,0)</f>
        <v>0</v>
      </c>
      <c r="X47" s="44" t="str">
        <f>VLOOKUP(Tabla15[[#This Row],[N° 
Evento]],'Eventos de riesgos'!B:L,11,0)</f>
        <v>6 - Fallas Tecnologicas</v>
      </c>
      <c r="Y47" s="44" t="str">
        <f>VLOOKUP(Tabla15[[#This Row],[N° 
Evento]],'Eventos de riesgos'!B:M,12,0)</f>
        <v>61 - Sistemas</v>
      </c>
      <c r="Z47" s="44" t="str">
        <f>VLOOKUP(Tabla15[[#This Row],[N° 
Evento]],'Eventos de riesgos'!B:N,13,0)</f>
        <v>611 - Pérdida por Problemas en Software</v>
      </c>
      <c r="AA47" s="44" t="str">
        <f>+VLOOKUP(Tabla15[[#This Row],[N° 
Evento]],'Eventos de riesgos'!$B$1:$AA$87,23,0)</f>
        <v>Fallas operadora de telefonía</v>
      </c>
      <c r="AB47" s="43" t="str">
        <f>VLOOKUP(Tabla15[[#This Row],[N° 
Evento]],'Eventos de riesgos'!B:O,14,0)</f>
        <v>Ninguna</v>
      </c>
      <c r="AC47" s="48">
        <f>VLOOKUP(Tabla15[[#This Row],[N° 
Evento]],'Eventos de riesgos'!B:P,15,0)</f>
        <v>44804</v>
      </c>
      <c r="AD47" s="43" t="str">
        <f>VLOOKUP(Tabla15[[#This Row],[N° 
Evento]],'Eventos de riesgos'!B:Q,16,0)</f>
        <v>Convenio de servicio de telefonía</v>
      </c>
      <c r="AE47" s="43" t="str">
        <f>VLOOKUP(Tabla15[[#This Row],[N° 
Evento]],'Eventos de riesgos'!B:R,17,0)</f>
        <v>Comunicación por PBX</v>
      </c>
      <c r="AF47" s="45" t="str">
        <f>VLOOKUP(Tabla15[[#This Row],[N° 
Evento]],'Eventos de riesgos'!B:V,21,0)</f>
        <v>Aprobado</v>
      </c>
      <c r="AG47" s="44" t="str">
        <f>VLOOKUP(Tabla15[[#This Row],[N° 
Evento]],'Eventos de riesgos'!B:W,22,0)</f>
        <v>10/08/2022 08:22:25: Pérdida de imagen y reputación por mala prestación se servicios no financieros en convenio con terceros</v>
      </c>
    </row>
    <row r="48" spans="3:33" ht="59" customHeight="1" x14ac:dyDescent="0.55000000000000004">
      <c r="C48" s="43" t="str">
        <f>+Tabla15[[#This Row],[N° 
Evento]]&amp;"-"&amp;Tabla15[[#This Row],[N° Tarea]]</f>
        <v>22-3</v>
      </c>
      <c r="D48" s="43">
        <v>22</v>
      </c>
      <c r="E48" s="43">
        <v>3</v>
      </c>
      <c r="F48" s="44" t="s">
        <v>270</v>
      </c>
      <c r="G48" s="44" t="s">
        <v>1052</v>
      </c>
      <c r="H48" s="44" t="s">
        <v>760</v>
      </c>
      <c r="I48" s="45" t="s">
        <v>95</v>
      </c>
      <c r="J48" s="46">
        <v>44779</v>
      </c>
      <c r="K48" s="46">
        <v>44782</v>
      </c>
      <c r="L48" s="47" t="str">
        <f>IF(Tabla15[[#This Row],[Fecha de Finalización]]&gt;0,"Cerrada","En Proceso")</f>
        <v>Cerrada</v>
      </c>
      <c r="M48" s="43">
        <f t="shared" si="0"/>
        <v>3</v>
      </c>
      <c r="N48" s="44" t="s">
        <v>247</v>
      </c>
      <c r="O48" s="43">
        <f>VLOOKUP(Tabla15[[#This Row],[N° 
Evento]],'Eventos de riesgos'!B:C,2,0)</f>
        <v>2022</v>
      </c>
      <c r="P48" s="43" t="str">
        <f>VLOOKUP(Tabla15[[#This Row],[N° 
Evento]],'Eventos de riesgos'!B:D,3,0)</f>
        <v>Ago</v>
      </c>
      <c r="Q48" s="48">
        <f>VLOOKUP(Tabla15[[#This Row],[N° 
Evento]],'Eventos de riesgos'!B:E,4,0)</f>
        <v>44779.34652777778</v>
      </c>
      <c r="R48" s="48">
        <f>VLOOKUP(Tabla15[[#This Row],[N° 
Evento]],'Eventos de riesgos'!B:F,5,0)</f>
        <v>44782.34652777778</v>
      </c>
      <c r="S48" s="48">
        <f>VLOOKUP(Tabla15[[#This Row],[N° 
Evento]],'Eventos de riesgos'!B:G,6,0)</f>
        <v>44781.34652777778</v>
      </c>
      <c r="T48" s="62" t="str">
        <f>VLOOKUP(Tabla15[[#This Row],[N° 
Evento]],'Eventos de riesgos'!B:H,7,0)</f>
        <v>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v>
      </c>
      <c r="U48" s="49">
        <f>VLOOKUP(Tabla15[[#This Row],[N° 
Evento]],'Eventos de riesgos'!B:I,8,0)</f>
        <v>0</v>
      </c>
      <c r="V48" s="49">
        <f>VLOOKUP(Tabla15[[#This Row],[N° 
Evento]],'Eventos de riesgos'!B:J,9,0)</f>
        <v>0</v>
      </c>
      <c r="W48" s="49">
        <f>VLOOKUP(Tabla15[[#This Row],[N° 
Evento]],'Eventos de riesgos'!B:K,10,0)</f>
        <v>0</v>
      </c>
      <c r="X48" s="44" t="str">
        <f>VLOOKUP(Tabla15[[#This Row],[N° 
Evento]],'Eventos de riesgos'!B:L,11,0)</f>
        <v>6 - Fallas Tecnologicas</v>
      </c>
      <c r="Y48" s="44" t="str">
        <f>VLOOKUP(Tabla15[[#This Row],[N° 
Evento]],'Eventos de riesgos'!B:M,12,0)</f>
        <v>61 - Sistemas</v>
      </c>
      <c r="Z48" s="44" t="str">
        <f>VLOOKUP(Tabla15[[#This Row],[N° 
Evento]],'Eventos de riesgos'!B:N,13,0)</f>
        <v>611 - Pérdida por Problemas en Software</v>
      </c>
      <c r="AA48" s="44" t="str">
        <f>+VLOOKUP(Tabla15[[#This Row],[N° 
Evento]],'Eventos de riesgos'!$B$1:$AA$87,23,0)</f>
        <v>Fallas operadora de telefonía</v>
      </c>
      <c r="AB48" s="43" t="str">
        <f>VLOOKUP(Tabla15[[#This Row],[N° 
Evento]],'Eventos de riesgos'!B:O,14,0)</f>
        <v>Ninguna</v>
      </c>
      <c r="AC48" s="48">
        <f>VLOOKUP(Tabla15[[#This Row],[N° 
Evento]],'Eventos de riesgos'!B:P,15,0)</f>
        <v>44804</v>
      </c>
      <c r="AD48" s="43" t="str">
        <f>VLOOKUP(Tabla15[[#This Row],[N° 
Evento]],'Eventos de riesgos'!B:Q,16,0)</f>
        <v>Convenio de servicio de telefonía</v>
      </c>
      <c r="AE48" s="43" t="str">
        <f>VLOOKUP(Tabla15[[#This Row],[N° 
Evento]],'Eventos de riesgos'!B:R,17,0)</f>
        <v>Comunicación por PBX</v>
      </c>
      <c r="AF48" s="45" t="str">
        <f>VLOOKUP(Tabla15[[#This Row],[N° 
Evento]],'Eventos de riesgos'!B:V,21,0)</f>
        <v>Aprobado</v>
      </c>
      <c r="AG48" s="44" t="str">
        <f>VLOOKUP(Tabla15[[#This Row],[N° 
Evento]],'Eventos de riesgos'!B:W,22,0)</f>
        <v>10/08/2022 08:22:25: Pérdida de imagen y reputación por mala prestación se servicios no financieros en convenio con terceros</v>
      </c>
    </row>
    <row r="49" spans="3:33" ht="59" customHeight="1" x14ac:dyDescent="0.55000000000000004">
      <c r="C49" s="43" t="str">
        <f>+Tabla15[[#This Row],[N° 
Evento]]&amp;"-"&amp;Tabla15[[#This Row],[N° Tarea]]</f>
        <v>23-1</v>
      </c>
      <c r="D49" s="43">
        <v>23</v>
      </c>
      <c r="E49" s="43">
        <v>1</v>
      </c>
      <c r="F49" s="44" t="s">
        <v>271</v>
      </c>
      <c r="G49" s="44" t="s">
        <v>1052</v>
      </c>
      <c r="H49" s="44" t="s">
        <v>261</v>
      </c>
      <c r="I49" s="45" t="s">
        <v>262</v>
      </c>
      <c r="J49" s="46">
        <v>44785</v>
      </c>
      <c r="K49" s="46">
        <v>44788</v>
      </c>
      <c r="L49" s="47" t="str">
        <f>IF(Tabla15[[#This Row],[Fecha de Finalización]]&gt;0,"Cerrada","En Proceso")</f>
        <v>Cerrada</v>
      </c>
      <c r="M49" s="43">
        <f t="shared" si="0"/>
        <v>3</v>
      </c>
      <c r="N49" s="44" t="s">
        <v>247</v>
      </c>
      <c r="O49" s="43">
        <f>VLOOKUP(Tabla15[[#This Row],[N° 
Evento]],'Eventos de riesgos'!B:C,2,0)</f>
        <v>2022</v>
      </c>
      <c r="P49" s="43" t="str">
        <f>VLOOKUP(Tabla15[[#This Row],[N° 
Evento]],'Eventos de riesgos'!B:D,3,0)</f>
        <v>Ago</v>
      </c>
      <c r="Q49" s="48">
        <f>VLOOKUP(Tabla15[[#This Row],[N° 
Evento]],'Eventos de riesgos'!B:E,4,0)</f>
        <v>44785.414583333331</v>
      </c>
      <c r="R49" s="48">
        <f>VLOOKUP(Tabla15[[#This Row],[N° 
Evento]],'Eventos de riesgos'!B:F,5,0)</f>
        <v>44788.414583333331</v>
      </c>
      <c r="S49" s="48">
        <f>VLOOKUP(Tabla15[[#This Row],[N° 
Evento]],'Eventos de riesgos'!B:G,6,0)</f>
        <v>44785.414583333331</v>
      </c>
      <c r="T49" s="62" t="str">
        <f>VLOOKUP(Tabla15[[#This Row],[N° 
Evento]],'Eventos de riesgos'!B:H,7,0)</f>
        <v>Caso
El área de tesorería reporta que ha tenido que elaborar los cheques de forma manual debido a que el módulo del sistema en Wog para la generación de cheques está fallando y no salen bien configurados. Este inconveniente fue escalado a Wog mediante el área de sistemas para su corrección, con el fin de evitar tener que acudir a procesos manuales que retrasan la operación y que puedan ocasionar pérdida de trazabilidad de procesos delicados.
Acciones
Documentar incidencia al proveedor Wog especificando el daño y el módulo afectado (Tesorería)
Seguimiento del daño o desconfiguración del módulo para impresión de cheques (Director TI)</v>
      </c>
      <c r="U49" s="49">
        <f>VLOOKUP(Tabla15[[#This Row],[N° 
Evento]],'Eventos de riesgos'!B:I,8,0)</f>
        <v>0</v>
      </c>
      <c r="V49" s="49">
        <f>VLOOKUP(Tabla15[[#This Row],[N° 
Evento]],'Eventos de riesgos'!B:J,9,0)</f>
        <v>0</v>
      </c>
      <c r="W49" s="49">
        <f>VLOOKUP(Tabla15[[#This Row],[N° 
Evento]],'Eventos de riesgos'!B:K,10,0)</f>
        <v>0</v>
      </c>
      <c r="X49" s="44" t="str">
        <f>VLOOKUP(Tabla15[[#This Row],[N° 
Evento]],'Eventos de riesgos'!B:L,11,0)</f>
        <v>6 - Fallas Tecnologicas</v>
      </c>
      <c r="Y49" s="44" t="str">
        <f>VLOOKUP(Tabla15[[#This Row],[N° 
Evento]],'Eventos de riesgos'!B:M,12,0)</f>
        <v>61 - Sistemas</v>
      </c>
      <c r="Z49" s="44" t="str">
        <f>VLOOKUP(Tabla15[[#This Row],[N° 
Evento]],'Eventos de riesgos'!B:N,13,0)</f>
        <v>611 - Pérdida por Problemas en Software</v>
      </c>
      <c r="AA49" s="44" t="str">
        <f>+VLOOKUP(Tabla15[[#This Row],[N° 
Evento]],'Eventos de riesgos'!$B$1:$AA$87,23,0)</f>
        <v>Errores por actualizoción Wog</v>
      </c>
      <c r="AB49" s="43" t="str">
        <f>VLOOKUP(Tabla15[[#This Row],[N° 
Evento]],'Eventos de riesgos'!B:O,14,0)</f>
        <v>Ninguna</v>
      </c>
      <c r="AC49" s="48">
        <f>VLOOKUP(Tabla15[[#This Row],[N° 
Evento]],'Eventos de riesgos'!B:P,15,0)</f>
        <v>44804</v>
      </c>
      <c r="AD49" s="43" t="str">
        <f>VLOOKUP(Tabla15[[#This Row],[N° 
Evento]],'Eventos de riesgos'!B:Q,16,0)</f>
        <v>Varios tipos de crédito</v>
      </c>
      <c r="AE49" s="43" t="str">
        <f>VLOOKUP(Tabla15[[#This Row],[N° 
Evento]],'Eventos de riesgos'!B:R,17,0)</f>
        <v>Ninguno</v>
      </c>
      <c r="AF49" s="45" t="str">
        <f>VLOOKUP(Tabla15[[#This Row],[N° 
Evento]],'Eventos de riesgos'!B:V,21,0)</f>
        <v>Aprobado</v>
      </c>
      <c r="AG49" s="44" t="str">
        <f>VLOOKUP(Tabla15[[#This Row],[N° 
Evento]],'Eventos de riesgos'!B:W,22,0)</f>
        <v>25/08/2022 10:06:45: Revisado tesorería</v>
      </c>
    </row>
    <row r="50" spans="3:33" ht="59" customHeight="1" x14ac:dyDescent="0.55000000000000004">
      <c r="C50" s="43" t="str">
        <f>+Tabla15[[#This Row],[N° 
Evento]]&amp;"-"&amp;Tabla15[[#This Row],[N° Tarea]]</f>
        <v>23-2</v>
      </c>
      <c r="D50" s="43">
        <v>23</v>
      </c>
      <c r="E50" s="43">
        <v>2</v>
      </c>
      <c r="F50" s="44" t="s">
        <v>272</v>
      </c>
      <c r="G50" s="44" t="s">
        <v>1052</v>
      </c>
      <c r="H50" s="44" t="s">
        <v>771</v>
      </c>
      <c r="I50" s="45" t="s">
        <v>273</v>
      </c>
      <c r="J50" s="46">
        <v>44785</v>
      </c>
      <c r="K50" s="46">
        <v>45026</v>
      </c>
      <c r="L50" s="47" t="str">
        <f>IF(Tabla15[[#This Row],[Fecha de Finalización]]&gt;0,"Cerrada","En Proceso")</f>
        <v>Cerrada</v>
      </c>
      <c r="M50" s="43">
        <f t="shared" si="0"/>
        <v>241</v>
      </c>
      <c r="N50" s="44" t="s">
        <v>393</v>
      </c>
      <c r="O50" s="43">
        <f>VLOOKUP(Tabla15[[#This Row],[N° 
Evento]],'Eventos de riesgos'!B:C,2,0)</f>
        <v>2022</v>
      </c>
      <c r="P50" s="43" t="str">
        <f>VLOOKUP(Tabla15[[#This Row],[N° 
Evento]],'Eventos de riesgos'!B:D,3,0)</f>
        <v>Ago</v>
      </c>
      <c r="Q50" s="48">
        <f>VLOOKUP(Tabla15[[#This Row],[N° 
Evento]],'Eventos de riesgos'!B:E,4,0)</f>
        <v>44785.414583333331</v>
      </c>
      <c r="R50" s="48">
        <f>VLOOKUP(Tabla15[[#This Row],[N° 
Evento]],'Eventos de riesgos'!B:F,5,0)</f>
        <v>44788.414583333331</v>
      </c>
      <c r="S50" s="48">
        <f>VLOOKUP(Tabla15[[#This Row],[N° 
Evento]],'Eventos de riesgos'!B:G,6,0)</f>
        <v>44785.414583333331</v>
      </c>
      <c r="T50" s="62" t="str">
        <f>VLOOKUP(Tabla15[[#This Row],[N° 
Evento]],'Eventos de riesgos'!B:H,7,0)</f>
        <v>Caso
El área de tesorería reporta que ha tenido que elaborar los cheques de forma manual debido a que el módulo del sistema en Wog para la generación de cheques está fallando y no salen bien configurados. Este inconveniente fue escalado a Wog mediante el área de sistemas para su corrección, con el fin de evitar tener que acudir a procesos manuales que retrasan la operación y que puedan ocasionar pérdida de trazabilidad de procesos delicados.
Acciones
Documentar incidencia al proveedor Wog especificando el daño y el módulo afectado (Tesorería)
Seguimiento del daño o desconfiguración del módulo para impresión de cheques (Director TI)</v>
      </c>
      <c r="U50" s="49">
        <f>VLOOKUP(Tabla15[[#This Row],[N° 
Evento]],'Eventos de riesgos'!B:I,8,0)</f>
        <v>0</v>
      </c>
      <c r="V50" s="49">
        <f>VLOOKUP(Tabla15[[#This Row],[N° 
Evento]],'Eventos de riesgos'!B:J,9,0)</f>
        <v>0</v>
      </c>
      <c r="W50" s="49">
        <f>VLOOKUP(Tabla15[[#This Row],[N° 
Evento]],'Eventos de riesgos'!B:K,10,0)</f>
        <v>0</v>
      </c>
      <c r="X50" s="44" t="str">
        <f>VLOOKUP(Tabla15[[#This Row],[N° 
Evento]],'Eventos de riesgos'!B:L,11,0)</f>
        <v>6 - Fallas Tecnologicas</v>
      </c>
      <c r="Y50" s="44" t="str">
        <f>VLOOKUP(Tabla15[[#This Row],[N° 
Evento]],'Eventos de riesgos'!B:M,12,0)</f>
        <v>61 - Sistemas</v>
      </c>
      <c r="Z50" s="44" t="str">
        <f>VLOOKUP(Tabla15[[#This Row],[N° 
Evento]],'Eventos de riesgos'!B:N,13,0)</f>
        <v>611 - Pérdida por Problemas en Software</v>
      </c>
      <c r="AA50" s="44" t="str">
        <f>+VLOOKUP(Tabla15[[#This Row],[N° 
Evento]],'Eventos de riesgos'!$B$1:$AA$87,23,0)</f>
        <v>Errores por actualizoción Wog</v>
      </c>
      <c r="AB50" s="43" t="str">
        <f>VLOOKUP(Tabla15[[#This Row],[N° 
Evento]],'Eventos de riesgos'!B:O,14,0)</f>
        <v>Ninguna</v>
      </c>
      <c r="AC50" s="48">
        <f>VLOOKUP(Tabla15[[#This Row],[N° 
Evento]],'Eventos de riesgos'!B:P,15,0)</f>
        <v>44804</v>
      </c>
      <c r="AD50" s="43" t="str">
        <f>VLOOKUP(Tabla15[[#This Row],[N° 
Evento]],'Eventos de riesgos'!B:Q,16,0)</f>
        <v>Varios tipos de crédito</v>
      </c>
      <c r="AE50" s="43" t="str">
        <f>VLOOKUP(Tabla15[[#This Row],[N° 
Evento]],'Eventos de riesgos'!B:R,17,0)</f>
        <v>Ninguno</v>
      </c>
      <c r="AF50" s="45" t="str">
        <f>VLOOKUP(Tabla15[[#This Row],[N° 
Evento]],'Eventos de riesgos'!B:V,21,0)</f>
        <v>Aprobado</v>
      </c>
      <c r="AG50" s="44" t="str">
        <f>VLOOKUP(Tabla15[[#This Row],[N° 
Evento]],'Eventos de riesgos'!B:W,22,0)</f>
        <v>25/08/2022 10:06:45: Revisado tesorería</v>
      </c>
    </row>
    <row r="51" spans="3:33" ht="59" customHeight="1" x14ac:dyDescent="0.55000000000000004">
      <c r="C51" s="43" t="str">
        <f>+Tabla15[[#This Row],[N° 
Evento]]&amp;"-"&amp;Tabla15[[#This Row],[N° Tarea]]</f>
        <v>24-1</v>
      </c>
      <c r="D51" s="43">
        <v>24</v>
      </c>
      <c r="E51" s="43">
        <v>1</v>
      </c>
      <c r="F51" s="44" t="s">
        <v>274</v>
      </c>
      <c r="G51" s="44" t="s">
        <v>1052</v>
      </c>
      <c r="H51" s="44" t="s">
        <v>215</v>
      </c>
      <c r="I51" s="45" t="s">
        <v>91</v>
      </c>
      <c r="J51" s="46">
        <v>44795</v>
      </c>
      <c r="K51" s="46">
        <v>44795</v>
      </c>
      <c r="L51" s="47" t="str">
        <f>IF(Tabla15[[#This Row],[Fecha de Finalización]]&gt;0,"Cerrada","En Proceso")</f>
        <v>Cerrada</v>
      </c>
      <c r="M51" s="43">
        <f t="shared" si="0"/>
        <v>0</v>
      </c>
      <c r="N51" s="44" t="s">
        <v>247</v>
      </c>
      <c r="O51" s="43">
        <f>VLOOKUP(Tabla15[[#This Row],[N° 
Evento]],'Eventos de riesgos'!B:C,2,0)</f>
        <v>2022</v>
      </c>
      <c r="P51" s="43" t="str">
        <f>VLOOKUP(Tabla15[[#This Row],[N° 
Evento]],'Eventos de riesgos'!B:D,3,0)</f>
        <v>Ago</v>
      </c>
      <c r="Q51" s="48">
        <f>VLOOKUP(Tabla15[[#This Row],[N° 
Evento]],'Eventos de riesgos'!B:E,4,0)</f>
        <v>44795.700694444444</v>
      </c>
      <c r="R51" s="48">
        <f>VLOOKUP(Tabla15[[#This Row],[N° 
Evento]],'Eventos de riesgos'!B:F,5,0)</f>
        <v>44796.70416666667</v>
      </c>
      <c r="S51" s="48">
        <f>VLOOKUP(Tabla15[[#This Row],[N° 
Evento]],'Eventos de riesgos'!B:G,6,0)</f>
        <v>44795.70416666667</v>
      </c>
      <c r="T51" s="62" t="str">
        <f>VLOOKUP(Tabla15[[#This Row],[N° 
Evento]],'Eventos de riesgos'!B:H,7,0)</f>
        <v>Caso
El 22 de agosto no funcionó la conexión entre Wog y Experian para las consultas en centrales de riesgo durante el proceso de originación de crédito generando retraso en las etapas de verificación y del flujo del proceso. Fue reportada la incidencia al área e tecnología y Wog, la cual fue solucionado el día siguiente.
No fue reportado el motivo del daño ni las acciones sugeridas para alertar o prevenir su ocurrencia nuevamente.
Acciones
Reportar incidencia a Wog sobre las fallas de desconexión con Experian (Jefe Operaciones)
Seguimiento a la incidencia para solución inmediata por Wog (Coordinador TI).</v>
      </c>
      <c r="U51" s="49">
        <f>VLOOKUP(Tabla15[[#This Row],[N° 
Evento]],'Eventos de riesgos'!B:I,8,0)</f>
        <v>0</v>
      </c>
      <c r="V51" s="49">
        <f>VLOOKUP(Tabla15[[#This Row],[N° 
Evento]],'Eventos de riesgos'!B:J,9,0)</f>
        <v>0</v>
      </c>
      <c r="W51" s="49">
        <f>VLOOKUP(Tabla15[[#This Row],[N° 
Evento]],'Eventos de riesgos'!B:K,10,0)</f>
        <v>0</v>
      </c>
      <c r="X51" s="44" t="str">
        <f>VLOOKUP(Tabla15[[#This Row],[N° 
Evento]],'Eventos de riesgos'!B:L,11,0)</f>
        <v>6 - Fallas Tecnologicas</v>
      </c>
      <c r="Y51" s="44" t="str">
        <f>VLOOKUP(Tabla15[[#This Row],[N° 
Evento]],'Eventos de riesgos'!B:M,12,0)</f>
        <v>61 - Sistemas</v>
      </c>
      <c r="Z51" s="44" t="str">
        <f>VLOOKUP(Tabla15[[#This Row],[N° 
Evento]],'Eventos de riesgos'!B:N,13,0)</f>
        <v>611 - Pérdida por Problemas en Software</v>
      </c>
      <c r="AA51" s="44" t="str">
        <f>+VLOOKUP(Tabla15[[#This Row],[N° 
Evento]],'Eventos de riesgos'!$B$1:$AA$87,23,0)</f>
        <v>Desconexión entre sistemas</v>
      </c>
      <c r="AB51" s="43" t="str">
        <f>VLOOKUP(Tabla15[[#This Row],[N° 
Evento]],'Eventos de riesgos'!B:O,14,0)</f>
        <v>Ninguna</v>
      </c>
      <c r="AC51" s="48">
        <f>VLOOKUP(Tabla15[[#This Row],[N° 
Evento]],'Eventos de riesgos'!B:P,15,0)</f>
        <v>44804</v>
      </c>
      <c r="AD51" s="43" t="str">
        <f>VLOOKUP(Tabla15[[#This Row],[N° 
Evento]],'Eventos de riesgos'!B:Q,16,0)</f>
        <v>Varios tipos de crédito</v>
      </c>
      <c r="AE51" s="43" t="str">
        <f>VLOOKUP(Tabla15[[#This Row],[N° 
Evento]],'Eventos de riesgos'!B:R,17,0)</f>
        <v>Ninguno</v>
      </c>
      <c r="AF51" s="45" t="str">
        <f>VLOOKUP(Tabla15[[#This Row],[N° 
Evento]],'Eventos de riesgos'!B:V,21,0)</f>
        <v>Aprobado</v>
      </c>
      <c r="AG51" s="44" t="str">
        <f>VLOOKUP(Tabla15[[#This Row],[N° 
Evento]],'Eventos de riesgos'!B:W,22,0)</f>
        <v>31/08/2022 17:25:36: Es importante conocer oportunamente los cambios que genere el proveedor y que puedan alterar el funcionamiento del sistema y planes de prevención y contingencia</v>
      </c>
    </row>
    <row r="52" spans="3:33" ht="59" customHeight="1" x14ac:dyDescent="0.55000000000000004">
      <c r="C52" s="43" t="str">
        <f>+Tabla15[[#This Row],[N° 
Evento]]&amp;"-"&amp;Tabla15[[#This Row],[N° Tarea]]</f>
        <v>24-2</v>
      </c>
      <c r="D52" s="43">
        <v>24</v>
      </c>
      <c r="E52" s="43">
        <v>2</v>
      </c>
      <c r="F52" s="44" t="s">
        <v>275</v>
      </c>
      <c r="G52" s="44" t="s">
        <v>1052</v>
      </c>
      <c r="H52" s="44" t="s">
        <v>276</v>
      </c>
      <c r="I52" s="45" t="s">
        <v>98</v>
      </c>
      <c r="J52" s="46">
        <v>44795</v>
      </c>
      <c r="K52" s="46">
        <v>44796</v>
      </c>
      <c r="L52" s="47" t="str">
        <f>IF(Tabla15[[#This Row],[Fecha de Finalización]]&gt;0,"Cerrada","En Proceso")</f>
        <v>Cerrada</v>
      </c>
      <c r="M52" s="43">
        <f t="shared" si="0"/>
        <v>1</v>
      </c>
      <c r="N52" s="44" t="s">
        <v>247</v>
      </c>
      <c r="O52" s="43">
        <f>VLOOKUP(Tabla15[[#This Row],[N° 
Evento]],'Eventos de riesgos'!B:C,2,0)</f>
        <v>2022</v>
      </c>
      <c r="P52" s="43" t="str">
        <f>VLOOKUP(Tabla15[[#This Row],[N° 
Evento]],'Eventos de riesgos'!B:D,3,0)</f>
        <v>Ago</v>
      </c>
      <c r="Q52" s="48">
        <f>VLOOKUP(Tabla15[[#This Row],[N° 
Evento]],'Eventos de riesgos'!B:E,4,0)</f>
        <v>44795.700694444444</v>
      </c>
      <c r="R52" s="48">
        <f>VLOOKUP(Tabla15[[#This Row],[N° 
Evento]],'Eventos de riesgos'!B:F,5,0)</f>
        <v>44796.70416666667</v>
      </c>
      <c r="S52" s="48">
        <f>VLOOKUP(Tabla15[[#This Row],[N° 
Evento]],'Eventos de riesgos'!B:G,6,0)</f>
        <v>44795.70416666667</v>
      </c>
      <c r="T52" s="62" t="str">
        <f>VLOOKUP(Tabla15[[#This Row],[N° 
Evento]],'Eventos de riesgos'!B:H,7,0)</f>
        <v>Caso
El 22 de agosto no funcionó la conexión entre Wog y Experian para las consultas en centrales de riesgo durante el proceso de originación de crédito generando retraso en las etapas de verificación y del flujo del proceso. Fue reportada la incidencia al área e tecnología y Wog, la cual fue solucionado el día siguiente.
No fue reportado el motivo del daño ni las acciones sugeridas para alertar o prevenir su ocurrencia nuevamente.
Acciones
Reportar incidencia a Wog sobre las fallas de desconexión con Experian (Jefe Operaciones)
Seguimiento a la incidencia para solución inmediata por Wog (Coordinador TI).</v>
      </c>
      <c r="U52" s="49">
        <f>VLOOKUP(Tabla15[[#This Row],[N° 
Evento]],'Eventos de riesgos'!B:I,8,0)</f>
        <v>0</v>
      </c>
      <c r="V52" s="49">
        <f>VLOOKUP(Tabla15[[#This Row],[N° 
Evento]],'Eventos de riesgos'!B:J,9,0)</f>
        <v>0</v>
      </c>
      <c r="W52" s="49">
        <f>VLOOKUP(Tabla15[[#This Row],[N° 
Evento]],'Eventos de riesgos'!B:K,10,0)</f>
        <v>0</v>
      </c>
      <c r="X52" s="44" t="str">
        <f>VLOOKUP(Tabla15[[#This Row],[N° 
Evento]],'Eventos de riesgos'!B:L,11,0)</f>
        <v>6 - Fallas Tecnologicas</v>
      </c>
      <c r="Y52" s="44" t="str">
        <f>VLOOKUP(Tabla15[[#This Row],[N° 
Evento]],'Eventos de riesgos'!B:M,12,0)</f>
        <v>61 - Sistemas</v>
      </c>
      <c r="Z52" s="44" t="str">
        <f>VLOOKUP(Tabla15[[#This Row],[N° 
Evento]],'Eventos de riesgos'!B:N,13,0)</f>
        <v>611 - Pérdida por Problemas en Software</v>
      </c>
      <c r="AA52" s="44" t="str">
        <f>+VLOOKUP(Tabla15[[#This Row],[N° 
Evento]],'Eventos de riesgos'!$B$1:$AA$87,23,0)</f>
        <v>Desconexión entre sistemas</v>
      </c>
      <c r="AB52" s="43" t="str">
        <f>VLOOKUP(Tabla15[[#This Row],[N° 
Evento]],'Eventos de riesgos'!B:O,14,0)</f>
        <v>Ninguna</v>
      </c>
      <c r="AC52" s="48">
        <f>VLOOKUP(Tabla15[[#This Row],[N° 
Evento]],'Eventos de riesgos'!B:P,15,0)</f>
        <v>44804</v>
      </c>
      <c r="AD52" s="43" t="str">
        <f>VLOOKUP(Tabla15[[#This Row],[N° 
Evento]],'Eventos de riesgos'!B:Q,16,0)</f>
        <v>Varios tipos de crédito</v>
      </c>
      <c r="AE52" s="43" t="str">
        <f>VLOOKUP(Tabla15[[#This Row],[N° 
Evento]],'Eventos de riesgos'!B:R,17,0)</f>
        <v>Ninguno</v>
      </c>
      <c r="AF52" s="45" t="str">
        <f>VLOOKUP(Tabla15[[#This Row],[N° 
Evento]],'Eventos de riesgos'!B:V,21,0)</f>
        <v>Aprobado</v>
      </c>
      <c r="AG52" s="44" t="str">
        <f>VLOOKUP(Tabla15[[#This Row],[N° 
Evento]],'Eventos de riesgos'!B:W,22,0)</f>
        <v>31/08/2022 17:25:36: Es importante conocer oportunamente los cambios que genere el proveedor y que puedan alterar el funcionamiento del sistema y planes de prevención y contingencia</v>
      </c>
    </row>
    <row r="53" spans="3:33" ht="59" customHeight="1" x14ac:dyDescent="0.55000000000000004">
      <c r="C53" s="43" t="str">
        <f>+Tabla15[[#This Row],[N° 
Evento]]&amp;"-"&amp;Tabla15[[#This Row],[N° Tarea]]</f>
        <v>25-1</v>
      </c>
      <c r="D53" s="43">
        <v>25</v>
      </c>
      <c r="E53" s="43">
        <v>1</v>
      </c>
      <c r="F53" s="44" t="s">
        <v>277</v>
      </c>
      <c r="G53" s="44" t="s">
        <v>1052</v>
      </c>
      <c r="H53" s="44" t="s">
        <v>215</v>
      </c>
      <c r="I53" s="45" t="s">
        <v>91</v>
      </c>
      <c r="J53" s="46">
        <v>44803</v>
      </c>
      <c r="K53" s="46">
        <v>44807</v>
      </c>
      <c r="L53" s="47" t="str">
        <f>IF(Tabla15[[#This Row],[Fecha de Finalización]]&gt;0,"Cerrada","En Proceso")</f>
        <v>Cerrada</v>
      </c>
      <c r="M53" s="43">
        <f t="shared" si="0"/>
        <v>4</v>
      </c>
      <c r="N53" s="44" t="s">
        <v>247</v>
      </c>
      <c r="O53" s="43">
        <f>VLOOKUP(Tabla15[[#This Row],[N° 
Evento]],'Eventos de riesgos'!B:C,2,0)</f>
        <v>2022</v>
      </c>
      <c r="P53" s="43" t="str">
        <f>VLOOKUP(Tabla15[[#This Row],[N° 
Evento]],'Eventos de riesgos'!B:D,3,0)</f>
        <v>Ago</v>
      </c>
      <c r="Q53" s="48">
        <f>VLOOKUP(Tabla15[[#This Row],[N° 
Evento]],'Eventos de riesgos'!B:E,4,0)</f>
        <v>44803.726388888892</v>
      </c>
      <c r="R53" s="48">
        <f>VLOOKUP(Tabla15[[#This Row],[N° 
Evento]],'Eventos de riesgos'!B:F,5,0)</f>
        <v>44807.732638888891</v>
      </c>
      <c r="S53" s="48">
        <f>VLOOKUP(Tabla15[[#This Row],[N° 
Evento]],'Eventos de riesgos'!B:G,6,0)</f>
        <v>44803.726388888892</v>
      </c>
      <c r="T53"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3" s="49">
        <f>VLOOKUP(Tabla15[[#This Row],[N° 
Evento]],'Eventos de riesgos'!B:I,8,0)</f>
        <v>0</v>
      </c>
      <c r="V53" s="49">
        <f>VLOOKUP(Tabla15[[#This Row],[N° 
Evento]],'Eventos de riesgos'!B:J,9,0)</f>
        <v>0</v>
      </c>
      <c r="W53" s="49">
        <f>VLOOKUP(Tabla15[[#This Row],[N° 
Evento]],'Eventos de riesgos'!B:K,10,0)</f>
        <v>0</v>
      </c>
      <c r="X53" s="44" t="str">
        <f>VLOOKUP(Tabla15[[#This Row],[N° 
Evento]],'Eventos de riesgos'!B:L,11,0)</f>
        <v>6 - Fallas Tecnologicas</v>
      </c>
      <c r="Y53" s="44" t="str">
        <f>VLOOKUP(Tabla15[[#This Row],[N° 
Evento]],'Eventos de riesgos'!B:M,12,0)</f>
        <v>61 - Sistemas</v>
      </c>
      <c r="Z53" s="44" t="str">
        <f>VLOOKUP(Tabla15[[#This Row],[N° 
Evento]],'Eventos de riesgos'!B:N,13,0)</f>
        <v>611 - Pérdida por Problemas en Software</v>
      </c>
      <c r="AA53" s="44" t="str">
        <f>+VLOOKUP(Tabla15[[#This Row],[N° 
Evento]],'Eventos de riesgos'!$B$1:$AA$87,23,0)</f>
        <v>Imprecisiones en cálculos del sistema Wog</v>
      </c>
      <c r="AB53" s="43" t="str">
        <f>VLOOKUP(Tabla15[[#This Row],[N° 
Evento]],'Eventos de riesgos'!B:O,14,0)</f>
        <v>Ninguna</v>
      </c>
      <c r="AC53" s="48">
        <f>VLOOKUP(Tabla15[[#This Row],[N° 
Evento]],'Eventos de riesgos'!B:P,15,0)</f>
        <v>44804</v>
      </c>
      <c r="AD53" s="43" t="str">
        <f>VLOOKUP(Tabla15[[#This Row],[N° 
Evento]],'Eventos de riesgos'!B:Q,16,0)</f>
        <v>Tarjeta crédito</v>
      </c>
      <c r="AE53" s="43" t="str">
        <f>VLOOKUP(Tabla15[[#This Row],[N° 
Evento]],'Eventos de riesgos'!B:R,17,0)</f>
        <v>Ninguno</v>
      </c>
      <c r="AF53" s="45" t="str">
        <f>VLOOKUP(Tabla15[[#This Row],[N° 
Evento]],'Eventos de riesgos'!B:V,21,0)</f>
        <v>Aprobado</v>
      </c>
      <c r="AG53" s="44" t="str">
        <f>VLOOKUP(Tabla15[[#This Row],[N° 
Evento]],'Eventos de riesgos'!B:W,22,0)</f>
        <v>31/08/2022 17:35:27: En monitoreo hasta solución definitiva del arreglo de las ponderaciones en el sistema</v>
      </c>
    </row>
    <row r="54" spans="3:33" ht="59" customHeight="1" x14ac:dyDescent="0.55000000000000004">
      <c r="C54" s="43" t="str">
        <f>+Tabla15[[#This Row],[N° 
Evento]]&amp;"-"&amp;Tabla15[[#This Row],[N° Tarea]]</f>
        <v>25-2</v>
      </c>
      <c r="D54" s="43">
        <v>25</v>
      </c>
      <c r="E54" s="43">
        <v>2</v>
      </c>
      <c r="F54" s="44" t="s">
        <v>278</v>
      </c>
      <c r="G54" s="44" t="s">
        <v>1052</v>
      </c>
      <c r="H54" s="44" t="s">
        <v>215</v>
      </c>
      <c r="I54" s="45" t="s">
        <v>91</v>
      </c>
      <c r="J54" s="46">
        <v>44803</v>
      </c>
      <c r="K54" s="46">
        <v>44807</v>
      </c>
      <c r="L54" s="47" t="str">
        <f>IF(Tabla15[[#This Row],[Fecha de Finalización]]&gt;0,"Cerrada","En Proceso")</f>
        <v>Cerrada</v>
      </c>
      <c r="M54" s="43">
        <f t="shared" si="0"/>
        <v>4</v>
      </c>
      <c r="N54" s="44" t="s">
        <v>247</v>
      </c>
      <c r="O54" s="43">
        <f>VLOOKUP(Tabla15[[#This Row],[N° 
Evento]],'Eventos de riesgos'!B:C,2,0)</f>
        <v>2022</v>
      </c>
      <c r="P54" s="43" t="str">
        <f>VLOOKUP(Tabla15[[#This Row],[N° 
Evento]],'Eventos de riesgos'!B:D,3,0)</f>
        <v>Ago</v>
      </c>
      <c r="Q54" s="48">
        <f>VLOOKUP(Tabla15[[#This Row],[N° 
Evento]],'Eventos de riesgos'!B:E,4,0)</f>
        <v>44803.726388888892</v>
      </c>
      <c r="R54" s="48">
        <f>VLOOKUP(Tabla15[[#This Row],[N° 
Evento]],'Eventos de riesgos'!B:F,5,0)</f>
        <v>44807.732638888891</v>
      </c>
      <c r="S54" s="48">
        <f>VLOOKUP(Tabla15[[#This Row],[N° 
Evento]],'Eventos de riesgos'!B:G,6,0)</f>
        <v>44803.726388888892</v>
      </c>
      <c r="T54"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4" s="49">
        <f>VLOOKUP(Tabla15[[#This Row],[N° 
Evento]],'Eventos de riesgos'!B:I,8,0)</f>
        <v>0</v>
      </c>
      <c r="V54" s="49">
        <f>VLOOKUP(Tabla15[[#This Row],[N° 
Evento]],'Eventos de riesgos'!B:J,9,0)</f>
        <v>0</v>
      </c>
      <c r="W54" s="49">
        <f>VLOOKUP(Tabla15[[#This Row],[N° 
Evento]],'Eventos de riesgos'!B:K,10,0)</f>
        <v>0</v>
      </c>
      <c r="X54" s="44" t="str">
        <f>VLOOKUP(Tabla15[[#This Row],[N° 
Evento]],'Eventos de riesgos'!B:L,11,0)</f>
        <v>6 - Fallas Tecnologicas</v>
      </c>
      <c r="Y54" s="44" t="str">
        <f>VLOOKUP(Tabla15[[#This Row],[N° 
Evento]],'Eventos de riesgos'!B:M,12,0)</f>
        <v>61 - Sistemas</v>
      </c>
      <c r="Z54" s="44" t="str">
        <f>VLOOKUP(Tabla15[[#This Row],[N° 
Evento]],'Eventos de riesgos'!B:N,13,0)</f>
        <v>611 - Pérdida por Problemas en Software</v>
      </c>
      <c r="AA54" s="44" t="str">
        <f>+VLOOKUP(Tabla15[[#This Row],[N° 
Evento]],'Eventos de riesgos'!$B$1:$AA$87,23,0)</f>
        <v>Imprecisiones en cálculos del sistema Wog</v>
      </c>
      <c r="AB54" s="43" t="str">
        <f>VLOOKUP(Tabla15[[#This Row],[N° 
Evento]],'Eventos de riesgos'!B:O,14,0)</f>
        <v>Ninguna</v>
      </c>
      <c r="AC54" s="48">
        <f>VLOOKUP(Tabla15[[#This Row],[N° 
Evento]],'Eventos de riesgos'!B:P,15,0)</f>
        <v>44804</v>
      </c>
      <c r="AD54" s="43" t="str">
        <f>VLOOKUP(Tabla15[[#This Row],[N° 
Evento]],'Eventos de riesgos'!B:Q,16,0)</f>
        <v>Tarjeta crédito</v>
      </c>
      <c r="AE54" s="43" t="str">
        <f>VLOOKUP(Tabla15[[#This Row],[N° 
Evento]],'Eventos de riesgos'!B:R,17,0)</f>
        <v>Ninguno</v>
      </c>
      <c r="AF54" s="45" t="str">
        <f>VLOOKUP(Tabla15[[#This Row],[N° 
Evento]],'Eventos de riesgos'!B:V,21,0)</f>
        <v>Aprobado</v>
      </c>
      <c r="AG54" s="44" t="str">
        <f>VLOOKUP(Tabla15[[#This Row],[N° 
Evento]],'Eventos de riesgos'!B:W,22,0)</f>
        <v>31/08/2022 17:35:27: En monitoreo hasta solución definitiva del arreglo de las ponderaciones en el sistema</v>
      </c>
    </row>
    <row r="55" spans="3:33" ht="59" customHeight="1" x14ac:dyDescent="0.55000000000000004">
      <c r="C55" s="43" t="str">
        <f>+Tabla15[[#This Row],[N° 
Evento]]&amp;"-"&amp;Tabla15[[#This Row],[N° Tarea]]</f>
        <v>25-3</v>
      </c>
      <c r="D55" s="43">
        <v>25</v>
      </c>
      <c r="E55" s="43">
        <v>3</v>
      </c>
      <c r="F55" s="44" t="s">
        <v>279</v>
      </c>
      <c r="G55" s="44" t="s">
        <v>1052</v>
      </c>
      <c r="H55" s="44" t="s">
        <v>760</v>
      </c>
      <c r="I55" s="45" t="s">
        <v>95</v>
      </c>
      <c r="J55" s="46">
        <v>44803</v>
      </c>
      <c r="K55" s="46">
        <v>44807</v>
      </c>
      <c r="L55" s="47" t="str">
        <f>IF(Tabla15[[#This Row],[Fecha de Finalización]]&gt;0,"Cerrada","En Proceso")</f>
        <v>Cerrada</v>
      </c>
      <c r="M55" s="43">
        <f t="shared" ref="M55:M86" si="1">+K55-J55</f>
        <v>4</v>
      </c>
      <c r="N55" s="44" t="s">
        <v>247</v>
      </c>
      <c r="O55" s="43">
        <f>VLOOKUP(Tabla15[[#This Row],[N° 
Evento]],'Eventos de riesgos'!B:C,2,0)</f>
        <v>2022</v>
      </c>
      <c r="P55" s="43" t="str">
        <f>VLOOKUP(Tabla15[[#This Row],[N° 
Evento]],'Eventos de riesgos'!B:D,3,0)</f>
        <v>Ago</v>
      </c>
      <c r="Q55" s="48">
        <f>VLOOKUP(Tabla15[[#This Row],[N° 
Evento]],'Eventos de riesgos'!B:E,4,0)</f>
        <v>44803.726388888892</v>
      </c>
      <c r="R55" s="48">
        <f>VLOOKUP(Tabla15[[#This Row],[N° 
Evento]],'Eventos de riesgos'!B:F,5,0)</f>
        <v>44807.732638888891</v>
      </c>
      <c r="S55" s="48">
        <f>VLOOKUP(Tabla15[[#This Row],[N° 
Evento]],'Eventos de riesgos'!B:G,6,0)</f>
        <v>44803.726388888892</v>
      </c>
      <c r="T55"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5" s="49">
        <f>VLOOKUP(Tabla15[[#This Row],[N° 
Evento]],'Eventos de riesgos'!B:I,8,0)</f>
        <v>0</v>
      </c>
      <c r="V55" s="49">
        <f>VLOOKUP(Tabla15[[#This Row],[N° 
Evento]],'Eventos de riesgos'!B:J,9,0)</f>
        <v>0</v>
      </c>
      <c r="W55" s="49">
        <f>VLOOKUP(Tabla15[[#This Row],[N° 
Evento]],'Eventos de riesgos'!B:K,10,0)</f>
        <v>0</v>
      </c>
      <c r="X55" s="44" t="str">
        <f>VLOOKUP(Tabla15[[#This Row],[N° 
Evento]],'Eventos de riesgos'!B:L,11,0)</f>
        <v>6 - Fallas Tecnologicas</v>
      </c>
      <c r="Y55" s="44" t="str">
        <f>VLOOKUP(Tabla15[[#This Row],[N° 
Evento]],'Eventos de riesgos'!B:M,12,0)</f>
        <v>61 - Sistemas</v>
      </c>
      <c r="Z55" s="44" t="str">
        <f>VLOOKUP(Tabla15[[#This Row],[N° 
Evento]],'Eventos de riesgos'!B:N,13,0)</f>
        <v>611 - Pérdida por Problemas en Software</v>
      </c>
      <c r="AA55" s="44" t="str">
        <f>+VLOOKUP(Tabla15[[#This Row],[N° 
Evento]],'Eventos de riesgos'!$B$1:$AA$87,23,0)</f>
        <v>Imprecisiones en cálculos del sistema Wog</v>
      </c>
      <c r="AB55" s="43" t="str">
        <f>VLOOKUP(Tabla15[[#This Row],[N° 
Evento]],'Eventos de riesgos'!B:O,14,0)</f>
        <v>Ninguna</v>
      </c>
      <c r="AC55" s="48">
        <f>VLOOKUP(Tabla15[[#This Row],[N° 
Evento]],'Eventos de riesgos'!B:P,15,0)</f>
        <v>44804</v>
      </c>
      <c r="AD55" s="43" t="str">
        <f>VLOOKUP(Tabla15[[#This Row],[N° 
Evento]],'Eventos de riesgos'!B:Q,16,0)</f>
        <v>Tarjeta crédito</v>
      </c>
      <c r="AE55" s="43" t="str">
        <f>VLOOKUP(Tabla15[[#This Row],[N° 
Evento]],'Eventos de riesgos'!B:R,17,0)</f>
        <v>Ninguno</v>
      </c>
      <c r="AF55" s="45" t="str">
        <f>VLOOKUP(Tabla15[[#This Row],[N° 
Evento]],'Eventos de riesgos'!B:V,21,0)</f>
        <v>Aprobado</v>
      </c>
      <c r="AG55" s="44" t="str">
        <f>VLOOKUP(Tabla15[[#This Row],[N° 
Evento]],'Eventos de riesgos'!B:W,22,0)</f>
        <v>31/08/2022 17:35:27: En monitoreo hasta solución definitiva del arreglo de las ponderaciones en el sistema</v>
      </c>
    </row>
    <row r="56" spans="3:33" ht="59" customHeight="1" x14ac:dyDescent="0.55000000000000004">
      <c r="C56" s="43" t="str">
        <f>+Tabla15[[#This Row],[N° 
Evento]]&amp;"-"&amp;Tabla15[[#This Row],[N° Tarea]]</f>
        <v>25-4</v>
      </c>
      <c r="D56" s="43">
        <v>25</v>
      </c>
      <c r="E56" s="43">
        <v>4</v>
      </c>
      <c r="F56" s="44" t="s">
        <v>280</v>
      </c>
      <c r="G56" s="44" t="s">
        <v>1052</v>
      </c>
      <c r="H56" s="44" t="s">
        <v>771</v>
      </c>
      <c r="I56" s="45" t="s">
        <v>273</v>
      </c>
      <c r="J56" s="46">
        <v>44803</v>
      </c>
      <c r="K56" s="46">
        <v>45147</v>
      </c>
      <c r="L56" s="47" t="str">
        <f>IF(Tabla15[[#This Row],[Fecha de Finalización]]&gt;0,"Cerrada","En Proceso")</f>
        <v>Cerrada</v>
      </c>
      <c r="M56" s="43">
        <f t="shared" si="1"/>
        <v>344</v>
      </c>
      <c r="N56" s="44" t="s">
        <v>281</v>
      </c>
      <c r="O56" s="43">
        <f>VLOOKUP(Tabla15[[#This Row],[N° 
Evento]],'Eventos de riesgos'!B:C,2,0)</f>
        <v>2022</v>
      </c>
      <c r="P56" s="43" t="str">
        <f>VLOOKUP(Tabla15[[#This Row],[N° 
Evento]],'Eventos de riesgos'!B:D,3,0)</f>
        <v>Ago</v>
      </c>
      <c r="Q56" s="48">
        <f>VLOOKUP(Tabla15[[#This Row],[N° 
Evento]],'Eventos de riesgos'!B:E,4,0)</f>
        <v>44803.726388888892</v>
      </c>
      <c r="R56" s="48">
        <f>VLOOKUP(Tabla15[[#This Row],[N° 
Evento]],'Eventos de riesgos'!B:F,5,0)</f>
        <v>44807.732638888891</v>
      </c>
      <c r="S56" s="48">
        <f>VLOOKUP(Tabla15[[#This Row],[N° 
Evento]],'Eventos de riesgos'!B:G,6,0)</f>
        <v>44803.726388888892</v>
      </c>
      <c r="T56"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6" s="49">
        <f>VLOOKUP(Tabla15[[#This Row],[N° 
Evento]],'Eventos de riesgos'!B:I,8,0)</f>
        <v>0</v>
      </c>
      <c r="V56" s="49">
        <f>VLOOKUP(Tabla15[[#This Row],[N° 
Evento]],'Eventos de riesgos'!B:J,9,0)</f>
        <v>0</v>
      </c>
      <c r="W56" s="49">
        <f>VLOOKUP(Tabla15[[#This Row],[N° 
Evento]],'Eventos de riesgos'!B:K,10,0)</f>
        <v>0</v>
      </c>
      <c r="X56" s="44" t="str">
        <f>VLOOKUP(Tabla15[[#This Row],[N° 
Evento]],'Eventos de riesgos'!B:L,11,0)</f>
        <v>6 - Fallas Tecnologicas</v>
      </c>
      <c r="Y56" s="44" t="str">
        <f>VLOOKUP(Tabla15[[#This Row],[N° 
Evento]],'Eventos de riesgos'!B:M,12,0)</f>
        <v>61 - Sistemas</v>
      </c>
      <c r="Z56" s="44" t="str">
        <f>VLOOKUP(Tabla15[[#This Row],[N° 
Evento]],'Eventos de riesgos'!B:N,13,0)</f>
        <v>611 - Pérdida por Problemas en Software</v>
      </c>
      <c r="AA56" s="44" t="str">
        <f>+VLOOKUP(Tabla15[[#This Row],[N° 
Evento]],'Eventos de riesgos'!$B$1:$AA$87,23,0)</f>
        <v>Imprecisiones en cálculos del sistema Wog</v>
      </c>
      <c r="AB56" s="43" t="str">
        <f>VLOOKUP(Tabla15[[#This Row],[N° 
Evento]],'Eventos de riesgos'!B:O,14,0)</f>
        <v>Ninguna</v>
      </c>
      <c r="AC56" s="48">
        <f>VLOOKUP(Tabla15[[#This Row],[N° 
Evento]],'Eventos de riesgos'!B:P,15,0)</f>
        <v>44804</v>
      </c>
      <c r="AD56" s="43" t="str">
        <f>VLOOKUP(Tabla15[[#This Row],[N° 
Evento]],'Eventos de riesgos'!B:Q,16,0)</f>
        <v>Tarjeta crédito</v>
      </c>
      <c r="AE56" s="43" t="str">
        <f>VLOOKUP(Tabla15[[#This Row],[N° 
Evento]],'Eventos de riesgos'!B:R,17,0)</f>
        <v>Ninguno</v>
      </c>
      <c r="AF56" s="45" t="str">
        <f>VLOOKUP(Tabla15[[#This Row],[N° 
Evento]],'Eventos de riesgos'!B:V,21,0)</f>
        <v>Aprobado</v>
      </c>
      <c r="AG56" s="44" t="str">
        <f>VLOOKUP(Tabla15[[#This Row],[N° 
Evento]],'Eventos de riesgos'!B:W,22,0)</f>
        <v>31/08/2022 17:35:27: En monitoreo hasta solución definitiva del arreglo de las ponderaciones en el sistema</v>
      </c>
    </row>
    <row r="57" spans="3:33" ht="59" customHeight="1" x14ac:dyDescent="0.55000000000000004">
      <c r="C57" s="43" t="str">
        <f>+Tabla15[[#This Row],[N° 
Evento]]&amp;"-"&amp;Tabla15[[#This Row],[N° Tarea]]</f>
        <v>26-1</v>
      </c>
      <c r="D57" s="43">
        <v>26</v>
      </c>
      <c r="E57" s="43">
        <v>1</v>
      </c>
      <c r="F57" s="44" t="s">
        <v>282</v>
      </c>
      <c r="G57" s="44" t="s">
        <v>1052</v>
      </c>
      <c r="H57" s="44" t="s">
        <v>215</v>
      </c>
      <c r="I57" s="45" t="s">
        <v>91</v>
      </c>
      <c r="J57" s="46">
        <v>44817</v>
      </c>
      <c r="K57" s="46">
        <v>44817</v>
      </c>
      <c r="L57" s="47" t="str">
        <f>IF(Tabla15[[#This Row],[Fecha de Finalización]]&gt;0,"Cerrada","En Proceso")</f>
        <v>Cerrada</v>
      </c>
      <c r="M57" s="43">
        <f t="shared" si="1"/>
        <v>0</v>
      </c>
      <c r="N57" s="44" t="s">
        <v>247</v>
      </c>
      <c r="O57" s="43">
        <f>VLOOKUP(Tabla15[[#This Row],[N° 
Evento]],'Eventos de riesgos'!B:C,2,0)</f>
        <v>2022</v>
      </c>
      <c r="P57" s="43" t="str">
        <f>VLOOKUP(Tabla15[[#This Row],[N° 
Evento]],'Eventos de riesgos'!B:D,3,0)</f>
        <v>Sep</v>
      </c>
      <c r="Q57" s="48">
        <f>VLOOKUP(Tabla15[[#This Row],[N° 
Evento]],'Eventos de riesgos'!B:E,4,0)</f>
        <v>44817.412499999999</v>
      </c>
      <c r="R57" s="48">
        <f>VLOOKUP(Tabla15[[#This Row],[N° 
Evento]],'Eventos de riesgos'!B:F,5,0)</f>
        <v>44817.413194444445</v>
      </c>
      <c r="S57" s="48">
        <f>VLOOKUP(Tabla15[[#This Row],[N° 
Evento]],'Eventos de riesgos'!B:G,6,0)</f>
        <v>44817.413194444445</v>
      </c>
      <c r="T57" s="62" t="str">
        <f>VLOOKUP(Tabla15[[#This Row],[N° 
Evento]],'Eventos de riesgos'!B:H,7,0)</f>
        <v>Caso
La Directora de Servicio al Asociado reporta que constantemente la plataforma de Cooperativa Digital presenta fallas al momento de cargar un crédito, situación que retrasa el proceso de otorgamiento y genera pérdida de credibilidad con los asociados que usualmente prefieren este medio para sus solicitudes.
El área de tecnología debe monitorear permanentemente la funcionalidad de las plataformas tecnológicas, en especial las de prestación de servicio.
Acciones
Reportar incidencia a Wog sobre las fallas presentadas en la Cooperativa Digital (Jefe Operaciones)
Seguimiento a la incidencia hasta comprobar que funcione correctamente la Cooperativa Digital (Coordinador TI)</v>
      </c>
      <c r="U57" s="49">
        <f>VLOOKUP(Tabla15[[#This Row],[N° 
Evento]],'Eventos de riesgos'!B:I,8,0)</f>
        <v>0</v>
      </c>
      <c r="V57" s="49">
        <f>VLOOKUP(Tabla15[[#This Row],[N° 
Evento]],'Eventos de riesgos'!B:J,9,0)</f>
        <v>0</v>
      </c>
      <c r="W57" s="49">
        <f>VLOOKUP(Tabla15[[#This Row],[N° 
Evento]],'Eventos de riesgos'!B:K,10,0)</f>
        <v>0</v>
      </c>
      <c r="X57" s="44" t="str">
        <f>VLOOKUP(Tabla15[[#This Row],[N° 
Evento]],'Eventos de riesgos'!B:L,11,0)</f>
        <v>6 - Fallas Tecnologicas</v>
      </c>
      <c r="Y57" s="44" t="str">
        <f>VLOOKUP(Tabla15[[#This Row],[N° 
Evento]],'Eventos de riesgos'!B:M,12,0)</f>
        <v>61 - Sistemas</v>
      </c>
      <c r="Z57" s="44" t="str">
        <f>VLOOKUP(Tabla15[[#This Row],[N° 
Evento]],'Eventos de riesgos'!B:N,13,0)</f>
        <v>611 - Pérdida por Problemas en Software</v>
      </c>
      <c r="AA57" s="44" t="str">
        <f>+VLOOKUP(Tabla15[[#This Row],[N° 
Evento]],'Eventos de riesgos'!$B$1:$AA$87,23,0)</f>
        <v>Fallas Cooperativa Digital</v>
      </c>
      <c r="AB57" s="43" t="str">
        <f>VLOOKUP(Tabla15[[#This Row],[N° 
Evento]],'Eventos de riesgos'!B:O,14,0)</f>
        <v>Ninguna</v>
      </c>
      <c r="AC57" s="48">
        <f>VLOOKUP(Tabla15[[#This Row],[N° 
Evento]],'Eventos de riesgos'!B:P,15,0)</f>
        <v>44834</v>
      </c>
      <c r="AD57" s="43" t="str">
        <f>VLOOKUP(Tabla15[[#This Row],[N° 
Evento]],'Eventos de riesgos'!B:Q,16,0)</f>
        <v>Varios tipos de crédito</v>
      </c>
      <c r="AE57" s="43" t="str">
        <f>VLOOKUP(Tabla15[[#This Row],[N° 
Evento]],'Eventos de riesgos'!B:R,17,0)</f>
        <v>Cooperativa Digital</v>
      </c>
      <c r="AF57" s="45" t="str">
        <f>VLOOKUP(Tabla15[[#This Row],[N° 
Evento]],'Eventos de riesgos'!B:V,21,0)</f>
        <v>Aprobado</v>
      </c>
      <c r="AG57" s="44" t="str">
        <f>VLOOKUP(Tabla15[[#This Row],[N° 
Evento]],'Eventos de riesgos'!B:W,22,0)</f>
        <v>10/10/2022 10:02:50: Pendiente agregar canal Cooperativa Digital
10/10/2022 10:06:42: Agregado canal</v>
      </c>
    </row>
    <row r="58" spans="3:33" ht="59" customHeight="1" x14ac:dyDescent="0.55000000000000004">
      <c r="C58" s="43" t="str">
        <f>+Tabla15[[#This Row],[N° 
Evento]]&amp;"-"&amp;Tabla15[[#This Row],[N° Tarea]]</f>
        <v>26-2</v>
      </c>
      <c r="D58" s="43">
        <v>26</v>
      </c>
      <c r="E58" s="43">
        <v>2</v>
      </c>
      <c r="F58" s="44" t="s">
        <v>283</v>
      </c>
      <c r="G58" s="44" t="s">
        <v>1052</v>
      </c>
      <c r="H58" s="44" t="s">
        <v>276</v>
      </c>
      <c r="I58" s="45" t="s">
        <v>98</v>
      </c>
      <c r="J58" s="46">
        <v>44817</v>
      </c>
      <c r="K58" s="46">
        <v>44817</v>
      </c>
      <c r="L58" s="47" t="str">
        <f>IF(Tabla15[[#This Row],[Fecha de Finalización]]&gt;0,"Cerrada","En Proceso")</f>
        <v>Cerrada</v>
      </c>
      <c r="M58" s="43">
        <f t="shared" si="1"/>
        <v>0</v>
      </c>
      <c r="N58" s="44" t="s">
        <v>247</v>
      </c>
      <c r="O58" s="43">
        <f>VLOOKUP(Tabla15[[#This Row],[N° 
Evento]],'Eventos de riesgos'!B:C,2,0)</f>
        <v>2022</v>
      </c>
      <c r="P58" s="43" t="str">
        <f>VLOOKUP(Tabla15[[#This Row],[N° 
Evento]],'Eventos de riesgos'!B:D,3,0)</f>
        <v>Sep</v>
      </c>
      <c r="Q58" s="48">
        <f>VLOOKUP(Tabla15[[#This Row],[N° 
Evento]],'Eventos de riesgos'!B:E,4,0)</f>
        <v>44817.412499999999</v>
      </c>
      <c r="R58" s="48">
        <f>VLOOKUP(Tabla15[[#This Row],[N° 
Evento]],'Eventos de riesgos'!B:F,5,0)</f>
        <v>44817.413194444445</v>
      </c>
      <c r="S58" s="48">
        <f>VLOOKUP(Tabla15[[#This Row],[N° 
Evento]],'Eventos de riesgos'!B:G,6,0)</f>
        <v>44817.413194444445</v>
      </c>
      <c r="T58" s="62" t="str">
        <f>VLOOKUP(Tabla15[[#This Row],[N° 
Evento]],'Eventos de riesgos'!B:H,7,0)</f>
        <v>Caso
La Directora de Servicio al Asociado reporta que constantemente la plataforma de Cooperativa Digital presenta fallas al momento de cargar un crédito, situación que retrasa el proceso de otorgamiento y genera pérdida de credibilidad con los asociados que usualmente prefieren este medio para sus solicitudes.
El área de tecnología debe monitorear permanentemente la funcionalidad de las plataformas tecnológicas, en especial las de prestación de servicio.
Acciones
Reportar incidencia a Wog sobre las fallas presentadas en la Cooperativa Digital (Jefe Operaciones)
Seguimiento a la incidencia hasta comprobar que funcione correctamente la Cooperativa Digital (Coordinador TI)</v>
      </c>
      <c r="U58" s="49">
        <f>VLOOKUP(Tabla15[[#This Row],[N° 
Evento]],'Eventos de riesgos'!B:I,8,0)</f>
        <v>0</v>
      </c>
      <c r="V58" s="49">
        <f>VLOOKUP(Tabla15[[#This Row],[N° 
Evento]],'Eventos de riesgos'!B:J,9,0)</f>
        <v>0</v>
      </c>
      <c r="W58" s="49">
        <f>VLOOKUP(Tabla15[[#This Row],[N° 
Evento]],'Eventos de riesgos'!B:K,10,0)</f>
        <v>0</v>
      </c>
      <c r="X58" s="44" t="str">
        <f>VLOOKUP(Tabla15[[#This Row],[N° 
Evento]],'Eventos de riesgos'!B:L,11,0)</f>
        <v>6 - Fallas Tecnologicas</v>
      </c>
      <c r="Y58" s="44" t="str">
        <f>VLOOKUP(Tabla15[[#This Row],[N° 
Evento]],'Eventos de riesgos'!B:M,12,0)</f>
        <v>61 - Sistemas</v>
      </c>
      <c r="Z58" s="44" t="str">
        <f>VLOOKUP(Tabla15[[#This Row],[N° 
Evento]],'Eventos de riesgos'!B:N,13,0)</f>
        <v>611 - Pérdida por Problemas en Software</v>
      </c>
      <c r="AA58" s="44" t="str">
        <f>+VLOOKUP(Tabla15[[#This Row],[N° 
Evento]],'Eventos de riesgos'!$B$1:$AA$87,23,0)</f>
        <v>Fallas Cooperativa Digital</v>
      </c>
      <c r="AB58" s="43" t="str">
        <f>VLOOKUP(Tabla15[[#This Row],[N° 
Evento]],'Eventos de riesgos'!B:O,14,0)</f>
        <v>Ninguna</v>
      </c>
      <c r="AC58" s="48">
        <f>VLOOKUP(Tabla15[[#This Row],[N° 
Evento]],'Eventos de riesgos'!B:P,15,0)</f>
        <v>44834</v>
      </c>
      <c r="AD58" s="43" t="str">
        <f>VLOOKUP(Tabla15[[#This Row],[N° 
Evento]],'Eventos de riesgos'!B:Q,16,0)</f>
        <v>Varios tipos de crédito</v>
      </c>
      <c r="AE58" s="43" t="str">
        <f>VLOOKUP(Tabla15[[#This Row],[N° 
Evento]],'Eventos de riesgos'!B:R,17,0)</f>
        <v>Cooperativa Digital</v>
      </c>
      <c r="AF58" s="45" t="str">
        <f>VLOOKUP(Tabla15[[#This Row],[N° 
Evento]],'Eventos de riesgos'!B:V,21,0)</f>
        <v>Aprobado</v>
      </c>
      <c r="AG58" s="44" t="str">
        <f>VLOOKUP(Tabla15[[#This Row],[N° 
Evento]],'Eventos de riesgos'!B:W,22,0)</f>
        <v>10/10/2022 10:02:50: Pendiente agregar canal Cooperativa Digital
10/10/2022 10:06:42: Agregado canal</v>
      </c>
    </row>
    <row r="59" spans="3:33" ht="59" customHeight="1" x14ac:dyDescent="0.55000000000000004">
      <c r="C59" s="43" t="str">
        <f>+Tabla15[[#This Row],[N° 
Evento]]&amp;"-"&amp;Tabla15[[#This Row],[N° Tarea]]</f>
        <v>27-1</v>
      </c>
      <c r="D59" s="43">
        <v>27</v>
      </c>
      <c r="E59" s="43">
        <v>1</v>
      </c>
      <c r="F59" s="44" t="s">
        <v>284</v>
      </c>
      <c r="G59" s="44" t="s">
        <v>1052</v>
      </c>
      <c r="H59" s="44" t="s">
        <v>233</v>
      </c>
      <c r="I59" s="45" t="s">
        <v>240</v>
      </c>
      <c r="J59" s="46">
        <v>44784</v>
      </c>
      <c r="K59" s="46">
        <v>44895</v>
      </c>
      <c r="L59" s="47" t="str">
        <f>IF(Tabla15[[#This Row],[Fecha de Finalización]]&gt;0,"Cerrada","En Proceso")</f>
        <v>Cerrada</v>
      </c>
      <c r="M59" s="43">
        <f t="shared" si="1"/>
        <v>111</v>
      </c>
      <c r="N59" s="44" t="s">
        <v>285</v>
      </c>
      <c r="O59" s="43">
        <f>VLOOKUP(Tabla15[[#This Row],[N° 
Evento]],'Eventos de riesgos'!B:C,2,0)</f>
        <v>2022</v>
      </c>
      <c r="P59" s="43" t="str">
        <f>VLOOKUP(Tabla15[[#This Row],[N° 
Evento]],'Eventos de riesgos'!B:D,3,0)</f>
        <v>Ago</v>
      </c>
      <c r="Q59" s="48">
        <f>VLOOKUP(Tabla15[[#This Row],[N° 
Evento]],'Eventos de riesgos'!B:E,4,0)</f>
        <v>44784.424305555556</v>
      </c>
      <c r="R59" s="48">
        <f>VLOOKUP(Tabla15[[#This Row],[N° 
Evento]],'Eventos de riesgos'!B:F,5,0)</f>
        <v>44841.424305555556</v>
      </c>
      <c r="S59" s="48">
        <f>VLOOKUP(Tabla15[[#This Row],[N° 
Evento]],'Eventos de riesgos'!B:G,6,0)</f>
        <v>44784.416666666664</v>
      </c>
      <c r="T59" s="62" t="str">
        <f>VLOOKUP(Tabla15[[#This Row],[N° 
Evento]],'Eventos de riesgos'!B:H,7,0)</f>
        <v>Caso
Al hacer la reclamación del siniestro 10259252 ante La Equidad Seguros, la aseguradora objetó la petición para el pago de 38 millones de pesos que corresponden al crédito No. 1248815 otorgado al señor Excelino Herrera (QEPD), quien se identificaba en vida con CC 17133827. 
De acuerdo con la aseguradora, el crédito se desembolsó el 9 de agosto del 2022, fecha en la que también falleció el asociado. Una vez se hizo la trazabilidad de la operación, se detectó que él desembolsó neto del crédito se hizo a la cuenta de ahorro voluntario del fallecido, pero los  recursos ya no figuraban ahí, es decir, fueron retirados el 11 de agosto del 2022 (2 días posteriores al deceso) en la extensión de caja ubicada en Mazuren, mediante la presentación de un poder general suscrito por el señor Herrera en vida a su esposa.
A la fecha tiene $ 15 millones han Aportes y Daes pero no han presentado la reclamación formal para cruce de cuentas.
Acciones
Hacer el respectivo proceso e recuperación y cruce de cuentas (Jefe Jurídico)</v>
      </c>
      <c r="U59" s="49">
        <f>VLOOKUP(Tabla15[[#This Row],[N° 
Evento]],'Eventos de riesgos'!B:I,8,0)</f>
        <v>38000000</v>
      </c>
      <c r="V59" s="49">
        <f>VLOOKUP(Tabla15[[#This Row],[N° 
Evento]],'Eventos de riesgos'!B:J,9,0)</f>
        <v>15000000</v>
      </c>
      <c r="W59" s="49">
        <f>VLOOKUP(Tabla15[[#This Row],[N° 
Evento]],'Eventos de riesgos'!B:K,10,0)</f>
        <v>0</v>
      </c>
      <c r="X59" s="44" t="str">
        <f>VLOOKUP(Tabla15[[#This Row],[N° 
Evento]],'Eventos de riesgos'!B:L,11,0)</f>
        <v>1 - Fraude Interno</v>
      </c>
      <c r="Y59" s="44" t="str">
        <f>VLOOKUP(Tabla15[[#This Row],[N° 
Evento]],'Eventos de riesgos'!B:M,12,0)</f>
        <v>11 - Actividades No Autorizadas</v>
      </c>
      <c r="Z59" s="44" t="str">
        <f>VLOOKUP(Tabla15[[#This Row],[N° 
Evento]],'Eventos de riesgos'!B:N,13,0)</f>
        <v>111 - Operaciones No Reveladas Intencionalmente</v>
      </c>
      <c r="AA59" s="44" t="str">
        <f>+VLOOKUP(Tabla15[[#This Row],[N° 
Evento]],'Eventos de riesgos'!$B$1:$AA$87,23,0)</f>
        <v>Retiro de ahorro de asociado fallecido</v>
      </c>
      <c r="AB59" s="43" t="str">
        <f>VLOOKUP(Tabla15[[#This Row],[N° 
Evento]],'Eventos de riesgos'!B:O,14,0)</f>
        <v>Ninguna</v>
      </c>
      <c r="AC59" s="48">
        <f>VLOOKUP(Tabla15[[#This Row],[N° 
Evento]],'Eventos de riesgos'!B:P,15,0)</f>
        <v>44804</v>
      </c>
      <c r="AD59" s="43" t="str">
        <f>VLOOKUP(Tabla15[[#This Row],[N° 
Evento]],'Eventos de riesgos'!B:Q,16,0)</f>
        <v>Crédito de consumo</v>
      </c>
      <c r="AE59" s="43" t="str">
        <f>VLOOKUP(Tabla15[[#This Row],[N° 
Evento]],'Eventos de riesgos'!B:R,17,0)</f>
        <v>Ninguno</v>
      </c>
      <c r="AF59" s="45" t="str">
        <f>VLOOKUP(Tabla15[[#This Row],[N° 
Evento]],'Eventos de riesgos'!B:V,21,0)</f>
        <v>Aprobado</v>
      </c>
      <c r="AG59" s="44" t="str">
        <f>VLOOKUP(Tabla15[[#This Row],[N° 
Evento]],'Eventos de riesgos'!B:W,22,0)</f>
        <v>10/10/2022 10:47:51: Hacer el respectivo proceso e recuperación y cruce de cuentas</v>
      </c>
    </row>
    <row r="60" spans="3:33" ht="59" customHeight="1" x14ac:dyDescent="0.55000000000000004">
      <c r="C60" s="43" t="str">
        <f>+Tabla15[[#This Row],[N° 
Evento]]&amp;"-"&amp;Tabla15[[#This Row],[N° Tarea]]</f>
        <v>28-1</v>
      </c>
      <c r="D60" s="43">
        <v>28</v>
      </c>
      <c r="E60" s="43">
        <v>1</v>
      </c>
      <c r="F60" s="44" t="s">
        <v>286</v>
      </c>
      <c r="G60" s="44" t="s">
        <v>1052</v>
      </c>
      <c r="H60" s="44" t="s">
        <v>287</v>
      </c>
      <c r="I60" s="45" t="s">
        <v>288</v>
      </c>
      <c r="J60" s="46">
        <v>44853</v>
      </c>
      <c r="K60" s="46">
        <v>44853</v>
      </c>
      <c r="L60" s="47" t="str">
        <f>IF(Tabla15[[#This Row],[Fecha de Finalización]]&gt;0,"Cerrada","En Proceso")</f>
        <v>Cerrada</v>
      </c>
      <c r="M60" s="43">
        <f t="shared" si="1"/>
        <v>0</v>
      </c>
      <c r="N60" s="44" t="s">
        <v>289</v>
      </c>
      <c r="O60" s="43">
        <f>VLOOKUP(Tabla15[[#This Row],[N° 
Evento]],'Eventos de riesgos'!B:C,2,0)</f>
        <v>2022</v>
      </c>
      <c r="P60" s="43" t="str">
        <f>VLOOKUP(Tabla15[[#This Row],[N° 
Evento]],'Eventos de riesgos'!B:D,3,0)</f>
        <v xml:space="preserve">Oct </v>
      </c>
      <c r="Q60" s="48">
        <f>VLOOKUP(Tabla15[[#This Row],[N° 
Evento]],'Eventos de riesgos'!B:E,4,0)</f>
        <v>44853.404861111114</v>
      </c>
      <c r="R60" s="48">
        <f>VLOOKUP(Tabla15[[#This Row],[N° 
Evento]],'Eventos de riesgos'!B:F,5,0)</f>
        <v>44853.404861111114</v>
      </c>
      <c r="S60" s="48">
        <f>VLOOKUP(Tabla15[[#This Row],[N° 
Evento]],'Eventos de riesgos'!B:G,6,0)</f>
        <v>44853.404861111114</v>
      </c>
      <c r="T60" s="62" t="str">
        <f>VLOOKUP(Tabla15[[#This Row],[N° 
Evento]],'Eventos de riesgos'!B:H,7,0)</f>
        <v>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v>
      </c>
      <c r="U60" s="49">
        <f>VLOOKUP(Tabla15[[#This Row],[N° 
Evento]],'Eventos de riesgos'!B:I,8,0)</f>
        <v>0</v>
      </c>
      <c r="V60" s="49">
        <f>VLOOKUP(Tabla15[[#This Row],[N° 
Evento]],'Eventos de riesgos'!B:J,9,0)</f>
        <v>0</v>
      </c>
      <c r="W60" s="49">
        <f>VLOOKUP(Tabla15[[#This Row],[N° 
Evento]],'Eventos de riesgos'!B:K,10,0)</f>
        <v>0</v>
      </c>
      <c r="X60" s="44" t="str">
        <f>VLOOKUP(Tabla15[[#This Row],[N° 
Evento]],'Eventos de riesgos'!B:L,11,0)</f>
        <v>6 - Fallas Tecnologicas</v>
      </c>
      <c r="Y60" s="44" t="str">
        <f>VLOOKUP(Tabla15[[#This Row],[N° 
Evento]],'Eventos de riesgos'!B:M,12,0)</f>
        <v>61 - Sistemas</v>
      </c>
      <c r="Z60" s="44" t="str">
        <f>VLOOKUP(Tabla15[[#This Row],[N° 
Evento]],'Eventos de riesgos'!B:N,13,0)</f>
        <v>614 - Interrupción en el Suministro de un Servicio Público que Ocasiones Falla en los Sistemas</v>
      </c>
      <c r="AA60" s="44" t="str">
        <f>+VLOOKUP(Tabla15[[#This Row],[N° 
Evento]],'Eventos de riesgos'!$B$1:$AA$87,23,0)</f>
        <v>Interrupciones operativas por energía eléctrica</v>
      </c>
      <c r="AB60" s="43" t="str">
        <f>VLOOKUP(Tabla15[[#This Row],[N° 
Evento]],'Eventos de riesgos'!B:O,14,0)</f>
        <v>Ninguna</v>
      </c>
      <c r="AC60" s="48">
        <f>VLOOKUP(Tabla15[[#This Row],[N° 
Evento]],'Eventos de riesgos'!B:P,15,0)</f>
        <v>44865</v>
      </c>
      <c r="AD60" s="43" t="str">
        <f>VLOOKUP(Tabla15[[#This Row],[N° 
Evento]],'Eventos de riesgos'!B:Q,16,0)</f>
        <v>Ninguno</v>
      </c>
      <c r="AE60" s="43" t="str">
        <f>VLOOKUP(Tabla15[[#This Row],[N° 
Evento]],'Eventos de riesgos'!B:R,17,0)</f>
        <v>Ninguno</v>
      </c>
      <c r="AF60" s="45" t="str">
        <f>VLOOKUP(Tabla15[[#This Row],[N° 
Evento]],'Eventos de riesgos'!B:V,21,0)</f>
        <v>Aprobado</v>
      </c>
      <c r="AG60" s="44" t="str">
        <f>VLOOKUP(Tabla15[[#This Row],[N° 
Evento]],'Eventos de riesgos'!B:W,22,0)</f>
        <v>26/10/2022 09:43:38: Creación del evento - pendiente corrección de proceso relacionado (en mesa de ayuda AppsCloud)</v>
      </c>
    </row>
    <row r="61" spans="3:33" ht="59" customHeight="1" x14ac:dyDescent="0.55000000000000004">
      <c r="C61" s="43" t="str">
        <f>+Tabla15[[#This Row],[N° 
Evento]]&amp;"-"&amp;Tabla15[[#This Row],[N° Tarea]]</f>
        <v>28-2</v>
      </c>
      <c r="D61" s="43">
        <v>28</v>
      </c>
      <c r="E61" s="43">
        <v>2</v>
      </c>
      <c r="F61" s="44" t="s">
        <v>290</v>
      </c>
      <c r="G61" s="44" t="s">
        <v>1052</v>
      </c>
      <c r="H61" s="44" t="s">
        <v>291</v>
      </c>
      <c r="I61" s="45" t="s">
        <v>292</v>
      </c>
      <c r="J61" s="46">
        <v>44853</v>
      </c>
      <c r="K61" s="46">
        <v>44853</v>
      </c>
      <c r="L61" s="47" t="str">
        <f>IF(Tabla15[[#This Row],[Fecha de Finalización]]&gt;0,"Cerrada","En Proceso")</f>
        <v>Cerrada</v>
      </c>
      <c r="M61" s="43">
        <f t="shared" si="1"/>
        <v>0</v>
      </c>
      <c r="N61" s="44" t="s">
        <v>247</v>
      </c>
      <c r="O61" s="43">
        <f>VLOOKUP(Tabla15[[#This Row],[N° 
Evento]],'Eventos de riesgos'!B:C,2,0)</f>
        <v>2022</v>
      </c>
      <c r="P61" s="43" t="str">
        <f>VLOOKUP(Tabla15[[#This Row],[N° 
Evento]],'Eventos de riesgos'!B:D,3,0)</f>
        <v xml:space="preserve">Oct </v>
      </c>
      <c r="Q61" s="48">
        <f>VLOOKUP(Tabla15[[#This Row],[N° 
Evento]],'Eventos de riesgos'!B:E,4,0)</f>
        <v>44853.404861111114</v>
      </c>
      <c r="R61" s="48">
        <f>VLOOKUP(Tabla15[[#This Row],[N° 
Evento]],'Eventos de riesgos'!B:F,5,0)</f>
        <v>44853.404861111114</v>
      </c>
      <c r="S61" s="48">
        <f>VLOOKUP(Tabla15[[#This Row],[N° 
Evento]],'Eventos de riesgos'!B:G,6,0)</f>
        <v>44853.404861111114</v>
      </c>
      <c r="T61" s="62" t="str">
        <f>VLOOKUP(Tabla15[[#This Row],[N° 
Evento]],'Eventos de riesgos'!B:H,7,0)</f>
        <v>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v>
      </c>
      <c r="U61" s="49">
        <f>VLOOKUP(Tabla15[[#This Row],[N° 
Evento]],'Eventos de riesgos'!B:I,8,0)</f>
        <v>0</v>
      </c>
      <c r="V61" s="49">
        <f>VLOOKUP(Tabla15[[#This Row],[N° 
Evento]],'Eventos de riesgos'!B:J,9,0)</f>
        <v>0</v>
      </c>
      <c r="W61" s="49">
        <f>VLOOKUP(Tabla15[[#This Row],[N° 
Evento]],'Eventos de riesgos'!B:K,10,0)</f>
        <v>0</v>
      </c>
      <c r="X61" s="44" t="str">
        <f>VLOOKUP(Tabla15[[#This Row],[N° 
Evento]],'Eventos de riesgos'!B:L,11,0)</f>
        <v>6 - Fallas Tecnologicas</v>
      </c>
      <c r="Y61" s="44" t="str">
        <f>VLOOKUP(Tabla15[[#This Row],[N° 
Evento]],'Eventos de riesgos'!B:M,12,0)</f>
        <v>61 - Sistemas</v>
      </c>
      <c r="Z61" s="44" t="str">
        <f>VLOOKUP(Tabla15[[#This Row],[N° 
Evento]],'Eventos de riesgos'!B:N,13,0)</f>
        <v>614 - Interrupción en el Suministro de un Servicio Público que Ocasiones Falla en los Sistemas</v>
      </c>
      <c r="AA61" s="44" t="str">
        <f>+VLOOKUP(Tabla15[[#This Row],[N° 
Evento]],'Eventos de riesgos'!$B$1:$AA$87,23,0)</f>
        <v>Interrupciones operativas por energía eléctrica</v>
      </c>
      <c r="AB61" s="43" t="str">
        <f>VLOOKUP(Tabla15[[#This Row],[N° 
Evento]],'Eventos de riesgos'!B:O,14,0)</f>
        <v>Ninguna</v>
      </c>
      <c r="AC61" s="48">
        <f>VLOOKUP(Tabla15[[#This Row],[N° 
Evento]],'Eventos de riesgos'!B:P,15,0)</f>
        <v>44865</v>
      </c>
      <c r="AD61" s="43" t="str">
        <f>VLOOKUP(Tabla15[[#This Row],[N° 
Evento]],'Eventos de riesgos'!B:Q,16,0)</f>
        <v>Ninguno</v>
      </c>
      <c r="AE61" s="43" t="str">
        <f>VLOOKUP(Tabla15[[#This Row],[N° 
Evento]],'Eventos de riesgos'!B:R,17,0)</f>
        <v>Ninguno</v>
      </c>
      <c r="AF61" s="45" t="str">
        <f>VLOOKUP(Tabla15[[#This Row],[N° 
Evento]],'Eventos de riesgos'!B:V,21,0)</f>
        <v>Aprobado</v>
      </c>
      <c r="AG61" s="44" t="str">
        <f>VLOOKUP(Tabla15[[#This Row],[N° 
Evento]],'Eventos de riesgos'!B:W,22,0)</f>
        <v>26/10/2022 09:43:38: Creación del evento - pendiente corrección de proceso relacionado (en mesa de ayuda AppsCloud)</v>
      </c>
    </row>
    <row r="62" spans="3:33" ht="59" customHeight="1" x14ac:dyDescent="0.55000000000000004">
      <c r="C62" s="43" t="str">
        <f>+Tabla15[[#This Row],[N° 
Evento]]&amp;"-"&amp;Tabla15[[#This Row],[N° Tarea]]</f>
        <v>28-3</v>
      </c>
      <c r="D62" s="43">
        <v>28</v>
      </c>
      <c r="E62" s="43">
        <v>3</v>
      </c>
      <c r="F62" s="44" t="s">
        <v>293</v>
      </c>
      <c r="G62" s="44" t="s">
        <v>1052</v>
      </c>
      <c r="H62" s="44" t="s">
        <v>771</v>
      </c>
      <c r="I62" s="45" t="s">
        <v>273</v>
      </c>
      <c r="J62" s="46">
        <v>44853</v>
      </c>
      <c r="K62" s="46">
        <v>45147</v>
      </c>
      <c r="L62" s="47" t="str">
        <f>IF(Tabla15[[#This Row],[Fecha de Finalización]]&gt;0,"Cerrada","En Proceso")</f>
        <v>Cerrada</v>
      </c>
      <c r="M62" s="43">
        <f t="shared" si="1"/>
        <v>294</v>
      </c>
      <c r="N62" s="44" t="s">
        <v>294</v>
      </c>
      <c r="O62" s="43">
        <f>VLOOKUP(Tabla15[[#This Row],[N° 
Evento]],'Eventos de riesgos'!B:C,2,0)</f>
        <v>2022</v>
      </c>
      <c r="P62" s="43" t="str">
        <f>VLOOKUP(Tabla15[[#This Row],[N° 
Evento]],'Eventos de riesgos'!B:D,3,0)</f>
        <v xml:space="preserve">Oct </v>
      </c>
      <c r="Q62" s="48">
        <f>VLOOKUP(Tabla15[[#This Row],[N° 
Evento]],'Eventos de riesgos'!B:E,4,0)</f>
        <v>44853.404861111114</v>
      </c>
      <c r="R62" s="48">
        <f>VLOOKUP(Tabla15[[#This Row],[N° 
Evento]],'Eventos de riesgos'!B:F,5,0)</f>
        <v>44853.404861111114</v>
      </c>
      <c r="S62" s="48">
        <f>VLOOKUP(Tabla15[[#This Row],[N° 
Evento]],'Eventos de riesgos'!B:G,6,0)</f>
        <v>44853.404861111114</v>
      </c>
      <c r="T62" s="62" t="str">
        <f>VLOOKUP(Tabla15[[#This Row],[N° 
Evento]],'Eventos de riesgos'!B:H,7,0)</f>
        <v>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v>
      </c>
      <c r="U62" s="49">
        <f>VLOOKUP(Tabla15[[#This Row],[N° 
Evento]],'Eventos de riesgos'!B:I,8,0)</f>
        <v>0</v>
      </c>
      <c r="V62" s="49">
        <f>VLOOKUP(Tabla15[[#This Row],[N° 
Evento]],'Eventos de riesgos'!B:J,9,0)</f>
        <v>0</v>
      </c>
      <c r="W62" s="49">
        <f>VLOOKUP(Tabla15[[#This Row],[N° 
Evento]],'Eventos de riesgos'!B:K,10,0)</f>
        <v>0</v>
      </c>
      <c r="X62" s="44" t="str">
        <f>VLOOKUP(Tabla15[[#This Row],[N° 
Evento]],'Eventos de riesgos'!B:L,11,0)</f>
        <v>6 - Fallas Tecnologicas</v>
      </c>
      <c r="Y62" s="44" t="str">
        <f>VLOOKUP(Tabla15[[#This Row],[N° 
Evento]],'Eventos de riesgos'!B:M,12,0)</f>
        <v>61 - Sistemas</v>
      </c>
      <c r="Z62" s="44" t="str">
        <f>VLOOKUP(Tabla15[[#This Row],[N° 
Evento]],'Eventos de riesgos'!B:N,13,0)</f>
        <v>614 - Interrupción en el Suministro de un Servicio Público que Ocasiones Falla en los Sistemas</v>
      </c>
      <c r="AA62" s="44" t="str">
        <f>+VLOOKUP(Tabla15[[#This Row],[N° 
Evento]],'Eventos de riesgos'!$B$1:$AA$87,23,0)</f>
        <v>Interrupciones operativas por energía eléctrica</v>
      </c>
      <c r="AB62" s="43" t="str">
        <f>VLOOKUP(Tabla15[[#This Row],[N° 
Evento]],'Eventos de riesgos'!B:O,14,0)</f>
        <v>Ninguna</v>
      </c>
      <c r="AC62" s="48">
        <f>VLOOKUP(Tabla15[[#This Row],[N° 
Evento]],'Eventos de riesgos'!B:P,15,0)</f>
        <v>44865</v>
      </c>
      <c r="AD62" s="43" t="str">
        <f>VLOOKUP(Tabla15[[#This Row],[N° 
Evento]],'Eventos de riesgos'!B:Q,16,0)</f>
        <v>Ninguno</v>
      </c>
      <c r="AE62" s="43" t="str">
        <f>VLOOKUP(Tabla15[[#This Row],[N° 
Evento]],'Eventos de riesgos'!B:R,17,0)</f>
        <v>Ninguno</v>
      </c>
      <c r="AF62" s="45" t="str">
        <f>VLOOKUP(Tabla15[[#This Row],[N° 
Evento]],'Eventos de riesgos'!B:V,21,0)</f>
        <v>Aprobado</v>
      </c>
      <c r="AG62" s="44" t="str">
        <f>VLOOKUP(Tabla15[[#This Row],[N° 
Evento]],'Eventos de riesgos'!B:W,22,0)</f>
        <v>26/10/2022 09:43:38: Creación del evento - pendiente corrección de proceso relacionado (en mesa de ayuda AppsCloud)</v>
      </c>
    </row>
    <row r="63" spans="3:33" ht="59" customHeight="1" x14ac:dyDescent="0.55000000000000004">
      <c r="C63" s="43" t="str">
        <f>+Tabla15[[#This Row],[N° 
Evento]]&amp;"-"&amp;Tabla15[[#This Row],[N° Tarea]]</f>
        <v>29-1</v>
      </c>
      <c r="D63" s="43">
        <v>29</v>
      </c>
      <c r="E63" s="43">
        <v>1</v>
      </c>
      <c r="F63" s="44" t="s">
        <v>295</v>
      </c>
      <c r="G63" s="44" t="s">
        <v>1052</v>
      </c>
      <c r="H63" s="44" t="s">
        <v>224</v>
      </c>
      <c r="I63" s="45" t="s">
        <v>269</v>
      </c>
      <c r="J63" s="46">
        <v>44859</v>
      </c>
      <c r="K63" s="46">
        <v>44859</v>
      </c>
      <c r="L63" s="47" t="str">
        <f>IF(Tabla15[[#This Row],[Fecha de Finalización]]&gt;0,"Cerrada","En Proceso")</f>
        <v>Cerrada</v>
      </c>
      <c r="M63" s="43">
        <f t="shared" si="1"/>
        <v>0</v>
      </c>
      <c r="N63" s="44" t="s">
        <v>247</v>
      </c>
      <c r="O63" s="43">
        <f>VLOOKUP(Tabla15[[#This Row],[N° 
Evento]],'Eventos de riesgos'!B:C,2,0)</f>
        <v>2022</v>
      </c>
      <c r="P63" s="43" t="str">
        <f>VLOOKUP(Tabla15[[#This Row],[N° 
Evento]],'Eventos de riesgos'!B:D,3,0)</f>
        <v xml:space="preserve">Oct </v>
      </c>
      <c r="Q63" s="48">
        <f>VLOOKUP(Tabla15[[#This Row],[N° 
Evento]],'Eventos de riesgos'!B:E,4,0)</f>
        <v>44859.356944444444</v>
      </c>
      <c r="R63" s="48">
        <f>VLOOKUP(Tabla15[[#This Row],[N° 
Evento]],'Eventos de riesgos'!B:F,5,0)</f>
        <v>44859.356944444444</v>
      </c>
      <c r="S63" s="48">
        <f>VLOOKUP(Tabla15[[#This Row],[N° 
Evento]],'Eventos de riesgos'!B:G,6,0)</f>
        <v>44859.356944444444</v>
      </c>
      <c r="T63" s="62" t="str">
        <f>VLOOKUP(Tabla15[[#This Row],[N° 
Evento]],'Eventos de riesgos'!B:H,7,0)</f>
        <v xml:space="preserve">Caso
El 25 de Octubre 2022 se envió mensajes masivos de cobro de cartera a los asociados de manera errónea, fue enviado a la totalidad de la base social incluyendo asociados que se encontraban al día con sus obligaciones. Esto generó molestias y quejas por parte de los asociados, las acciones tomadas de manera inmediata fue enviar nuevamente un mensaje indicando el error humano.
(tabla)
Las oportunidades de mejora están orientadas al autocontrol, revisar adecuadamente la segmentación de las bases de datos que se van a cargar a las plataformas para envío de mensajería.
Costo de cada mensaje: 5,702,270.17 valor de un paquete de 1000,100 mensajes (costo estimado $5,70) valor tomado de factura Masivian Radicado 20228000046052.
Precio pérdida estimado:  $ 24.380,47 de 4276 mensajes.
Acciones
Reenviar mensaje de texto inmediatamente  a los asociados aclarando el error y solicitando disculpas (Jefe de Comunicaciones)
</v>
      </c>
      <c r="U63" s="49">
        <f>VLOOKUP(Tabla15[[#This Row],[N° 
Evento]],'Eventos de riesgos'!B:I,8,0)</f>
        <v>24380</v>
      </c>
      <c r="V63" s="49">
        <f>VLOOKUP(Tabla15[[#This Row],[N° 
Evento]],'Eventos de riesgos'!B:J,9,0)</f>
        <v>0</v>
      </c>
      <c r="W63" s="49">
        <f>VLOOKUP(Tabla15[[#This Row],[N° 
Evento]],'Eventos de riesgos'!B:K,10,0)</f>
        <v>0</v>
      </c>
      <c r="X63" s="44" t="str">
        <f>VLOOKUP(Tabla15[[#This Row],[N° 
Evento]],'Eventos de riesgos'!B:L,11,0)</f>
        <v>7 - Ejecución y Administración de Procesos</v>
      </c>
      <c r="Y63" s="44" t="str">
        <f>VLOOKUP(Tabla15[[#This Row],[N° 
Evento]],'Eventos de riesgos'!B:M,12,0)</f>
        <v>71 - Recepción, Ejecución y Mantenimiento de Operaciones</v>
      </c>
      <c r="Z63" s="44" t="str">
        <f>VLOOKUP(Tabla15[[#This Row],[N° 
Evento]],'Eventos de riesgos'!B:N,13,0)</f>
        <v>717 - Problema en el Mantenimiento de Datos de Referencia</v>
      </c>
      <c r="AA63" s="44" t="str">
        <f>+VLOOKUP(Tabla15[[#This Row],[N° 
Evento]],'Eventos de riesgos'!$B$1:$AA$87,23,0)</f>
        <v>Error mensajes masivos</v>
      </c>
      <c r="AB63" s="43" t="str">
        <f>VLOOKUP(Tabla15[[#This Row],[N° 
Evento]],'Eventos de riesgos'!B:O,14,0)</f>
        <v>Ninguna</v>
      </c>
      <c r="AC63" s="48">
        <f>VLOOKUP(Tabla15[[#This Row],[N° 
Evento]],'Eventos de riesgos'!B:P,15,0)</f>
        <v>44865</v>
      </c>
      <c r="AD63" s="43" t="str">
        <f>VLOOKUP(Tabla15[[#This Row],[N° 
Evento]],'Eventos de riesgos'!B:Q,16,0)</f>
        <v>Ninguno</v>
      </c>
      <c r="AE63" s="43" t="str">
        <f>VLOOKUP(Tabla15[[#This Row],[N° 
Evento]],'Eventos de riesgos'!B:R,17,0)</f>
        <v>Mensajería de texto (SMS)</v>
      </c>
      <c r="AF63" s="45" t="str">
        <f>VLOOKUP(Tabla15[[#This Row],[N° 
Evento]],'Eventos de riesgos'!B:V,21,0)</f>
        <v>Aprobado</v>
      </c>
      <c r="AG63" s="44" t="str">
        <f>VLOOKUP(Tabla15[[#This Row],[N° 
Evento]],'Eventos de riesgos'!B:W,22,0)</f>
        <v>27/10/2022 09:13:09: Pendiente corregir proceso
27/10/2022 09:22:55: Se agrega propuesta de acción de mejora
08/11/2022 15:45:10: Se agrega valor estimado de la pérdida</v>
      </c>
    </row>
    <row r="64" spans="3:33" ht="59" customHeight="1" x14ac:dyDescent="0.55000000000000004">
      <c r="C64" s="43" t="str">
        <f>+Tabla15[[#This Row],[N° 
Evento]]&amp;"-"&amp;Tabla15[[#This Row],[N° Tarea]]</f>
        <v>30-1</v>
      </c>
      <c r="D64" s="43">
        <v>30</v>
      </c>
      <c r="E64" s="43">
        <v>1</v>
      </c>
      <c r="F64" s="44" t="s">
        <v>282</v>
      </c>
      <c r="G64" s="44" t="s">
        <v>1052</v>
      </c>
      <c r="H64" s="44" t="s">
        <v>215</v>
      </c>
      <c r="I64" s="45" t="s">
        <v>91</v>
      </c>
      <c r="J64" s="46">
        <v>44861</v>
      </c>
      <c r="K64" s="46">
        <v>44861</v>
      </c>
      <c r="L64" s="47" t="str">
        <f>IF(Tabla15[[#This Row],[Fecha de Finalización]]&gt;0,"Cerrada","En Proceso")</f>
        <v>Cerrada</v>
      </c>
      <c r="M64" s="43">
        <f t="shared" si="1"/>
        <v>0</v>
      </c>
      <c r="N64" s="44" t="s">
        <v>247</v>
      </c>
      <c r="O64" s="43">
        <f>VLOOKUP(Tabla15[[#This Row],[N° 
Evento]],'Eventos de riesgos'!B:C,2,0)</f>
        <v>2022</v>
      </c>
      <c r="P64" s="43" t="str">
        <f>VLOOKUP(Tabla15[[#This Row],[N° 
Evento]],'Eventos de riesgos'!B:D,3,0)</f>
        <v xml:space="preserve">Oct </v>
      </c>
      <c r="Q64" s="48">
        <f>VLOOKUP(Tabla15[[#This Row],[N° 
Evento]],'Eventos de riesgos'!B:E,4,0)</f>
        <v>44861.479861111111</v>
      </c>
      <c r="R64" s="48">
        <f>VLOOKUP(Tabla15[[#This Row],[N° 
Evento]],'Eventos de riesgos'!B:F,5,0)</f>
        <v>44861.479861111111</v>
      </c>
      <c r="S64" s="48">
        <f>VLOOKUP(Tabla15[[#This Row],[N° 
Evento]],'Eventos de riesgos'!B:G,6,0)</f>
        <v>44861.479861111111</v>
      </c>
      <c r="T64" s="62" t="str">
        <f>VLOOKUP(Tabla15[[#This Row],[N° 
Evento]],'Eventos de riesgos'!B:H,7,0)</f>
        <v xml:space="preserve">Caso
Los asociados manifiestan que no pueden hacer pagos mediante la Cooperativa Digital porque no está en funcionamiento, no permite ingresar. Esta falla es escalada a Wog mediante la Jefe de Operaciones Nataly Malagón.
(foto)
Wog se encuentra en proceso de validación - pendiente cierre de la novedadSe activa el servicio nuevamente
(foto)
Acciones
Reportar incidencia a Wog sobre las fallas presentadas en la Cooperativa Digital (Jefe de Operaciones)
Seguimiento a la incidencia hasta comprobar que funcione correctamente la Cooperativa Digital (Jefe de Operaciones)
</v>
      </c>
      <c r="U64" s="49">
        <f>VLOOKUP(Tabla15[[#This Row],[N° 
Evento]],'Eventos de riesgos'!B:I,8,0)</f>
        <v>0</v>
      </c>
      <c r="V64" s="49">
        <f>VLOOKUP(Tabla15[[#This Row],[N° 
Evento]],'Eventos de riesgos'!B:J,9,0)</f>
        <v>0</v>
      </c>
      <c r="W64" s="49">
        <f>VLOOKUP(Tabla15[[#This Row],[N° 
Evento]],'Eventos de riesgos'!B:K,10,0)</f>
        <v>0</v>
      </c>
      <c r="X64" s="44" t="str">
        <f>VLOOKUP(Tabla15[[#This Row],[N° 
Evento]],'Eventos de riesgos'!B:L,11,0)</f>
        <v>6 - Fallas Tecnologicas</v>
      </c>
      <c r="Y64" s="44" t="str">
        <f>VLOOKUP(Tabla15[[#This Row],[N° 
Evento]],'Eventos de riesgos'!B:M,12,0)</f>
        <v>61 - Sistemas</v>
      </c>
      <c r="Z64" s="44" t="str">
        <f>VLOOKUP(Tabla15[[#This Row],[N° 
Evento]],'Eventos de riesgos'!B:N,13,0)</f>
        <v>611 - Pérdida por Problemas en Software</v>
      </c>
      <c r="AA64" s="44" t="str">
        <f>+VLOOKUP(Tabla15[[#This Row],[N° 
Evento]],'Eventos de riesgos'!$B$1:$AA$87,23,0)</f>
        <v>Fallas Cooperativa Digital</v>
      </c>
      <c r="AB64" s="43" t="str">
        <f>VLOOKUP(Tabla15[[#This Row],[N° 
Evento]],'Eventos de riesgos'!B:O,14,0)</f>
        <v>Ninguna</v>
      </c>
      <c r="AC64" s="48">
        <f>VLOOKUP(Tabla15[[#This Row],[N° 
Evento]],'Eventos de riesgos'!B:P,15,0)</f>
        <v>44865</v>
      </c>
      <c r="AD64" s="43" t="str">
        <f>VLOOKUP(Tabla15[[#This Row],[N° 
Evento]],'Eventos de riesgos'!B:Q,16,0)</f>
        <v>Varios tipos de crédito</v>
      </c>
      <c r="AE64" s="43" t="str">
        <f>VLOOKUP(Tabla15[[#This Row],[N° 
Evento]],'Eventos de riesgos'!B:R,17,0)</f>
        <v>Cooperativa Digital</v>
      </c>
      <c r="AF64" s="45" t="str">
        <f>VLOOKUP(Tabla15[[#This Row],[N° 
Evento]],'Eventos de riesgos'!B:V,21,0)</f>
        <v>Aprobado</v>
      </c>
      <c r="AG64" s="44" t="str">
        <f>VLOOKUP(Tabla15[[#This Row],[N° 
Evento]],'Eventos de riesgos'!B:W,22,0)</f>
        <v>27/10/2022 11:32:36: Pendiente cambio de proceso afectado por configuración del sistema
27/10/2022 11:36:14: Cargue de seguimiento WOG
27/10/2022 11:53:27: Cierre de la falla operativa
27/10/2022 11:56:07: Cambio de canal afectado a Cooperativa Digital</v>
      </c>
    </row>
    <row r="65" spans="3:33" ht="59" customHeight="1" x14ac:dyDescent="0.55000000000000004">
      <c r="C65" s="43" t="str">
        <f>+Tabla15[[#This Row],[N° 
Evento]]&amp;"-"&amp;Tabla15[[#This Row],[N° Tarea]]</f>
        <v>30-2</v>
      </c>
      <c r="D65" s="43">
        <v>30</v>
      </c>
      <c r="E65" s="43">
        <v>2</v>
      </c>
      <c r="F65" s="44" t="s">
        <v>283</v>
      </c>
      <c r="G65" s="44" t="s">
        <v>1052</v>
      </c>
      <c r="H65" s="44" t="s">
        <v>215</v>
      </c>
      <c r="I65" s="45" t="s">
        <v>91</v>
      </c>
      <c r="J65" s="46">
        <v>44861</v>
      </c>
      <c r="K65" s="46">
        <v>44861</v>
      </c>
      <c r="L65" s="47" t="str">
        <f>IF(Tabla15[[#This Row],[Fecha de Finalización]]&gt;0,"Cerrada","En Proceso")</f>
        <v>Cerrada</v>
      </c>
      <c r="M65" s="43">
        <f t="shared" si="1"/>
        <v>0</v>
      </c>
      <c r="N65" s="44" t="s">
        <v>247</v>
      </c>
      <c r="O65" s="43">
        <f>VLOOKUP(Tabla15[[#This Row],[N° 
Evento]],'Eventos de riesgos'!B:C,2,0)</f>
        <v>2022</v>
      </c>
      <c r="P65" s="43" t="str">
        <f>VLOOKUP(Tabla15[[#This Row],[N° 
Evento]],'Eventos de riesgos'!B:D,3,0)</f>
        <v xml:space="preserve">Oct </v>
      </c>
      <c r="Q65" s="48">
        <f>VLOOKUP(Tabla15[[#This Row],[N° 
Evento]],'Eventos de riesgos'!B:E,4,0)</f>
        <v>44861.479861111111</v>
      </c>
      <c r="R65" s="48">
        <f>VLOOKUP(Tabla15[[#This Row],[N° 
Evento]],'Eventos de riesgos'!B:F,5,0)</f>
        <v>44861.479861111111</v>
      </c>
      <c r="S65" s="48">
        <f>VLOOKUP(Tabla15[[#This Row],[N° 
Evento]],'Eventos de riesgos'!B:G,6,0)</f>
        <v>44861.479861111111</v>
      </c>
      <c r="T65" s="62" t="str">
        <f>VLOOKUP(Tabla15[[#This Row],[N° 
Evento]],'Eventos de riesgos'!B:H,7,0)</f>
        <v xml:space="preserve">Caso
Los asociados manifiestan que no pueden hacer pagos mediante la Cooperativa Digital porque no está en funcionamiento, no permite ingresar. Esta falla es escalada a Wog mediante la Jefe de Operaciones Nataly Malagón.
(foto)
Wog se encuentra en proceso de validación - pendiente cierre de la novedadSe activa el servicio nuevamente
(foto)
Acciones
Reportar incidencia a Wog sobre las fallas presentadas en la Cooperativa Digital (Jefe de Operaciones)
Seguimiento a la incidencia hasta comprobar que funcione correctamente la Cooperativa Digital (Jefe de Operaciones)
</v>
      </c>
      <c r="U65" s="49">
        <f>VLOOKUP(Tabla15[[#This Row],[N° 
Evento]],'Eventos de riesgos'!B:I,8,0)</f>
        <v>0</v>
      </c>
      <c r="V65" s="49">
        <f>VLOOKUP(Tabla15[[#This Row],[N° 
Evento]],'Eventos de riesgos'!B:J,9,0)</f>
        <v>0</v>
      </c>
      <c r="W65" s="49">
        <f>VLOOKUP(Tabla15[[#This Row],[N° 
Evento]],'Eventos de riesgos'!B:K,10,0)</f>
        <v>0</v>
      </c>
      <c r="X65" s="44" t="str">
        <f>VLOOKUP(Tabla15[[#This Row],[N° 
Evento]],'Eventos de riesgos'!B:L,11,0)</f>
        <v>6 - Fallas Tecnologicas</v>
      </c>
      <c r="Y65" s="44" t="str">
        <f>VLOOKUP(Tabla15[[#This Row],[N° 
Evento]],'Eventos de riesgos'!B:M,12,0)</f>
        <v>61 - Sistemas</v>
      </c>
      <c r="Z65" s="44" t="str">
        <f>VLOOKUP(Tabla15[[#This Row],[N° 
Evento]],'Eventos de riesgos'!B:N,13,0)</f>
        <v>611 - Pérdida por Problemas en Software</v>
      </c>
      <c r="AA65" s="44" t="str">
        <f>+VLOOKUP(Tabla15[[#This Row],[N° 
Evento]],'Eventos de riesgos'!$B$1:$AA$87,23,0)</f>
        <v>Fallas Cooperativa Digital</v>
      </c>
      <c r="AB65" s="43" t="str">
        <f>VLOOKUP(Tabla15[[#This Row],[N° 
Evento]],'Eventos de riesgos'!B:O,14,0)</f>
        <v>Ninguna</v>
      </c>
      <c r="AC65" s="48">
        <f>VLOOKUP(Tabla15[[#This Row],[N° 
Evento]],'Eventos de riesgos'!B:P,15,0)</f>
        <v>44865</v>
      </c>
      <c r="AD65" s="43" t="str">
        <f>VLOOKUP(Tabla15[[#This Row],[N° 
Evento]],'Eventos de riesgos'!B:Q,16,0)</f>
        <v>Varios tipos de crédito</v>
      </c>
      <c r="AE65" s="43" t="str">
        <f>VLOOKUP(Tabla15[[#This Row],[N° 
Evento]],'Eventos de riesgos'!B:R,17,0)</f>
        <v>Cooperativa Digital</v>
      </c>
      <c r="AF65" s="45" t="str">
        <f>VLOOKUP(Tabla15[[#This Row],[N° 
Evento]],'Eventos de riesgos'!B:V,21,0)</f>
        <v>Aprobado</v>
      </c>
      <c r="AG65" s="44" t="str">
        <f>VLOOKUP(Tabla15[[#This Row],[N° 
Evento]],'Eventos de riesgos'!B:W,22,0)</f>
        <v>27/10/2022 11:32:36: Pendiente cambio de proceso afectado por configuración del sistema
27/10/2022 11:36:14: Cargue de seguimiento WOG
27/10/2022 11:53:27: Cierre de la falla operativa
27/10/2022 11:56:07: Cambio de canal afectado a Cooperativa Digital</v>
      </c>
    </row>
    <row r="66" spans="3:33" ht="59" customHeight="1" x14ac:dyDescent="0.55000000000000004">
      <c r="C66" s="43" t="str">
        <f>+Tabla15[[#This Row],[N° 
Evento]]&amp;"-"&amp;Tabla15[[#This Row],[N° Tarea]]</f>
        <v>31-1</v>
      </c>
      <c r="D66" s="43">
        <v>31</v>
      </c>
      <c r="E66" s="43">
        <v>1</v>
      </c>
      <c r="F66" s="44" t="s">
        <v>296</v>
      </c>
      <c r="G66" s="44" t="s">
        <v>1052</v>
      </c>
      <c r="H66" s="44" t="s">
        <v>233</v>
      </c>
      <c r="I66" s="45" t="s">
        <v>240</v>
      </c>
      <c r="J66" s="46">
        <v>44893</v>
      </c>
      <c r="K66" s="46">
        <v>44895</v>
      </c>
      <c r="L66" s="47" t="str">
        <f>IF(Tabla15[[#This Row],[Fecha de Finalización]]&gt;0,"Cerrada","En Proceso")</f>
        <v>Cerrada</v>
      </c>
      <c r="M66" s="43">
        <f t="shared" si="1"/>
        <v>2</v>
      </c>
      <c r="N66" s="44" t="s">
        <v>247</v>
      </c>
      <c r="O66" s="43">
        <f>VLOOKUP(Tabla15[[#This Row],[N° 
Evento]],'Eventos de riesgos'!B:C,2,0)</f>
        <v>2022</v>
      </c>
      <c r="P66" s="43" t="str">
        <f>VLOOKUP(Tabla15[[#This Row],[N° 
Evento]],'Eventos de riesgos'!B:D,3,0)</f>
        <v>Nov</v>
      </c>
      <c r="Q66" s="48">
        <f>VLOOKUP(Tabla15[[#This Row],[N° 
Evento]],'Eventos de riesgos'!B:E,4,0)</f>
        <v>44893.53402777778</v>
      </c>
      <c r="R66" s="48">
        <f>VLOOKUP(Tabla15[[#This Row],[N° 
Evento]],'Eventos de riesgos'!B:F,5,0)</f>
        <v>44893.53402777778</v>
      </c>
      <c r="S66" s="48">
        <f>VLOOKUP(Tabla15[[#This Row],[N° 
Evento]],'Eventos de riesgos'!B:G,6,0)</f>
        <v>44895.53402777778</v>
      </c>
      <c r="T66" s="62" t="str">
        <f>VLOOKUP(Tabla15[[#This Row],[N° 
Evento]],'Eventos de riesgos'!B:H,7,0)</f>
        <v>Caso
Se recibió el retiro del asociado Helena Castro de Caicedo con CC 28.505.906 a razón del fallecimiento 10 de septiembre de 2022, cuya reclamación a la aseguradora fue aprobada a Febor el día 25 de noviembre, en el momento que se estaban realizando las validaciones correspondientes se evidencia que el día 28 de noviembre de 2022 se realizo un retiro de la cuenta del ahorro voluntario por valor de $1.143.000 a través de la cooperativa digital a la cuenta de Carmen Analida Caicedo Castro quien se encontraba inscrita como tercero de asociado fallecido. Por lo cual se evidencia que hay una suplantación de identidad y se conocían las credenciales de ingreso a la cooperativa digital con las cuales se realizo el fraude al asociado Q.E.P.D. 
Acciones
Trámite jurídico, contacto con los familiares titulares (Jefe Jurídico)
Modificación de procedimiento de retiro de asociados por fallecimiento,  para analizar bloqueo de credenciales de asociados fallecidos para evitar transferencias de terceros por medio de la Cooperativa Digital.(Jefe de Operaciones) </v>
      </c>
      <c r="U66" s="49">
        <f>VLOOKUP(Tabla15[[#This Row],[N° 
Evento]],'Eventos de riesgos'!B:I,8,0)</f>
        <v>1143000</v>
      </c>
      <c r="V66" s="49">
        <f>VLOOKUP(Tabla15[[#This Row],[N° 
Evento]],'Eventos de riesgos'!B:J,9,0)</f>
        <v>0</v>
      </c>
      <c r="W66" s="49">
        <f>VLOOKUP(Tabla15[[#This Row],[N° 
Evento]],'Eventos de riesgos'!B:K,10,0)</f>
        <v>0</v>
      </c>
      <c r="X66" s="44" t="str">
        <f>VLOOKUP(Tabla15[[#This Row],[N° 
Evento]],'Eventos de riesgos'!B:L,11,0)</f>
        <v>1 - Fraude Interno</v>
      </c>
      <c r="Y66" s="44" t="str">
        <f>VLOOKUP(Tabla15[[#This Row],[N° 
Evento]],'Eventos de riesgos'!B:M,12,0)</f>
        <v>11 - Actividades No Autorizadas</v>
      </c>
      <c r="Z66" s="44" t="str">
        <f>VLOOKUP(Tabla15[[#This Row],[N° 
Evento]],'Eventos de riesgos'!B:N,13,0)</f>
        <v>111 - Operaciones No Reveladas Intencionalmente</v>
      </c>
      <c r="AA66" s="44" t="str">
        <f>+VLOOKUP(Tabla15[[#This Row],[N° 
Evento]],'Eventos de riesgos'!$B$1:$AA$87,23,0)</f>
        <v>Retiro de ahorro de asociado fallecido</v>
      </c>
      <c r="AB66" s="43" t="str">
        <f>VLOOKUP(Tabla15[[#This Row],[N° 
Evento]],'Eventos de riesgos'!B:O,14,0)</f>
        <v>Ninguna</v>
      </c>
      <c r="AC66" s="48">
        <f>VLOOKUP(Tabla15[[#This Row],[N° 
Evento]],'Eventos de riesgos'!B:P,15,0)</f>
        <v>44895</v>
      </c>
      <c r="AD66" s="43" t="str">
        <f>VLOOKUP(Tabla15[[#This Row],[N° 
Evento]],'Eventos de riesgos'!B:Q,16,0)</f>
        <v>Ahorros voluntarios</v>
      </c>
      <c r="AE66" s="43" t="str">
        <f>VLOOKUP(Tabla15[[#This Row],[N° 
Evento]],'Eventos de riesgos'!B:R,17,0)</f>
        <v>Cooperativa Digital</v>
      </c>
      <c r="AF66" s="45" t="str">
        <f>VLOOKUP(Tabla15[[#This Row],[N° 
Evento]],'Eventos de riesgos'!B:V,21,0)</f>
        <v>Aprobado</v>
      </c>
      <c r="AG66" s="44">
        <f>VLOOKUP(Tabla15[[#This Row],[N° 
Evento]],'Eventos de riesgos'!B:W,22,0)</f>
        <v>0</v>
      </c>
    </row>
    <row r="67" spans="3:33" ht="59" customHeight="1" x14ac:dyDescent="0.55000000000000004">
      <c r="C67" s="43" t="str">
        <f>+Tabla15[[#This Row],[N° 
Evento]]&amp;"-"&amp;Tabla15[[#This Row],[N° Tarea]]</f>
        <v>31-2</v>
      </c>
      <c r="D67" s="43">
        <v>31</v>
      </c>
      <c r="E67" s="43">
        <v>2</v>
      </c>
      <c r="F67" s="44" t="s">
        <v>297</v>
      </c>
      <c r="G67" s="44" t="s">
        <v>1052</v>
      </c>
      <c r="H67" s="44" t="s">
        <v>215</v>
      </c>
      <c r="I67" s="45" t="s">
        <v>91</v>
      </c>
      <c r="J67" s="46">
        <v>44893</v>
      </c>
      <c r="K67" s="46">
        <v>45040</v>
      </c>
      <c r="L67" s="47" t="str">
        <f>IF(Tabla15[[#This Row],[Fecha de Finalización]]&gt;0,"Cerrada","En Proceso")</f>
        <v>Cerrada</v>
      </c>
      <c r="M67" s="43">
        <f t="shared" si="1"/>
        <v>147</v>
      </c>
      <c r="N67" s="44" t="s">
        <v>298</v>
      </c>
      <c r="O67" s="43">
        <f>VLOOKUP(Tabla15[[#This Row],[N° 
Evento]],'Eventos de riesgos'!B:C,2,0)</f>
        <v>2022</v>
      </c>
      <c r="P67" s="43" t="str">
        <f>VLOOKUP(Tabla15[[#This Row],[N° 
Evento]],'Eventos de riesgos'!B:D,3,0)</f>
        <v>Nov</v>
      </c>
      <c r="Q67" s="48">
        <f>VLOOKUP(Tabla15[[#This Row],[N° 
Evento]],'Eventos de riesgos'!B:E,4,0)</f>
        <v>44893.53402777778</v>
      </c>
      <c r="R67" s="48">
        <f>VLOOKUP(Tabla15[[#This Row],[N° 
Evento]],'Eventos de riesgos'!B:F,5,0)</f>
        <v>44893.53402777778</v>
      </c>
      <c r="S67" s="48">
        <f>VLOOKUP(Tabla15[[#This Row],[N° 
Evento]],'Eventos de riesgos'!B:G,6,0)</f>
        <v>44895.53402777778</v>
      </c>
      <c r="T67" s="62" t="str">
        <f>VLOOKUP(Tabla15[[#This Row],[N° 
Evento]],'Eventos de riesgos'!B:H,7,0)</f>
        <v>Caso
Se recibió el retiro del asociado Helena Castro de Caicedo con CC 28.505.906 a razón del fallecimiento 10 de septiembre de 2022, cuya reclamación a la aseguradora fue aprobada a Febor el día 25 de noviembre, en el momento que se estaban realizando las validaciones correspondientes se evidencia que el día 28 de noviembre de 2022 se realizo un retiro de la cuenta del ahorro voluntario por valor de $1.143.000 a través de la cooperativa digital a la cuenta de Carmen Analida Caicedo Castro quien se encontraba inscrita como tercero de asociado fallecido. Por lo cual se evidencia que hay una suplantación de identidad y se conocían las credenciales de ingreso a la cooperativa digital con las cuales se realizo el fraude al asociado Q.E.P.D. 
Acciones
Trámite jurídico, contacto con los familiares titulares (Jefe Jurídico)
Modificación de procedimiento de retiro de asociados por fallecimiento,  para analizar bloqueo de credenciales de asociados fallecidos para evitar transferencias de terceros por medio de la Cooperativa Digital.(Jefe de Operaciones) </v>
      </c>
      <c r="U67" s="49">
        <f>VLOOKUP(Tabla15[[#This Row],[N° 
Evento]],'Eventos de riesgos'!B:I,8,0)</f>
        <v>1143000</v>
      </c>
      <c r="V67" s="49">
        <f>VLOOKUP(Tabla15[[#This Row],[N° 
Evento]],'Eventos de riesgos'!B:J,9,0)</f>
        <v>0</v>
      </c>
      <c r="W67" s="49">
        <f>VLOOKUP(Tabla15[[#This Row],[N° 
Evento]],'Eventos de riesgos'!B:K,10,0)</f>
        <v>0</v>
      </c>
      <c r="X67" s="44" t="str">
        <f>VLOOKUP(Tabla15[[#This Row],[N° 
Evento]],'Eventos de riesgos'!B:L,11,0)</f>
        <v>1 - Fraude Interno</v>
      </c>
      <c r="Y67" s="44" t="str">
        <f>VLOOKUP(Tabla15[[#This Row],[N° 
Evento]],'Eventos de riesgos'!B:M,12,0)</f>
        <v>11 - Actividades No Autorizadas</v>
      </c>
      <c r="Z67" s="44" t="str">
        <f>VLOOKUP(Tabla15[[#This Row],[N° 
Evento]],'Eventos de riesgos'!B:N,13,0)</f>
        <v>111 - Operaciones No Reveladas Intencionalmente</v>
      </c>
      <c r="AA67" s="44" t="str">
        <f>+VLOOKUP(Tabla15[[#This Row],[N° 
Evento]],'Eventos de riesgos'!$B$1:$AA$87,23,0)</f>
        <v>Retiro de ahorro de asociado fallecido</v>
      </c>
      <c r="AB67" s="43" t="str">
        <f>VLOOKUP(Tabla15[[#This Row],[N° 
Evento]],'Eventos de riesgos'!B:O,14,0)</f>
        <v>Ninguna</v>
      </c>
      <c r="AC67" s="48">
        <f>VLOOKUP(Tabla15[[#This Row],[N° 
Evento]],'Eventos de riesgos'!B:P,15,0)</f>
        <v>44895</v>
      </c>
      <c r="AD67" s="43" t="str">
        <f>VLOOKUP(Tabla15[[#This Row],[N° 
Evento]],'Eventos de riesgos'!B:Q,16,0)</f>
        <v>Ahorros voluntarios</v>
      </c>
      <c r="AE67" s="43" t="str">
        <f>VLOOKUP(Tabla15[[#This Row],[N° 
Evento]],'Eventos de riesgos'!B:R,17,0)</f>
        <v>Cooperativa Digital</v>
      </c>
      <c r="AF67" s="45" t="str">
        <f>VLOOKUP(Tabla15[[#This Row],[N° 
Evento]],'Eventos de riesgos'!B:V,21,0)</f>
        <v>Aprobado</v>
      </c>
      <c r="AG67" s="44">
        <f>VLOOKUP(Tabla15[[#This Row],[N° 
Evento]],'Eventos de riesgos'!B:W,22,0)</f>
        <v>0</v>
      </c>
    </row>
    <row r="68" spans="3:33" ht="59" customHeight="1" x14ac:dyDescent="0.55000000000000004">
      <c r="C68" s="43" t="str">
        <f>+Tabla15[[#This Row],[N° 
Evento]]&amp;"-"&amp;Tabla15[[#This Row],[N° Tarea]]</f>
        <v>32-1</v>
      </c>
      <c r="D68" s="43">
        <v>32</v>
      </c>
      <c r="E68" s="43">
        <v>1</v>
      </c>
      <c r="F68" s="44" t="s">
        <v>299</v>
      </c>
      <c r="G68" s="44" t="s">
        <v>1052</v>
      </c>
      <c r="H68" s="44" t="s">
        <v>215</v>
      </c>
      <c r="I68" s="45" t="s">
        <v>91</v>
      </c>
      <c r="J68" s="46">
        <v>44894</v>
      </c>
      <c r="K68" s="46">
        <v>44894</v>
      </c>
      <c r="L68" s="47" t="str">
        <f>IF(Tabla15[[#This Row],[Fecha de Finalización]]&gt;0,"Cerrada","En Proceso")</f>
        <v>Cerrada</v>
      </c>
      <c r="M68" s="43">
        <f t="shared" si="1"/>
        <v>0</v>
      </c>
      <c r="N68" s="44" t="s">
        <v>247</v>
      </c>
      <c r="O68" s="43">
        <f>VLOOKUP(Tabla15[[#This Row],[N° 
Evento]],'Eventos de riesgos'!B:C,2,0)</f>
        <v>2022</v>
      </c>
      <c r="P68" s="43" t="str">
        <f>VLOOKUP(Tabla15[[#This Row],[N° 
Evento]],'Eventos de riesgos'!B:D,3,0)</f>
        <v>Nov</v>
      </c>
      <c r="Q68" s="48">
        <f>VLOOKUP(Tabla15[[#This Row],[N° 
Evento]],'Eventos de riesgos'!B:E,4,0)</f>
        <v>44893.517361111109</v>
      </c>
      <c r="R68" s="48">
        <f>VLOOKUP(Tabla15[[#This Row],[N° 
Evento]],'Eventos de riesgos'!B:F,5,0)</f>
        <v>44894.518055555556</v>
      </c>
      <c r="S68" s="48">
        <f>VLOOKUP(Tabla15[[#This Row],[N° 
Evento]],'Eventos de riesgos'!B:G,6,0)</f>
        <v>44894.518055555556</v>
      </c>
      <c r="T68" s="62" t="str">
        <f>VLOOKUP(Tabla15[[#This Row],[N° 
Evento]],'Eventos de riesgos'!B:H,7,0)</f>
        <v>Caso
El día 29 de noviembre el asociado Guillermo de comunicó a través del PBX sobre el medio día, informando que en la madrugada de ese mismo día se comunicaron de Coopcentral a confirmar si estaba realizando unas transferencias por 2 millones de pesos, donde el informó que no era él y de inmediato el banco le confirma el bloqueo de la cuenta. El banco le comenta que debe comunicarse con la cooperativa, al yo recibir la solicitud me acerque al área operativa para verificar la información y poderle brindar una respuesta al asociado el cual yo le informe que no se habían realizado las transferencias pero luego de realizar una verificación de movimientos se pudo corroborar que si se habían realizado dos retiros, le informe que monto tenía actualmente que correspondía a 800 mil pesos, efectivamente verificando Coopcentral había enviado un correo de aviso del fraude que se había evidenciado del asociado, le pregunté a Nataly jefe del área operativa que como podía manejar este caso en donde me responde que se va a reportar al banco para realizar seguimiento del caso y adicional que tocaba esperar la respuesta de ellos, luego el asociado me informo que precisamente el día de ayer (28 de noviembre) se había comunicado con una asesora de Febor para realizar el cambio de clave, le pregunte que si recordaba el nombre informando que no que le diera los nombres de mis compañeras y llegó a la conclusión de que lo atendió Laura Camila, y le realice varias preguntas sobre cómo había procedido Camila con el cambio de clave en donde me comenta que no recuerda si realizo el cambio de clave o le dejó la que ella le asignó, de igual manera le pregunte de que número se había comunicado el día anterior para poder buscar la conversación pero como se comunicó del teléfono del banco le informe que era un poco más complicado buscar dicha conversación pero que sin embargo íbamos a ponernos en la tarea de tratar de solucionar lo más pronto posible el inconveniente.
Acciones
Reconocimiento del dinero al asociado de manera inmediata para no generar mal malestar y mala imagen hacia Febor
Tramitar con la aseguradora y Coopcentral para el retorno del dinero a Febor.
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v>
      </c>
      <c r="U68" s="49">
        <f>VLOOKUP(Tabla15[[#This Row],[N° 
Evento]],'Eventos de riesgos'!B:I,8,0)</f>
        <v>4000000</v>
      </c>
      <c r="V68" s="49">
        <f>VLOOKUP(Tabla15[[#This Row],[N° 
Evento]],'Eventos de riesgos'!B:J,9,0)</f>
        <v>0</v>
      </c>
      <c r="W68" s="49">
        <f>VLOOKUP(Tabla15[[#This Row],[N° 
Evento]],'Eventos de riesgos'!B:K,10,0)</f>
        <v>0</v>
      </c>
      <c r="X68" s="44" t="str">
        <f>VLOOKUP(Tabla15[[#This Row],[N° 
Evento]],'Eventos de riesgos'!B:L,11,0)</f>
        <v>2 - Fraude Externo</v>
      </c>
      <c r="Y68" s="44" t="str">
        <f>VLOOKUP(Tabla15[[#This Row],[N° 
Evento]],'Eventos de riesgos'!B:M,12,0)</f>
        <v>22 - Hurto y Fraude</v>
      </c>
      <c r="Z68" s="44" t="str">
        <f>VLOOKUP(Tabla15[[#This Row],[N° 
Evento]],'Eventos de riesgos'!B:N,13,0)</f>
        <v>221 - Robo o Hurto</v>
      </c>
      <c r="AA68" s="44" t="str">
        <f>+VLOOKUP(Tabla15[[#This Row],[N° 
Evento]],'Eventos de riesgos'!$B$1:$AA$87,23,0)</f>
        <v>Suplantacion de Identidad y robo a asociados</v>
      </c>
      <c r="AB68" s="43" t="str">
        <f>VLOOKUP(Tabla15[[#This Row],[N° 
Evento]],'Eventos de riesgos'!B:O,14,0)</f>
        <v>Ninguna</v>
      </c>
      <c r="AC68" s="48">
        <f>VLOOKUP(Tabla15[[#This Row],[N° 
Evento]],'Eventos de riesgos'!B:P,15,0)</f>
        <v>44895</v>
      </c>
      <c r="AD68" s="43" t="str">
        <f>VLOOKUP(Tabla15[[#This Row],[N° 
Evento]],'Eventos de riesgos'!B:Q,16,0)</f>
        <v>Ahorros voluntarios</v>
      </c>
      <c r="AE68" s="43" t="str">
        <f>VLOOKUP(Tabla15[[#This Row],[N° 
Evento]],'Eventos de riesgos'!B:R,17,0)</f>
        <v>Comunicación por PBX</v>
      </c>
      <c r="AF68" s="45" t="str">
        <f>VLOOKUP(Tabla15[[#This Row],[N° 
Evento]],'Eventos de riesgos'!B:V,21,0)</f>
        <v>Aprobado</v>
      </c>
      <c r="AG68" s="44">
        <f>VLOOKUP(Tabla15[[#This Row],[N° 
Evento]],'Eventos de riesgos'!B:W,22,0)</f>
        <v>0</v>
      </c>
    </row>
    <row r="69" spans="3:33" ht="59" customHeight="1" x14ac:dyDescent="0.55000000000000004">
      <c r="C69" s="43" t="str">
        <f>+Tabla15[[#This Row],[N° 
Evento]]&amp;"-"&amp;Tabla15[[#This Row],[N° Tarea]]</f>
        <v>32-2</v>
      </c>
      <c r="D69" s="43">
        <v>32</v>
      </c>
      <c r="E69" s="43">
        <v>2</v>
      </c>
      <c r="F69" s="44" t="s">
        <v>300</v>
      </c>
      <c r="G69" s="44" t="s">
        <v>1052</v>
      </c>
      <c r="H69" s="44" t="s">
        <v>233</v>
      </c>
      <c r="I69" s="45" t="s">
        <v>240</v>
      </c>
      <c r="J69" s="46">
        <v>44894</v>
      </c>
      <c r="K69" s="46">
        <v>45183</v>
      </c>
      <c r="L69" s="47" t="str">
        <f>IF(Tabla15[[#This Row],[Fecha de Finalización]]&gt;0,"Cerrada","En Proceso")</f>
        <v>Cerrada</v>
      </c>
      <c r="M69" s="43">
        <f t="shared" si="1"/>
        <v>289</v>
      </c>
      <c r="N69" s="44" t="s">
        <v>301</v>
      </c>
      <c r="O69" s="43">
        <f>VLOOKUP(Tabla15[[#This Row],[N° 
Evento]],'Eventos de riesgos'!B:C,2,0)</f>
        <v>2022</v>
      </c>
      <c r="P69" s="43" t="str">
        <f>VLOOKUP(Tabla15[[#This Row],[N° 
Evento]],'Eventos de riesgos'!B:D,3,0)</f>
        <v>Nov</v>
      </c>
      <c r="Q69" s="48">
        <f>VLOOKUP(Tabla15[[#This Row],[N° 
Evento]],'Eventos de riesgos'!B:E,4,0)</f>
        <v>44893.517361111109</v>
      </c>
      <c r="R69" s="48">
        <f>VLOOKUP(Tabla15[[#This Row],[N° 
Evento]],'Eventos de riesgos'!B:F,5,0)</f>
        <v>44894.518055555556</v>
      </c>
      <c r="S69" s="48">
        <f>VLOOKUP(Tabla15[[#This Row],[N° 
Evento]],'Eventos de riesgos'!B:G,6,0)</f>
        <v>44894.518055555556</v>
      </c>
      <c r="T69" s="62" t="str">
        <f>VLOOKUP(Tabla15[[#This Row],[N° 
Evento]],'Eventos de riesgos'!B:H,7,0)</f>
        <v>Caso
El día 29 de noviembre el asociado Guillermo de comunicó a través del PBX sobre el medio día, informando que en la madrugada de ese mismo día se comunicaron de Coopcentral a confirmar si estaba realizando unas transferencias por 2 millones de pesos, donde el informó que no era él y de inmediato el banco le confirma el bloqueo de la cuenta. El banco le comenta que debe comunicarse con la cooperativa, al yo recibir la solicitud me acerque al área operativa para verificar la información y poderle brindar una respuesta al asociado el cual yo le informe que no se habían realizado las transferencias pero luego de realizar una verificación de movimientos se pudo corroborar que si se habían realizado dos retiros, le informe que monto tenía actualmente que correspondía a 800 mil pesos, efectivamente verificando Coopcentral había enviado un correo de aviso del fraude que se había evidenciado del asociado, le pregunté a Nataly jefe del área operativa que como podía manejar este caso en donde me responde que se va a reportar al banco para realizar seguimiento del caso y adicional que tocaba esperar la respuesta de ellos, luego el asociado me informo que precisamente el día de ayer (28 de noviembre) se había comunicado con una asesora de Febor para realizar el cambio de clave, le pregunte que si recordaba el nombre informando que no que le diera los nombres de mis compañeras y llegó a la conclusión de que lo atendió Laura Camila, y le realice varias preguntas sobre cómo había procedido Camila con el cambio de clave en donde me comenta que no recuerda si realizo el cambio de clave o le dejó la que ella le asignó, de igual manera le pregunte de que número se había comunicado el día anterior para poder buscar la conversación pero como se comunicó del teléfono del banco le informe que era un poco más complicado buscar dicha conversación pero que sin embargo íbamos a ponernos en la tarea de tratar de solucionar lo más pronto posible el inconveniente.
Acciones
Reconocimiento del dinero al asociado de manera inmediata para no generar mal malestar y mala imagen hacia Febor
Tramitar con la aseguradora y Coopcentral para el retorno del dinero a Febor.
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v>
      </c>
      <c r="U69" s="49">
        <f>VLOOKUP(Tabla15[[#This Row],[N° 
Evento]],'Eventos de riesgos'!B:I,8,0)</f>
        <v>4000000</v>
      </c>
      <c r="V69" s="49">
        <f>VLOOKUP(Tabla15[[#This Row],[N° 
Evento]],'Eventos de riesgos'!B:J,9,0)</f>
        <v>0</v>
      </c>
      <c r="W69" s="49">
        <f>VLOOKUP(Tabla15[[#This Row],[N° 
Evento]],'Eventos de riesgos'!B:K,10,0)</f>
        <v>0</v>
      </c>
      <c r="X69" s="44" t="str">
        <f>VLOOKUP(Tabla15[[#This Row],[N° 
Evento]],'Eventos de riesgos'!B:L,11,0)</f>
        <v>2 - Fraude Externo</v>
      </c>
      <c r="Y69" s="44" t="str">
        <f>VLOOKUP(Tabla15[[#This Row],[N° 
Evento]],'Eventos de riesgos'!B:M,12,0)</f>
        <v>22 - Hurto y Fraude</v>
      </c>
      <c r="Z69" s="44" t="str">
        <f>VLOOKUP(Tabla15[[#This Row],[N° 
Evento]],'Eventos de riesgos'!B:N,13,0)</f>
        <v>221 - Robo o Hurto</v>
      </c>
      <c r="AA69" s="44" t="str">
        <f>+VLOOKUP(Tabla15[[#This Row],[N° 
Evento]],'Eventos de riesgos'!$B$1:$AA$87,23,0)</f>
        <v>Suplantacion de Identidad y robo a asociados</v>
      </c>
      <c r="AB69" s="43" t="str">
        <f>VLOOKUP(Tabla15[[#This Row],[N° 
Evento]],'Eventos de riesgos'!B:O,14,0)</f>
        <v>Ninguna</v>
      </c>
      <c r="AC69" s="48">
        <f>VLOOKUP(Tabla15[[#This Row],[N° 
Evento]],'Eventos de riesgos'!B:P,15,0)</f>
        <v>44895</v>
      </c>
      <c r="AD69" s="43" t="str">
        <f>VLOOKUP(Tabla15[[#This Row],[N° 
Evento]],'Eventos de riesgos'!B:Q,16,0)</f>
        <v>Ahorros voluntarios</v>
      </c>
      <c r="AE69" s="43" t="str">
        <f>VLOOKUP(Tabla15[[#This Row],[N° 
Evento]],'Eventos de riesgos'!B:R,17,0)</f>
        <v>Comunicación por PBX</v>
      </c>
      <c r="AF69" s="45" t="str">
        <f>VLOOKUP(Tabla15[[#This Row],[N° 
Evento]],'Eventos de riesgos'!B:V,21,0)</f>
        <v>Aprobado</v>
      </c>
      <c r="AG69" s="44">
        <f>VLOOKUP(Tabla15[[#This Row],[N° 
Evento]],'Eventos de riesgos'!B:W,22,0)</f>
        <v>0</v>
      </c>
    </row>
    <row r="70" spans="3:33" ht="59" customHeight="1" x14ac:dyDescent="0.55000000000000004">
      <c r="C70" s="43" t="str">
        <f>+Tabla15[[#This Row],[N° 
Evento]]&amp;"-"&amp;Tabla15[[#This Row],[N° Tarea]]</f>
        <v>33-1</v>
      </c>
      <c r="D70" s="43">
        <v>33</v>
      </c>
      <c r="E70" s="43">
        <v>1</v>
      </c>
      <c r="F70" s="44" t="s">
        <v>302</v>
      </c>
      <c r="G70" s="44" t="s">
        <v>1052</v>
      </c>
      <c r="H70" s="44" t="s">
        <v>233</v>
      </c>
      <c r="I70" s="45" t="s">
        <v>240</v>
      </c>
      <c r="J70" s="46">
        <v>44768</v>
      </c>
      <c r="K70" s="46">
        <v>44895</v>
      </c>
      <c r="L70" s="47" t="str">
        <f>IF(Tabla15[[#This Row],[Fecha de Finalización]]&gt;0,"Cerrada","En Proceso")</f>
        <v>Cerrada</v>
      </c>
      <c r="M70" s="43">
        <f t="shared" si="1"/>
        <v>127</v>
      </c>
      <c r="N70" s="44" t="s">
        <v>247</v>
      </c>
      <c r="O70" s="43">
        <f>VLOOKUP(Tabla15[[#This Row],[N° 
Evento]],'Eventos de riesgos'!B:C,2,0)</f>
        <v>2022</v>
      </c>
      <c r="P70" s="43" t="str">
        <f>VLOOKUP(Tabla15[[#This Row],[N° 
Evento]],'Eventos de riesgos'!B:D,3,0)</f>
        <v>Nov</v>
      </c>
      <c r="Q70" s="48">
        <f>VLOOKUP(Tabla15[[#This Row],[N° 
Evento]],'Eventos de riesgos'!B:E,4,0)</f>
        <v>44697.847222222219</v>
      </c>
      <c r="R70" s="48">
        <f>VLOOKUP(Tabla15[[#This Row],[N° 
Evento]],'Eventos de riesgos'!B:F,5,0)</f>
        <v>45133.847222222219</v>
      </c>
      <c r="S70" s="48">
        <f>VLOOKUP(Tabla15[[#This Row],[N° 
Evento]],'Eventos de riesgos'!B:G,6,0)</f>
        <v>44895.847222222219</v>
      </c>
      <c r="T70" s="62" t="str">
        <f>VLOOKUP(Tabla15[[#This Row],[N° 
Evento]],'Eventos de riesgos'!B:H,7,0)</f>
        <v>Caso
a)    El Crédito No. 1243992 fue desembolsado a la señora Carmen Valderrama de Borrero (QEPD), quien se identificaba con la Cédula de Ciudadanía No. 26612306, el 17 de diciembre del 2020 por cuantía de $65.000.000 pesos m/cte.
b)    Que, el pago del crédito en cita se difirió en 64 cuotas mensuales, con una Tasa Efectiva Anual (T.E.A) del 12,44% y su recaudo se estipuló mediante libranza o descuento directo por nómina.
c)    La señora Carmen Valderrama de Borrero falleció el 16 de mayo del 2022 en la ciudad de Neiva, hecho jurídico que consta en el Registro Civil de Defunción con Indicativo Serial No. 10697607 del 19 de mayo del 2022, expedido por la Notaría Segunda (02) del Círculo de Neiva.
d)    Que, a la fecha del deceso, la deudora tan solo pago 13 cuotas del crédito, quedando un saldo pendiente por pagar de $43.735.566 pesos m/cte.
e)    El 09 de junio del 2022 se formuló la reclamación del siniestro ante la Aseguradora La Equidad bajo el caso No. 133799.
f)     El 13 de junio del 2022, la Equidad Seguros O.C. comunicó a Febor que la indemnización fue definida y liquidada. De este modo, se elaboró una cuenta por cobrar por la suma de $43.735.566 a la Equidad Seguros y así proseguir con el pago de los ahorros a los herederos de la asociada.
g)    El 07 de julio del 2022, los herederos de la señora Carmen Valderrama de Borrero (QEPD) radicaron en Febor la reclamación del saldo acumulado en aportes, ahorros y depósitos a nombre de la difunta. La transacción a los herederos se llevó a cabo el 14 de julio del 2022 por el saldo evidenciado en el ahorro voluntario.
h)    El 26 de julio del 2022, La Equidad Seguros O.C. objetó parcialmente la reclamación por la suma de $23.735.566, toda vez que, al momento del fallecimiento, la asociada contaba con 91 años y, al interior de las condiciones de asegurabilidad de la póliza vida deudores AA002483, se estipuló que la cobertura para muerte, por cualquiera causa, de asociados mayores de 90 años, tendrá un límite de valor asegurado de $20.000.000 de pesos.
i)     En consecuencia, el saldo de $23.735.566 de pesos no se encuentra amparado por la póliza AA002483, de acuerdo con lo estipulado en el Artículo 1079 del Código de Comercio.
j)     Una vez consultados los registros de bienes que administra la Superintendencia de Notariado y Registro, se observa que no figuran inmuebles a nombre de la deudora.
Acciones
Tramite jurídico y proceso con aseguradora (Jefe Jurídico)</v>
      </c>
      <c r="U70" s="49">
        <f>VLOOKUP(Tabla15[[#This Row],[N° 
Evento]],'Eventos de riesgos'!B:I,8,0)</f>
        <v>23735566</v>
      </c>
      <c r="V70" s="49">
        <f>VLOOKUP(Tabla15[[#This Row],[N° 
Evento]],'Eventos de riesgos'!B:J,9,0)</f>
        <v>0</v>
      </c>
      <c r="W70" s="49">
        <f>VLOOKUP(Tabla15[[#This Row],[N° 
Evento]],'Eventos de riesgos'!B:K,10,0)</f>
        <v>0</v>
      </c>
      <c r="X70" s="44" t="str">
        <f>VLOOKUP(Tabla15[[#This Row],[N° 
Evento]],'Eventos de riesgos'!B:L,11,0)</f>
        <v>7 - Ejecución y Administración de Procesos</v>
      </c>
      <c r="Y70" s="44" t="str">
        <f>VLOOKUP(Tabla15[[#This Row],[N° 
Evento]],'Eventos de riesgos'!B:M,12,0)</f>
        <v>75 - Contrapartes Comerciales</v>
      </c>
      <c r="Z70" s="44" t="str">
        <f>VLOOKUP(Tabla15[[#This Row],[N° 
Evento]],'Eventos de riesgos'!B:N,13,0)</f>
        <v>751 - Pérdida por Fallas con Contrapartes</v>
      </c>
      <c r="AA70" s="44" t="str">
        <f>+VLOOKUP(Tabla15[[#This Row],[N° 
Evento]],'Eventos de riesgos'!$B$1:$AA$87,23,0)</f>
        <v>Crédito sin cobertura de aseguradora</v>
      </c>
      <c r="AB70" s="43" t="str">
        <f>VLOOKUP(Tabla15[[#This Row],[N° 
Evento]],'Eventos de riesgos'!B:O,14,0)</f>
        <v>Ninguna</v>
      </c>
      <c r="AC70" s="48">
        <f>VLOOKUP(Tabla15[[#This Row],[N° 
Evento]],'Eventos de riesgos'!B:P,15,0)</f>
        <v>44895</v>
      </c>
      <c r="AD70" s="43" t="str">
        <f>VLOOKUP(Tabla15[[#This Row],[N° 
Evento]],'Eventos de riesgos'!B:Q,16,0)</f>
        <v>Crédito de consumo</v>
      </c>
      <c r="AE70" s="43" t="str">
        <f>VLOOKUP(Tabla15[[#This Row],[N° 
Evento]],'Eventos de riesgos'!B:R,17,0)</f>
        <v>Ninguno</v>
      </c>
      <c r="AF70" s="45" t="str">
        <f>VLOOKUP(Tabla15[[#This Row],[N° 
Evento]],'Eventos de riesgos'!B:V,21,0)</f>
        <v>Aprobado</v>
      </c>
      <c r="AG70" s="44" t="str">
        <f>VLOOKUP(Tabla15[[#This Row],[N° 
Evento]],'Eventos de riesgos'!B:W,22,0)</f>
        <v>14/12/2022 20:22:26: Caso cerrado por reconocimiento de la aseguradora y concepto emitido</v>
      </c>
    </row>
    <row r="71" spans="3:33" ht="59" customHeight="1" x14ac:dyDescent="0.55000000000000004">
      <c r="C71" s="43" t="str">
        <f>+Tabla15[[#This Row],[N° 
Evento]]&amp;"-"&amp;Tabla15[[#This Row],[N° Tarea]]</f>
        <v>34-1</v>
      </c>
      <c r="D71" s="43">
        <v>34</v>
      </c>
      <c r="E71" s="43">
        <v>1</v>
      </c>
      <c r="F71" s="44" t="s">
        <v>303</v>
      </c>
      <c r="G71" s="44" t="s">
        <v>1052</v>
      </c>
      <c r="H71" s="44" t="s">
        <v>765</v>
      </c>
      <c r="I71" s="45" t="s">
        <v>259</v>
      </c>
      <c r="J71" s="46">
        <v>44887</v>
      </c>
      <c r="K71" s="46">
        <v>44908</v>
      </c>
      <c r="L71" s="47" t="str">
        <f>IF(Tabla15[[#This Row],[Fecha de Finalización]]&gt;0,"Cerrada","En Proceso")</f>
        <v>Cerrada</v>
      </c>
      <c r="M71" s="43">
        <f t="shared" si="1"/>
        <v>21</v>
      </c>
      <c r="N71" s="44" t="s">
        <v>247</v>
      </c>
      <c r="O71" s="43">
        <f>VLOOKUP(Tabla15[[#This Row],[N° 
Evento]],'Eventos de riesgos'!B:C,2,0)</f>
        <v>2022</v>
      </c>
      <c r="P71" s="43" t="str">
        <f>VLOOKUP(Tabla15[[#This Row],[N° 
Evento]],'Eventos de riesgos'!B:D,3,0)</f>
        <v xml:space="preserve">Dic  </v>
      </c>
      <c r="Q71" s="48">
        <f>VLOOKUP(Tabla15[[#This Row],[N° 
Evento]],'Eventos de riesgos'!B:E,4,0)</f>
        <v>44887.428472222222</v>
      </c>
      <c r="R71" s="48">
        <f>VLOOKUP(Tabla15[[#This Row],[N° 
Evento]],'Eventos de riesgos'!B:F,5,0)</f>
        <v>44946.428472222222</v>
      </c>
      <c r="S71" s="48">
        <f>VLOOKUP(Tabla15[[#This Row],[N° 
Evento]],'Eventos de riesgos'!B:G,6,0)</f>
        <v>44908.428472222222</v>
      </c>
      <c r="T71" s="62" t="str">
        <f>VLOOKUP(Tabla15[[#This Row],[N° 
Evento]],'Eventos de riesgos'!B:H,7,0)</f>
        <v xml:space="preserve">Caso
Fue radicada la factura de renovación de la Póliza Multirriesgo por daño material el 17 de noviembre 2022 (20228000072812) la cual fue  archivada por parte del asesor de gestión documental, de tal manera que no se continuo su tramite para finalizar su aprobación y pago. El 13 de diciembre se detecta el error en el área de riesgos, se solicita reactivar el trámite de pago de la póliza con la autorización de gerencia.
La causa del error se ocasionó por falla humana del funcionario encargado, recientemente contratado el cuál desconocía el proceso total de tramite de facturación especialmente del flujo diseñado en el programa de Gestión Documental Orfeo. El funcionario tuvo retroalimentación por parte de la Dirección de Riesgos para que pueda prevenirse organizar su gestión en los próximos trámites de facturas.
Acciones
Informar de manera inmediata al Analista de Gestión Documental sobre los pasos a seguir cuando llegan facturas y el medio por el cual las recibirá. (Directora de Riesgos)
Gestionar el pago de la factura pendiente (Directora de Riesgos)
</v>
      </c>
      <c r="U71" s="49">
        <f>VLOOKUP(Tabla15[[#This Row],[N° 
Evento]],'Eventos de riesgos'!B:I,8,0)</f>
        <v>0</v>
      </c>
      <c r="V71" s="49">
        <f>VLOOKUP(Tabla15[[#This Row],[N° 
Evento]],'Eventos de riesgos'!B:J,9,0)</f>
        <v>0</v>
      </c>
      <c r="W71" s="49">
        <f>VLOOKUP(Tabla15[[#This Row],[N° 
Evento]],'Eventos de riesgos'!B:K,10,0)</f>
        <v>0</v>
      </c>
      <c r="X71" s="44" t="str">
        <f>VLOOKUP(Tabla15[[#This Row],[N° 
Evento]],'Eventos de riesgos'!B:L,11,0)</f>
        <v>7 - Ejecución y Administración de Procesos</v>
      </c>
      <c r="Y71" s="44" t="str">
        <f>VLOOKUP(Tabla15[[#This Row],[N° 
Evento]],'Eventos de riesgos'!B:M,12,0)</f>
        <v>71 - Recepción, Ejecución y Mantenimiento de Operaciones</v>
      </c>
      <c r="Z71" s="44" t="str">
        <f>VLOOKUP(Tabla15[[#This Row],[N° 
Evento]],'Eventos de riesgos'!B:N,13,0)</f>
        <v>716 - Falla en la Gestión Documental</v>
      </c>
      <c r="AA71" s="44" t="str">
        <f>+VLOOKUP(Tabla15[[#This Row],[N° 
Evento]],'Eventos de riesgos'!$B$1:$AA$87,23,0)</f>
        <v>Falla operativa en pago de pólizas</v>
      </c>
      <c r="AB71" s="43" t="str">
        <f>VLOOKUP(Tabla15[[#This Row],[N° 
Evento]],'Eventos de riesgos'!B:O,14,0)</f>
        <v>Ninguna</v>
      </c>
      <c r="AC71" s="48">
        <f>VLOOKUP(Tabla15[[#This Row],[N° 
Evento]],'Eventos de riesgos'!B:P,15,0)</f>
        <v>44926</v>
      </c>
      <c r="AD71" s="43" t="str">
        <f>VLOOKUP(Tabla15[[#This Row],[N° 
Evento]],'Eventos de riesgos'!B:Q,16,0)</f>
        <v>Ninguno</v>
      </c>
      <c r="AE71" s="43" t="str">
        <f>VLOOKUP(Tabla15[[#This Row],[N° 
Evento]],'Eventos de riesgos'!B:R,17,0)</f>
        <v>Ninguno</v>
      </c>
      <c r="AF71" s="45" t="str">
        <f>VLOOKUP(Tabla15[[#This Row],[N° 
Evento]],'Eventos de riesgos'!B:V,21,0)</f>
        <v>Aprobado</v>
      </c>
      <c r="AG71" s="44" t="str">
        <f>VLOOKUP(Tabla15[[#This Row],[N° 
Evento]],'Eventos de riesgos'!B:W,22,0)</f>
        <v>20/12/2022 10:30:32: Reportado - Riesgos</v>
      </c>
    </row>
    <row r="72" spans="3:33" ht="59" customHeight="1" x14ac:dyDescent="0.55000000000000004">
      <c r="C72" s="43" t="str">
        <f>+Tabla15[[#This Row],[N° 
Evento]]&amp;"-"&amp;Tabla15[[#This Row],[N° Tarea]]</f>
        <v>34-2</v>
      </c>
      <c r="D72" s="43">
        <v>34</v>
      </c>
      <c r="E72" s="43">
        <v>2</v>
      </c>
      <c r="F72" s="44" t="s">
        <v>304</v>
      </c>
      <c r="G72" s="44" t="s">
        <v>1052</v>
      </c>
      <c r="H72" s="44" t="s">
        <v>765</v>
      </c>
      <c r="I72" s="45" t="s">
        <v>259</v>
      </c>
      <c r="J72" s="46">
        <v>44887</v>
      </c>
      <c r="K72" s="46">
        <v>44908</v>
      </c>
      <c r="L72" s="47" t="str">
        <f>IF(Tabla15[[#This Row],[Fecha de Finalización]]&gt;0,"Cerrada","En Proceso")</f>
        <v>Cerrada</v>
      </c>
      <c r="M72" s="43">
        <f t="shared" si="1"/>
        <v>21</v>
      </c>
      <c r="N72" s="44" t="s">
        <v>247</v>
      </c>
      <c r="O72" s="43">
        <f>VLOOKUP(Tabla15[[#This Row],[N° 
Evento]],'Eventos de riesgos'!B:C,2,0)</f>
        <v>2022</v>
      </c>
      <c r="P72" s="43" t="str">
        <f>VLOOKUP(Tabla15[[#This Row],[N° 
Evento]],'Eventos de riesgos'!B:D,3,0)</f>
        <v xml:space="preserve">Dic  </v>
      </c>
      <c r="Q72" s="48">
        <f>VLOOKUP(Tabla15[[#This Row],[N° 
Evento]],'Eventos de riesgos'!B:E,4,0)</f>
        <v>44887.428472222222</v>
      </c>
      <c r="R72" s="48">
        <f>VLOOKUP(Tabla15[[#This Row],[N° 
Evento]],'Eventos de riesgos'!B:F,5,0)</f>
        <v>44946.428472222222</v>
      </c>
      <c r="S72" s="48">
        <f>VLOOKUP(Tabla15[[#This Row],[N° 
Evento]],'Eventos de riesgos'!B:G,6,0)</f>
        <v>44908.428472222222</v>
      </c>
      <c r="T72" s="62" t="str">
        <f>VLOOKUP(Tabla15[[#This Row],[N° 
Evento]],'Eventos de riesgos'!B:H,7,0)</f>
        <v xml:space="preserve">Caso
Fue radicada la factura de renovación de la Póliza Multirriesgo por daño material el 17 de noviembre 2022 (20228000072812) la cual fue  archivada por parte del asesor de gestión documental, de tal manera que no se continuo su tramite para finalizar su aprobación y pago. El 13 de diciembre se detecta el error en el área de riesgos, se solicita reactivar el trámite de pago de la póliza con la autorización de gerencia.
La causa del error se ocasionó por falla humana del funcionario encargado, recientemente contratado el cuál desconocía el proceso total de tramite de facturación especialmente del flujo diseñado en el programa de Gestión Documental Orfeo. El funcionario tuvo retroalimentación por parte de la Dirección de Riesgos para que pueda prevenirse organizar su gestión en los próximos trámites de facturas.
Acciones
Informar de manera inmediata al Analista de Gestión Documental sobre los pasos a seguir cuando llegan facturas y el medio por el cual las recibirá. (Directora de Riesgos)
Gestionar el pago de la factura pendiente (Directora de Riesgos)
</v>
      </c>
      <c r="U72" s="49">
        <f>VLOOKUP(Tabla15[[#This Row],[N° 
Evento]],'Eventos de riesgos'!B:I,8,0)</f>
        <v>0</v>
      </c>
      <c r="V72" s="49">
        <f>VLOOKUP(Tabla15[[#This Row],[N° 
Evento]],'Eventos de riesgos'!B:J,9,0)</f>
        <v>0</v>
      </c>
      <c r="W72" s="49">
        <f>VLOOKUP(Tabla15[[#This Row],[N° 
Evento]],'Eventos de riesgos'!B:K,10,0)</f>
        <v>0</v>
      </c>
      <c r="X72" s="44" t="str">
        <f>VLOOKUP(Tabla15[[#This Row],[N° 
Evento]],'Eventos de riesgos'!B:L,11,0)</f>
        <v>7 - Ejecución y Administración de Procesos</v>
      </c>
      <c r="Y72" s="44" t="str">
        <f>VLOOKUP(Tabla15[[#This Row],[N° 
Evento]],'Eventos de riesgos'!B:M,12,0)</f>
        <v>71 - Recepción, Ejecución y Mantenimiento de Operaciones</v>
      </c>
      <c r="Z72" s="44" t="str">
        <f>VLOOKUP(Tabla15[[#This Row],[N° 
Evento]],'Eventos de riesgos'!B:N,13,0)</f>
        <v>716 - Falla en la Gestión Documental</v>
      </c>
      <c r="AA72" s="44" t="str">
        <f>+VLOOKUP(Tabla15[[#This Row],[N° 
Evento]],'Eventos de riesgos'!$B$1:$AA$87,23,0)</f>
        <v>Falla operativa en pago de pólizas</v>
      </c>
      <c r="AB72" s="43" t="str">
        <f>VLOOKUP(Tabla15[[#This Row],[N° 
Evento]],'Eventos de riesgos'!B:O,14,0)</f>
        <v>Ninguna</v>
      </c>
      <c r="AC72" s="48">
        <f>VLOOKUP(Tabla15[[#This Row],[N° 
Evento]],'Eventos de riesgos'!B:P,15,0)</f>
        <v>44926</v>
      </c>
      <c r="AD72" s="43" t="str">
        <f>VLOOKUP(Tabla15[[#This Row],[N° 
Evento]],'Eventos de riesgos'!B:Q,16,0)</f>
        <v>Ninguno</v>
      </c>
      <c r="AE72" s="43" t="str">
        <f>VLOOKUP(Tabla15[[#This Row],[N° 
Evento]],'Eventos de riesgos'!B:R,17,0)</f>
        <v>Ninguno</v>
      </c>
      <c r="AF72" s="45" t="str">
        <f>VLOOKUP(Tabla15[[#This Row],[N° 
Evento]],'Eventos de riesgos'!B:V,21,0)</f>
        <v>Aprobado</v>
      </c>
      <c r="AG72" s="44" t="str">
        <f>VLOOKUP(Tabla15[[#This Row],[N° 
Evento]],'Eventos de riesgos'!B:W,22,0)</f>
        <v>20/12/2022 10:30:32: Reportado - Riesgos</v>
      </c>
    </row>
    <row r="73" spans="3:33" ht="59" customHeight="1" x14ac:dyDescent="0.55000000000000004">
      <c r="C73" s="43" t="str">
        <f>+Tabla15[[#This Row],[N° 
Evento]]&amp;"-"&amp;Tabla15[[#This Row],[N° Tarea]]</f>
        <v>35-1</v>
      </c>
      <c r="D73" s="43">
        <v>35</v>
      </c>
      <c r="E73" s="43">
        <v>1</v>
      </c>
      <c r="F73" s="44" t="s">
        <v>305</v>
      </c>
      <c r="G73" s="44" t="s">
        <v>1052</v>
      </c>
      <c r="H73" s="44" t="s">
        <v>771</v>
      </c>
      <c r="I73" s="45" t="s">
        <v>273</v>
      </c>
      <c r="J73" s="46">
        <v>44950</v>
      </c>
      <c r="K73" s="46">
        <v>44950</v>
      </c>
      <c r="L73" s="47" t="str">
        <f>IF(Tabla15[[#This Row],[Fecha de Finalización]]&gt;0,"Cerrada","En Proceso")</f>
        <v>Cerrada</v>
      </c>
      <c r="M73" s="43">
        <f t="shared" si="1"/>
        <v>0</v>
      </c>
      <c r="N73" s="44" t="s">
        <v>306</v>
      </c>
      <c r="O73" s="43">
        <f>VLOOKUP(Tabla15[[#This Row],[N° 
Evento]],'Eventos de riesgos'!B:C,2,0)</f>
        <v>2023</v>
      </c>
      <c r="P73" s="43" t="str">
        <f>VLOOKUP(Tabla15[[#This Row],[N° 
Evento]],'Eventos de riesgos'!B:D,3,0)</f>
        <v xml:space="preserve">Ene </v>
      </c>
      <c r="Q73" s="48">
        <f>VLOOKUP(Tabla15[[#This Row],[N° 
Evento]],'Eventos de riesgos'!B:E,4,0)</f>
        <v>44950.474999999999</v>
      </c>
      <c r="R73" s="48">
        <f>VLOOKUP(Tabla15[[#This Row],[N° 
Evento]],'Eventos de riesgos'!B:F,5,0)</f>
        <v>44950.474999999999</v>
      </c>
      <c r="S73" s="48">
        <f>VLOOKUP(Tabla15[[#This Row],[N° 
Evento]],'Eventos de riesgos'!B:G,6,0)</f>
        <v>44950.474999999999</v>
      </c>
      <c r="T73" s="62" t="str">
        <f>VLOOKUP(Tabla15[[#This Row],[N° 
Evento]],'Eventos de riesgos'!B:H,7,0)</f>
        <v xml:space="preserve">Se reporto interrupción del canal PBX de la coopertariva, una interupción del servicio por dos (2) horas,Las causas fueron:1. Se identificó que el problema se originó por una caída del Canal de TIGO-UNE.2. Se identificó que la salida y PBX de la oficina del Centro está únicamente habilitada por el canal de TIGO-UNE.3. No se cuenta con un esquema de alta disponibilidad activo-activo para los canales de internet.
En el proceso de verificación, se identificaron tambien:1. Se evidencio un error en la configuración de los DNS actuales de Febor.
</v>
      </c>
      <c r="U73" s="49">
        <f>VLOOKUP(Tabla15[[#This Row],[N° 
Evento]],'Eventos de riesgos'!B:I,8,0)</f>
        <v>0</v>
      </c>
      <c r="V73" s="49">
        <f>VLOOKUP(Tabla15[[#This Row],[N° 
Evento]],'Eventos de riesgos'!B:J,9,0)</f>
        <v>0</v>
      </c>
      <c r="W73" s="49">
        <f>VLOOKUP(Tabla15[[#This Row],[N° 
Evento]],'Eventos de riesgos'!B:K,10,0)</f>
        <v>0</v>
      </c>
      <c r="X73" s="44" t="str">
        <f>VLOOKUP(Tabla15[[#This Row],[N° 
Evento]],'Eventos de riesgos'!B:L,11,0)</f>
        <v>6 - Fallas Tecnologicas</v>
      </c>
      <c r="Y73" s="44" t="str">
        <f>VLOOKUP(Tabla15[[#This Row],[N° 
Evento]],'Eventos de riesgos'!B:M,12,0)</f>
        <v>61 - Sistemas</v>
      </c>
      <c r="Z73" s="44" t="str">
        <f>VLOOKUP(Tabla15[[#This Row],[N° 
Evento]],'Eventos de riesgos'!B:N,13,0)</f>
        <v>613 - Pérdida por Fallas en Telecomunicaciones</v>
      </c>
      <c r="AA73" s="44" t="str">
        <f>+VLOOKUP(Tabla15[[#This Row],[N° 
Evento]],'Eventos de riesgos'!$B$1:$AA$87,23,0)</f>
        <v>Indisponibilidad PBX</v>
      </c>
      <c r="AB73" s="43" t="str">
        <f>VLOOKUP(Tabla15[[#This Row],[N° 
Evento]],'Eventos de riesgos'!B:O,14,0)</f>
        <v>Ninguna</v>
      </c>
      <c r="AC73" s="48">
        <f>VLOOKUP(Tabla15[[#This Row],[N° 
Evento]],'Eventos de riesgos'!B:P,15,0)</f>
        <v>44957</v>
      </c>
      <c r="AD73" s="43" t="str">
        <f>VLOOKUP(Tabla15[[#This Row],[N° 
Evento]],'Eventos de riesgos'!B:Q,16,0)</f>
        <v>Ninguno</v>
      </c>
      <c r="AE73" s="43" t="str">
        <f>VLOOKUP(Tabla15[[#This Row],[N° 
Evento]],'Eventos de riesgos'!B:R,17,0)</f>
        <v>Comunicación por PBX</v>
      </c>
      <c r="AF73" s="45" t="str">
        <f>VLOOKUP(Tabla15[[#This Row],[N° 
Evento]],'Eventos de riesgos'!B:V,21,0)</f>
        <v>Aprobado</v>
      </c>
      <c r="AG73" s="44" t="str">
        <f>VLOOKUP(Tabla15[[#This Row],[N° 
Evento]],'Eventos de riesgos'!B:W,22,0)</f>
        <v xml:space="preserve">
06/02/2023 09:33:41: Revisar Plan de Acción o Contingencia con la Dirección de TI
06/02/2023 09:34:06: Pasa a lista aprobado</v>
      </c>
    </row>
    <row r="74" spans="3:33" ht="59" customHeight="1" x14ac:dyDescent="0.55000000000000004">
      <c r="C74" s="43" t="str">
        <f>+Tabla15[[#This Row],[N° 
Evento]]&amp;"-"&amp;Tabla15[[#This Row],[N° Tarea]]</f>
        <v>35-2</v>
      </c>
      <c r="D74" s="43">
        <v>35</v>
      </c>
      <c r="E74" s="43">
        <v>2</v>
      </c>
      <c r="F74" s="44" t="s">
        <v>307</v>
      </c>
      <c r="G74" s="44" t="s">
        <v>1052</v>
      </c>
      <c r="H74" s="44" t="s">
        <v>771</v>
      </c>
      <c r="I74" s="45" t="s">
        <v>273</v>
      </c>
      <c r="J74" s="46">
        <v>44950</v>
      </c>
      <c r="K74" s="46">
        <v>45147</v>
      </c>
      <c r="L74" s="47" t="str">
        <f>IF(Tabla15[[#This Row],[Fecha de Finalización]]&gt;0,"Cerrada","En Proceso")</f>
        <v>Cerrada</v>
      </c>
      <c r="M74" s="43">
        <f t="shared" si="1"/>
        <v>197</v>
      </c>
      <c r="N74" s="44" t="s">
        <v>308</v>
      </c>
      <c r="O74" s="43">
        <f>VLOOKUP(Tabla15[[#This Row],[N° 
Evento]],'Eventos de riesgos'!B:C,2,0)</f>
        <v>2023</v>
      </c>
      <c r="P74" s="43" t="str">
        <f>VLOOKUP(Tabla15[[#This Row],[N° 
Evento]],'Eventos de riesgos'!B:D,3,0)</f>
        <v xml:space="preserve">Ene </v>
      </c>
      <c r="Q74" s="48">
        <f>VLOOKUP(Tabla15[[#This Row],[N° 
Evento]],'Eventos de riesgos'!B:E,4,0)</f>
        <v>44950.474999999999</v>
      </c>
      <c r="R74" s="48">
        <f>VLOOKUP(Tabla15[[#This Row],[N° 
Evento]],'Eventos de riesgos'!B:F,5,0)</f>
        <v>44950.474999999999</v>
      </c>
      <c r="S74" s="48">
        <f>VLOOKUP(Tabla15[[#This Row],[N° 
Evento]],'Eventos de riesgos'!B:G,6,0)</f>
        <v>44950.474999999999</v>
      </c>
      <c r="T74" s="62" t="str">
        <f>VLOOKUP(Tabla15[[#This Row],[N° 
Evento]],'Eventos de riesgos'!B:H,7,0)</f>
        <v xml:space="preserve">Se reporto interrupción del canal PBX de la coopertariva, una interupción del servicio por dos (2) horas,Las causas fueron:1. Se identificó que el problema se originó por una caída del Canal de TIGO-UNE.2. Se identificó que la salida y PBX de la oficina del Centro está únicamente habilitada por el canal de TIGO-UNE.3. No se cuenta con un esquema de alta disponibilidad activo-activo para los canales de internet.
En el proceso de verificación, se identificaron tambien:1. Se evidencio un error en la configuración de los DNS actuales de Febor.
</v>
      </c>
      <c r="U74" s="49">
        <f>VLOOKUP(Tabla15[[#This Row],[N° 
Evento]],'Eventos de riesgos'!B:I,8,0)</f>
        <v>0</v>
      </c>
      <c r="V74" s="49">
        <f>VLOOKUP(Tabla15[[#This Row],[N° 
Evento]],'Eventos de riesgos'!B:J,9,0)</f>
        <v>0</v>
      </c>
      <c r="W74" s="49">
        <f>VLOOKUP(Tabla15[[#This Row],[N° 
Evento]],'Eventos de riesgos'!B:K,10,0)</f>
        <v>0</v>
      </c>
      <c r="X74" s="44" t="str">
        <f>VLOOKUP(Tabla15[[#This Row],[N° 
Evento]],'Eventos de riesgos'!B:L,11,0)</f>
        <v>6 - Fallas Tecnologicas</v>
      </c>
      <c r="Y74" s="44" t="str">
        <f>VLOOKUP(Tabla15[[#This Row],[N° 
Evento]],'Eventos de riesgos'!B:M,12,0)</f>
        <v>61 - Sistemas</v>
      </c>
      <c r="Z74" s="44" t="str">
        <f>VLOOKUP(Tabla15[[#This Row],[N° 
Evento]],'Eventos de riesgos'!B:N,13,0)</f>
        <v>613 - Pérdida por Fallas en Telecomunicaciones</v>
      </c>
      <c r="AA74" s="44" t="str">
        <f>+VLOOKUP(Tabla15[[#This Row],[N° 
Evento]],'Eventos de riesgos'!$B$1:$AA$87,23,0)</f>
        <v>Indisponibilidad PBX</v>
      </c>
      <c r="AB74" s="43" t="str">
        <f>VLOOKUP(Tabla15[[#This Row],[N° 
Evento]],'Eventos de riesgos'!B:O,14,0)</f>
        <v>Ninguna</v>
      </c>
      <c r="AC74" s="48">
        <f>VLOOKUP(Tabla15[[#This Row],[N° 
Evento]],'Eventos de riesgos'!B:P,15,0)</f>
        <v>44957</v>
      </c>
      <c r="AD74" s="43" t="str">
        <f>VLOOKUP(Tabla15[[#This Row],[N° 
Evento]],'Eventos de riesgos'!B:Q,16,0)</f>
        <v>Ninguno</v>
      </c>
      <c r="AE74" s="43" t="str">
        <f>VLOOKUP(Tabla15[[#This Row],[N° 
Evento]],'Eventos de riesgos'!B:R,17,0)</f>
        <v>Comunicación por PBX</v>
      </c>
      <c r="AF74" s="45" t="str">
        <f>VLOOKUP(Tabla15[[#This Row],[N° 
Evento]],'Eventos de riesgos'!B:V,21,0)</f>
        <v>Aprobado</v>
      </c>
      <c r="AG74" s="44" t="str">
        <f>VLOOKUP(Tabla15[[#This Row],[N° 
Evento]],'Eventos de riesgos'!B:W,22,0)</f>
        <v xml:space="preserve">
06/02/2023 09:33:41: Revisar Plan de Acción o Contingencia con la Dirección de TI
06/02/2023 09:34:06: Pasa a lista aprobado</v>
      </c>
    </row>
    <row r="75" spans="3:33" ht="59" customHeight="1" x14ac:dyDescent="0.55000000000000004">
      <c r="C75" s="43" t="str">
        <f>+Tabla15[[#This Row],[N° 
Evento]]&amp;"-"&amp;Tabla15[[#This Row],[N° Tarea]]</f>
        <v>36-1</v>
      </c>
      <c r="D75" s="43">
        <v>36</v>
      </c>
      <c r="E75" s="43">
        <v>1</v>
      </c>
      <c r="F75" s="44" t="s">
        <v>309</v>
      </c>
      <c r="G75" s="44" t="s">
        <v>1052</v>
      </c>
      <c r="H75" s="44" t="s">
        <v>233</v>
      </c>
      <c r="I75" s="45" t="s">
        <v>240</v>
      </c>
      <c r="J75" s="46">
        <v>44958</v>
      </c>
      <c r="K75" s="46">
        <v>45049</v>
      </c>
      <c r="L75" s="47" t="str">
        <f>IF(Tabla15[[#This Row],[Fecha de Finalización]]&gt;0,"Cerrada","En Proceso")</f>
        <v>Cerrada</v>
      </c>
      <c r="M75" s="43">
        <f t="shared" si="1"/>
        <v>91</v>
      </c>
      <c r="N75" s="44" t="s">
        <v>394</v>
      </c>
      <c r="O75" s="43">
        <f>VLOOKUP(Tabla15[[#This Row],[N° 
Evento]],'Eventos de riesgos'!B:C,2,0)</f>
        <v>2023</v>
      </c>
      <c r="P75" s="43" t="str">
        <f>VLOOKUP(Tabla15[[#This Row],[N° 
Evento]],'Eventos de riesgos'!B:D,3,0)</f>
        <v xml:space="preserve">Feb </v>
      </c>
      <c r="Q75" s="48">
        <f>VLOOKUP(Tabla15[[#This Row],[N° 
Evento]],'Eventos de riesgos'!B:E,4,0)</f>
        <v>44941.689583333333</v>
      </c>
      <c r="R75" s="48">
        <f>VLOOKUP(Tabla15[[#This Row],[N° 
Evento]],'Eventos de riesgos'!B:F,5,0)</f>
        <v>44956.691666666666</v>
      </c>
      <c r="S75" s="48">
        <f>VLOOKUP(Tabla15[[#This Row],[N° 
Evento]],'Eventos de riesgos'!B:G,6,0)</f>
        <v>44958.69027777778</v>
      </c>
      <c r="T75"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5" s="49">
        <f>VLOOKUP(Tabla15[[#This Row],[N° 
Evento]],'Eventos de riesgos'!B:I,8,0)</f>
        <v>1450000</v>
      </c>
      <c r="V75" s="49">
        <f>VLOOKUP(Tabla15[[#This Row],[N° 
Evento]],'Eventos de riesgos'!B:J,9,0)</f>
        <v>0</v>
      </c>
      <c r="W75" s="49">
        <f>VLOOKUP(Tabla15[[#This Row],[N° 
Evento]],'Eventos de riesgos'!B:K,10,0)</f>
        <v>0</v>
      </c>
      <c r="X75" s="44" t="str">
        <f>VLOOKUP(Tabla15[[#This Row],[N° 
Evento]],'Eventos de riesgos'!B:L,11,0)</f>
        <v>2 - Fraude Externo</v>
      </c>
      <c r="Y75" s="44" t="str">
        <f>VLOOKUP(Tabla15[[#This Row],[N° 
Evento]],'Eventos de riesgos'!B:M,12,0)</f>
        <v>22 - Hurto y Fraude</v>
      </c>
      <c r="Z75" s="44" t="str">
        <f>VLOOKUP(Tabla15[[#This Row],[N° 
Evento]],'Eventos de riesgos'!B:N,13,0)</f>
        <v>221 - Robo o Hurto</v>
      </c>
      <c r="AA75" s="44" t="str">
        <f>+VLOOKUP(Tabla15[[#This Row],[N° 
Evento]],'Eventos de riesgos'!$B$1:$AA$87,23,0)</f>
        <v>Suplantacion de Identidad y robo a asociados</v>
      </c>
      <c r="AB75" s="43" t="str">
        <f>VLOOKUP(Tabla15[[#This Row],[N° 
Evento]],'Eventos de riesgos'!B:O,14,0)</f>
        <v>Ninguna</v>
      </c>
      <c r="AC75" s="48">
        <f>VLOOKUP(Tabla15[[#This Row],[N° 
Evento]],'Eventos de riesgos'!B:P,15,0)</f>
        <v>44985</v>
      </c>
      <c r="AD75" s="43" t="str">
        <f>VLOOKUP(Tabla15[[#This Row],[N° 
Evento]],'Eventos de riesgos'!B:Q,16,0)</f>
        <v>Ahorros voluntarios</v>
      </c>
      <c r="AE75" s="43" t="str">
        <f>VLOOKUP(Tabla15[[#This Row],[N° 
Evento]],'Eventos de riesgos'!B:R,17,0)</f>
        <v>Comunicación por PBX</v>
      </c>
      <c r="AF75" s="45" t="str">
        <f>VLOOKUP(Tabla15[[#This Row],[N° 
Evento]],'Eventos de riesgos'!B:V,21,0)</f>
        <v>Aprobado</v>
      </c>
      <c r="AG75"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6" spans="3:33" ht="59" customHeight="1" x14ac:dyDescent="0.55000000000000004">
      <c r="C76" s="43" t="str">
        <f>+Tabla15[[#This Row],[N° 
Evento]]&amp;"-"&amp;Tabla15[[#This Row],[N° Tarea]]</f>
        <v>36-2</v>
      </c>
      <c r="D76" s="43">
        <v>36</v>
      </c>
      <c r="E76" s="43">
        <v>2</v>
      </c>
      <c r="F76" s="44" t="s">
        <v>310</v>
      </c>
      <c r="G76" s="44" t="s">
        <v>1052</v>
      </c>
      <c r="H76" s="44" t="s">
        <v>771</v>
      </c>
      <c r="I76" s="45" t="s">
        <v>273</v>
      </c>
      <c r="J76" s="46">
        <v>44958</v>
      </c>
      <c r="K76" s="46">
        <v>44960</v>
      </c>
      <c r="L76" s="47" t="str">
        <f>IF(Tabla15[[#This Row],[Fecha de Finalización]]&gt;0,"Cerrada","En Proceso")</f>
        <v>Cerrada</v>
      </c>
      <c r="M76" s="43">
        <f t="shared" si="1"/>
        <v>2</v>
      </c>
      <c r="N76" s="44" t="s">
        <v>311</v>
      </c>
      <c r="O76" s="43">
        <f>VLOOKUP(Tabla15[[#This Row],[N° 
Evento]],'Eventos de riesgos'!B:C,2,0)</f>
        <v>2023</v>
      </c>
      <c r="P76" s="43" t="str">
        <f>VLOOKUP(Tabla15[[#This Row],[N° 
Evento]],'Eventos de riesgos'!B:D,3,0)</f>
        <v xml:space="preserve">Feb </v>
      </c>
      <c r="Q76" s="48">
        <f>VLOOKUP(Tabla15[[#This Row],[N° 
Evento]],'Eventos de riesgos'!B:E,4,0)</f>
        <v>44941.689583333333</v>
      </c>
      <c r="R76" s="48">
        <f>VLOOKUP(Tabla15[[#This Row],[N° 
Evento]],'Eventos de riesgos'!B:F,5,0)</f>
        <v>44956.691666666666</v>
      </c>
      <c r="S76" s="48">
        <f>VLOOKUP(Tabla15[[#This Row],[N° 
Evento]],'Eventos de riesgos'!B:G,6,0)</f>
        <v>44958.69027777778</v>
      </c>
      <c r="T76"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6" s="49">
        <f>VLOOKUP(Tabla15[[#This Row],[N° 
Evento]],'Eventos de riesgos'!B:I,8,0)</f>
        <v>1450000</v>
      </c>
      <c r="V76" s="49">
        <f>VLOOKUP(Tabla15[[#This Row],[N° 
Evento]],'Eventos de riesgos'!B:J,9,0)</f>
        <v>0</v>
      </c>
      <c r="W76" s="49">
        <f>VLOOKUP(Tabla15[[#This Row],[N° 
Evento]],'Eventos de riesgos'!B:K,10,0)</f>
        <v>0</v>
      </c>
      <c r="X76" s="44" t="str">
        <f>VLOOKUP(Tabla15[[#This Row],[N° 
Evento]],'Eventos de riesgos'!B:L,11,0)</f>
        <v>2 - Fraude Externo</v>
      </c>
      <c r="Y76" s="44" t="str">
        <f>VLOOKUP(Tabla15[[#This Row],[N° 
Evento]],'Eventos de riesgos'!B:M,12,0)</f>
        <v>22 - Hurto y Fraude</v>
      </c>
      <c r="Z76" s="44" t="str">
        <f>VLOOKUP(Tabla15[[#This Row],[N° 
Evento]],'Eventos de riesgos'!B:N,13,0)</f>
        <v>221 - Robo o Hurto</v>
      </c>
      <c r="AA76" s="44" t="str">
        <f>+VLOOKUP(Tabla15[[#This Row],[N° 
Evento]],'Eventos de riesgos'!$B$1:$AA$87,23,0)</f>
        <v>Suplantacion de Identidad y robo a asociados</v>
      </c>
      <c r="AB76" s="43" t="str">
        <f>VLOOKUP(Tabla15[[#This Row],[N° 
Evento]],'Eventos de riesgos'!B:O,14,0)</f>
        <v>Ninguna</v>
      </c>
      <c r="AC76" s="48">
        <f>VLOOKUP(Tabla15[[#This Row],[N° 
Evento]],'Eventos de riesgos'!B:P,15,0)</f>
        <v>44985</v>
      </c>
      <c r="AD76" s="43" t="str">
        <f>VLOOKUP(Tabla15[[#This Row],[N° 
Evento]],'Eventos de riesgos'!B:Q,16,0)</f>
        <v>Ahorros voluntarios</v>
      </c>
      <c r="AE76" s="43" t="str">
        <f>VLOOKUP(Tabla15[[#This Row],[N° 
Evento]],'Eventos de riesgos'!B:R,17,0)</f>
        <v>Comunicación por PBX</v>
      </c>
      <c r="AF76" s="45" t="str">
        <f>VLOOKUP(Tabla15[[#This Row],[N° 
Evento]],'Eventos de riesgos'!B:V,21,0)</f>
        <v>Aprobado</v>
      </c>
      <c r="AG76"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7" spans="3:33" ht="59" customHeight="1" x14ac:dyDescent="0.55000000000000004">
      <c r="C77" s="43" t="str">
        <f>+Tabla15[[#This Row],[N° 
Evento]]&amp;"-"&amp;Tabla15[[#This Row],[N° Tarea]]</f>
        <v>36-3</v>
      </c>
      <c r="D77" s="43">
        <v>36</v>
      </c>
      <c r="E77" s="43">
        <v>3</v>
      </c>
      <c r="F77" s="44" t="s">
        <v>312</v>
      </c>
      <c r="G77" s="44" t="s">
        <v>1052</v>
      </c>
      <c r="H77" s="44" t="s">
        <v>233</v>
      </c>
      <c r="I77" s="45" t="s">
        <v>240</v>
      </c>
      <c r="J77" s="46">
        <v>44958</v>
      </c>
      <c r="K77" s="46">
        <v>44958</v>
      </c>
      <c r="L77" s="47" t="str">
        <f>IF(Tabla15[[#This Row],[Fecha de Finalización]]&gt;0,"Cerrada","En Proceso")</f>
        <v>Cerrada</v>
      </c>
      <c r="M77" s="43">
        <f t="shared" si="1"/>
        <v>0</v>
      </c>
      <c r="N77" s="44" t="s">
        <v>313</v>
      </c>
      <c r="O77" s="43">
        <f>VLOOKUP(Tabla15[[#This Row],[N° 
Evento]],'Eventos de riesgos'!B:C,2,0)</f>
        <v>2023</v>
      </c>
      <c r="P77" s="43" t="str">
        <f>VLOOKUP(Tabla15[[#This Row],[N° 
Evento]],'Eventos de riesgos'!B:D,3,0)</f>
        <v xml:space="preserve">Feb </v>
      </c>
      <c r="Q77" s="48">
        <f>VLOOKUP(Tabla15[[#This Row],[N° 
Evento]],'Eventos de riesgos'!B:E,4,0)</f>
        <v>44941.689583333333</v>
      </c>
      <c r="R77" s="48">
        <f>VLOOKUP(Tabla15[[#This Row],[N° 
Evento]],'Eventos de riesgos'!B:F,5,0)</f>
        <v>44956.691666666666</v>
      </c>
      <c r="S77" s="48">
        <f>VLOOKUP(Tabla15[[#This Row],[N° 
Evento]],'Eventos de riesgos'!B:G,6,0)</f>
        <v>44958.69027777778</v>
      </c>
      <c r="T77"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7" s="49">
        <f>VLOOKUP(Tabla15[[#This Row],[N° 
Evento]],'Eventos de riesgos'!B:I,8,0)</f>
        <v>1450000</v>
      </c>
      <c r="V77" s="49">
        <f>VLOOKUP(Tabla15[[#This Row],[N° 
Evento]],'Eventos de riesgos'!B:J,9,0)</f>
        <v>0</v>
      </c>
      <c r="W77" s="49">
        <f>VLOOKUP(Tabla15[[#This Row],[N° 
Evento]],'Eventos de riesgos'!B:K,10,0)</f>
        <v>0</v>
      </c>
      <c r="X77" s="44" t="str">
        <f>VLOOKUP(Tabla15[[#This Row],[N° 
Evento]],'Eventos de riesgos'!B:L,11,0)</f>
        <v>2 - Fraude Externo</v>
      </c>
      <c r="Y77" s="44" t="str">
        <f>VLOOKUP(Tabla15[[#This Row],[N° 
Evento]],'Eventos de riesgos'!B:M,12,0)</f>
        <v>22 - Hurto y Fraude</v>
      </c>
      <c r="Z77" s="44" t="str">
        <f>VLOOKUP(Tabla15[[#This Row],[N° 
Evento]],'Eventos de riesgos'!B:N,13,0)</f>
        <v>221 - Robo o Hurto</v>
      </c>
      <c r="AA77" s="44" t="str">
        <f>+VLOOKUP(Tabla15[[#This Row],[N° 
Evento]],'Eventos de riesgos'!$B$1:$AA$87,23,0)</f>
        <v>Suplantacion de Identidad y robo a asociados</v>
      </c>
      <c r="AB77" s="43" t="str">
        <f>VLOOKUP(Tabla15[[#This Row],[N° 
Evento]],'Eventos de riesgos'!B:O,14,0)</f>
        <v>Ninguna</v>
      </c>
      <c r="AC77" s="48">
        <f>VLOOKUP(Tabla15[[#This Row],[N° 
Evento]],'Eventos de riesgos'!B:P,15,0)</f>
        <v>44985</v>
      </c>
      <c r="AD77" s="43" t="str">
        <f>VLOOKUP(Tabla15[[#This Row],[N° 
Evento]],'Eventos de riesgos'!B:Q,16,0)</f>
        <v>Ahorros voluntarios</v>
      </c>
      <c r="AE77" s="43" t="str">
        <f>VLOOKUP(Tabla15[[#This Row],[N° 
Evento]],'Eventos de riesgos'!B:R,17,0)</f>
        <v>Comunicación por PBX</v>
      </c>
      <c r="AF77" s="45" t="str">
        <f>VLOOKUP(Tabla15[[#This Row],[N° 
Evento]],'Eventos de riesgos'!B:V,21,0)</f>
        <v>Aprobado</v>
      </c>
      <c r="AG77"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8" spans="3:33" ht="59" customHeight="1" x14ac:dyDescent="0.55000000000000004">
      <c r="C78" s="43" t="str">
        <f>+Tabla15[[#This Row],[N° 
Evento]]&amp;"-"&amp;Tabla15[[#This Row],[N° Tarea]]</f>
        <v>36-4</v>
      </c>
      <c r="D78" s="43">
        <v>36</v>
      </c>
      <c r="E78" s="43">
        <v>4</v>
      </c>
      <c r="F78" s="44" t="s">
        <v>314</v>
      </c>
      <c r="G78" s="44" t="s">
        <v>1052</v>
      </c>
      <c r="H78" s="44" t="s">
        <v>771</v>
      </c>
      <c r="I78" s="45" t="s">
        <v>273</v>
      </c>
      <c r="J78" s="46">
        <v>44958</v>
      </c>
      <c r="K78" s="46">
        <v>44960</v>
      </c>
      <c r="L78" s="47" t="str">
        <f>IF(Tabla15[[#This Row],[Fecha de Finalización]]&gt;0,"Cerrada","En Proceso")</f>
        <v>Cerrada</v>
      </c>
      <c r="M78" s="43">
        <f t="shared" si="1"/>
        <v>2</v>
      </c>
      <c r="N78" s="44" t="s">
        <v>395</v>
      </c>
      <c r="O78" s="43">
        <f>VLOOKUP(Tabla15[[#This Row],[N° 
Evento]],'Eventos de riesgos'!B:C,2,0)</f>
        <v>2023</v>
      </c>
      <c r="P78" s="43" t="str">
        <f>VLOOKUP(Tabla15[[#This Row],[N° 
Evento]],'Eventos de riesgos'!B:D,3,0)</f>
        <v xml:space="preserve">Feb </v>
      </c>
      <c r="Q78" s="48">
        <f>VLOOKUP(Tabla15[[#This Row],[N° 
Evento]],'Eventos de riesgos'!B:E,4,0)</f>
        <v>44941.689583333333</v>
      </c>
      <c r="R78" s="48">
        <f>VLOOKUP(Tabla15[[#This Row],[N° 
Evento]],'Eventos de riesgos'!B:F,5,0)</f>
        <v>44956.691666666666</v>
      </c>
      <c r="S78" s="48">
        <f>VLOOKUP(Tabla15[[#This Row],[N° 
Evento]],'Eventos de riesgos'!B:G,6,0)</f>
        <v>44958.69027777778</v>
      </c>
      <c r="T78"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8" s="49">
        <f>VLOOKUP(Tabla15[[#This Row],[N° 
Evento]],'Eventos de riesgos'!B:I,8,0)</f>
        <v>1450000</v>
      </c>
      <c r="V78" s="49">
        <f>VLOOKUP(Tabla15[[#This Row],[N° 
Evento]],'Eventos de riesgos'!B:J,9,0)</f>
        <v>0</v>
      </c>
      <c r="W78" s="49">
        <f>VLOOKUP(Tabla15[[#This Row],[N° 
Evento]],'Eventos de riesgos'!B:K,10,0)</f>
        <v>0</v>
      </c>
      <c r="X78" s="44" t="str">
        <f>VLOOKUP(Tabla15[[#This Row],[N° 
Evento]],'Eventos de riesgos'!B:L,11,0)</f>
        <v>2 - Fraude Externo</v>
      </c>
      <c r="Y78" s="44" t="str">
        <f>VLOOKUP(Tabla15[[#This Row],[N° 
Evento]],'Eventos de riesgos'!B:M,12,0)</f>
        <v>22 - Hurto y Fraude</v>
      </c>
      <c r="Z78" s="44" t="str">
        <f>VLOOKUP(Tabla15[[#This Row],[N° 
Evento]],'Eventos de riesgos'!B:N,13,0)</f>
        <v>221 - Robo o Hurto</v>
      </c>
      <c r="AA78" s="44" t="str">
        <f>+VLOOKUP(Tabla15[[#This Row],[N° 
Evento]],'Eventos de riesgos'!$B$1:$AA$87,23,0)</f>
        <v>Suplantacion de Identidad y robo a asociados</v>
      </c>
      <c r="AB78" s="43" t="str">
        <f>VLOOKUP(Tabla15[[#This Row],[N° 
Evento]],'Eventos de riesgos'!B:O,14,0)</f>
        <v>Ninguna</v>
      </c>
      <c r="AC78" s="48">
        <f>VLOOKUP(Tabla15[[#This Row],[N° 
Evento]],'Eventos de riesgos'!B:P,15,0)</f>
        <v>44985</v>
      </c>
      <c r="AD78" s="43" t="str">
        <f>VLOOKUP(Tabla15[[#This Row],[N° 
Evento]],'Eventos de riesgos'!B:Q,16,0)</f>
        <v>Ahorros voluntarios</v>
      </c>
      <c r="AE78" s="43" t="str">
        <f>VLOOKUP(Tabla15[[#This Row],[N° 
Evento]],'Eventos de riesgos'!B:R,17,0)</f>
        <v>Comunicación por PBX</v>
      </c>
      <c r="AF78" s="45" t="str">
        <f>VLOOKUP(Tabla15[[#This Row],[N° 
Evento]],'Eventos de riesgos'!B:V,21,0)</f>
        <v>Aprobado</v>
      </c>
      <c r="AG78"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9" spans="3:33" ht="59" customHeight="1" x14ac:dyDescent="0.55000000000000004">
      <c r="C79" s="43" t="str">
        <f>+Tabla15[[#This Row],[N° 
Evento]]&amp;"-"&amp;Tabla15[[#This Row],[N° Tarea]]</f>
        <v>37-1</v>
      </c>
      <c r="D79" s="43">
        <v>37</v>
      </c>
      <c r="E79" s="43">
        <v>1</v>
      </c>
      <c r="F79" s="44" t="s">
        <v>315</v>
      </c>
      <c r="G79" s="44" t="s">
        <v>1052</v>
      </c>
      <c r="H79" s="44" t="s">
        <v>215</v>
      </c>
      <c r="I79" s="45" t="s">
        <v>91</v>
      </c>
      <c r="J79" s="46">
        <v>44977</v>
      </c>
      <c r="K79" s="46">
        <v>44977</v>
      </c>
      <c r="L79" s="47" t="str">
        <f>IF(Tabla15[[#This Row],[Fecha de Finalización]]&gt;0,"Cerrada","En Proceso")</f>
        <v>Cerrada</v>
      </c>
      <c r="M79" s="43">
        <f t="shared" si="1"/>
        <v>0</v>
      </c>
      <c r="N79" s="44" t="s">
        <v>316</v>
      </c>
      <c r="O79" s="43">
        <f>VLOOKUP(Tabla15[[#This Row],[N° 
Evento]],'Eventos de riesgos'!B:C,2,0)</f>
        <v>2023</v>
      </c>
      <c r="P79" s="43" t="str">
        <f>VLOOKUP(Tabla15[[#This Row],[N° 
Evento]],'Eventos de riesgos'!B:D,3,0)</f>
        <v xml:space="preserve">Feb </v>
      </c>
      <c r="Q79" s="48">
        <f>VLOOKUP(Tabla15[[#This Row],[N° 
Evento]],'Eventos de riesgos'!B:E,4,0)</f>
        <v>44977.479166666664</v>
      </c>
      <c r="R79" s="48">
        <f>VLOOKUP(Tabla15[[#This Row],[N° 
Evento]],'Eventos de riesgos'!B:F,5,0)</f>
        <v>44977.479166666664</v>
      </c>
      <c r="S79" s="48">
        <f>VLOOKUP(Tabla15[[#This Row],[N° 
Evento]],'Eventos de riesgos'!B:G,6,0)</f>
        <v>44977.479861111111</v>
      </c>
      <c r="T79"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79" s="49">
        <f>VLOOKUP(Tabla15[[#This Row],[N° 
Evento]],'Eventos de riesgos'!B:I,8,0)</f>
        <v>6491704</v>
      </c>
      <c r="V79" s="49">
        <f>VLOOKUP(Tabla15[[#This Row],[N° 
Evento]],'Eventos de riesgos'!B:J,9,0)</f>
        <v>0</v>
      </c>
      <c r="W79" s="49">
        <f>VLOOKUP(Tabla15[[#This Row],[N° 
Evento]],'Eventos de riesgos'!B:K,10,0)</f>
        <v>0</v>
      </c>
      <c r="X79" s="44" t="str">
        <f>VLOOKUP(Tabla15[[#This Row],[N° 
Evento]],'Eventos de riesgos'!B:L,11,0)</f>
        <v>7 - Ejecución y Administración de Procesos</v>
      </c>
      <c r="Y79" s="44" t="str">
        <f>VLOOKUP(Tabla15[[#This Row],[N° 
Evento]],'Eventos de riesgos'!B:M,12,0)</f>
        <v>71 - Recepción, Ejecución y Mantenimiento de Operaciones</v>
      </c>
      <c r="Z79" s="44" t="str">
        <f>VLOOKUP(Tabla15[[#This Row],[N° 
Evento]],'Eventos de riesgos'!B:N,13,0)</f>
        <v>712 - Errores en Digitación de Datos, Mantenimiento o Descarga</v>
      </c>
      <c r="AA79" s="44" t="str">
        <f>+VLOOKUP(Tabla15[[#This Row],[N° 
Evento]],'Eventos de riesgos'!$B$1:$AA$87,23,0)</f>
        <v>Error en liquidación de Intereses de CDATS</v>
      </c>
      <c r="AB79" s="43" t="str">
        <f>VLOOKUP(Tabla15[[#This Row],[N° 
Evento]],'Eventos de riesgos'!B:O,14,0)</f>
        <v>Ninguna</v>
      </c>
      <c r="AC79" s="48">
        <f>VLOOKUP(Tabla15[[#This Row],[N° 
Evento]],'Eventos de riesgos'!B:P,15,0)</f>
        <v>44985.479861111111</v>
      </c>
      <c r="AD79" s="43" t="str">
        <f>VLOOKUP(Tabla15[[#This Row],[N° 
Evento]],'Eventos de riesgos'!B:Q,16,0)</f>
        <v>CDAT</v>
      </c>
      <c r="AE79" s="43" t="str">
        <f>VLOOKUP(Tabla15[[#This Row],[N° 
Evento]],'Eventos de riesgos'!B:R,17,0)</f>
        <v>Comunicación por PBX</v>
      </c>
      <c r="AF79" s="45" t="str">
        <f>VLOOKUP(Tabla15[[#This Row],[N° 
Evento]],'Eventos de riesgos'!B:V,21,0)</f>
        <v>Aprobado</v>
      </c>
      <c r="AG79" s="44" t="str">
        <f>VLOOKUP(Tabla15[[#This Row],[N° 
Evento]],'Eventos de riesgos'!B:W,22,0)</f>
        <v>22/02/2023 11:31:29: No se contempla que sea pérdida económica porque son intereses de los CDATs a reconocer, no gastos.</v>
      </c>
    </row>
    <row r="80" spans="3:33" ht="59" customHeight="1" x14ac:dyDescent="0.55000000000000004">
      <c r="C80" s="43" t="str">
        <f>+Tabla15[[#This Row],[N° 
Evento]]&amp;"-"&amp;Tabla15[[#This Row],[N° Tarea]]</f>
        <v>37-2</v>
      </c>
      <c r="D80" s="43">
        <v>37</v>
      </c>
      <c r="E80" s="43">
        <v>2</v>
      </c>
      <c r="F80" s="44" t="s">
        <v>317</v>
      </c>
      <c r="G80" s="44" t="s">
        <v>1052</v>
      </c>
      <c r="H80" s="44" t="s">
        <v>215</v>
      </c>
      <c r="I80" s="45" t="s">
        <v>91</v>
      </c>
      <c r="J80" s="46">
        <v>44977</v>
      </c>
      <c r="K80" s="46">
        <v>44977</v>
      </c>
      <c r="L80" s="47" t="str">
        <f>IF(Tabla15[[#This Row],[Fecha de Finalización]]&gt;0,"Cerrada","En Proceso")</f>
        <v>Cerrada</v>
      </c>
      <c r="M80" s="43">
        <f t="shared" si="1"/>
        <v>0</v>
      </c>
      <c r="N80" s="44" t="s">
        <v>247</v>
      </c>
      <c r="O80" s="43">
        <f>VLOOKUP(Tabla15[[#This Row],[N° 
Evento]],'Eventos de riesgos'!B:C,2,0)</f>
        <v>2023</v>
      </c>
      <c r="P80" s="43" t="str">
        <f>VLOOKUP(Tabla15[[#This Row],[N° 
Evento]],'Eventos de riesgos'!B:D,3,0)</f>
        <v xml:space="preserve">Feb </v>
      </c>
      <c r="Q80" s="48">
        <f>VLOOKUP(Tabla15[[#This Row],[N° 
Evento]],'Eventos de riesgos'!B:E,4,0)</f>
        <v>44977.479166666664</v>
      </c>
      <c r="R80" s="48">
        <f>VLOOKUP(Tabla15[[#This Row],[N° 
Evento]],'Eventos de riesgos'!B:F,5,0)</f>
        <v>44977.479166666664</v>
      </c>
      <c r="S80" s="48">
        <f>VLOOKUP(Tabla15[[#This Row],[N° 
Evento]],'Eventos de riesgos'!B:G,6,0)</f>
        <v>44977.479861111111</v>
      </c>
      <c r="T80"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0" s="49">
        <f>VLOOKUP(Tabla15[[#This Row],[N° 
Evento]],'Eventos de riesgos'!B:I,8,0)</f>
        <v>6491704</v>
      </c>
      <c r="V80" s="49">
        <f>VLOOKUP(Tabla15[[#This Row],[N° 
Evento]],'Eventos de riesgos'!B:J,9,0)</f>
        <v>0</v>
      </c>
      <c r="W80" s="49">
        <f>VLOOKUP(Tabla15[[#This Row],[N° 
Evento]],'Eventos de riesgos'!B:K,10,0)</f>
        <v>0</v>
      </c>
      <c r="X80" s="44" t="str">
        <f>VLOOKUP(Tabla15[[#This Row],[N° 
Evento]],'Eventos de riesgos'!B:L,11,0)</f>
        <v>7 - Ejecución y Administración de Procesos</v>
      </c>
      <c r="Y80" s="44" t="str">
        <f>VLOOKUP(Tabla15[[#This Row],[N° 
Evento]],'Eventos de riesgos'!B:M,12,0)</f>
        <v>71 - Recepción, Ejecución y Mantenimiento de Operaciones</v>
      </c>
      <c r="Z80" s="44" t="str">
        <f>VLOOKUP(Tabla15[[#This Row],[N° 
Evento]],'Eventos de riesgos'!B:N,13,0)</f>
        <v>712 - Errores en Digitación de Datos, Mantenimiento o Descarga</v>
      </c>
      <c r="AA80" s="44" t="str">
        <f>+VLOOKUP(Tabla15[[#This Row],[N° 
Evento]],'Eventos de riesgos'!$B$1:$AA$87,23,0)</f>
        <v>Error en liquidación de Intereses de CDATS</v>
      </c>
      <c r="AB80" s="43" t="str">
        <f>VLOOKUP(Tabla15[[#This Row],[N° 
Evento]],'Eventos de riesgos'!B:O,14,0)</f>
        <v>Ninguna</v>
      </c>
      <c r="AC80" s="48">
        <f>VLOOKUP(Tabla15[[#This Row],[N° 
Evento]],'Eventos de riesgos'!B:P,15,0)</f>
        <v>44985.479861111111</v>
      </c>
      <c r="AD80" s="43" t="str">
        <f>VLOOKUP(Tabla15[[#This Row],[N° 
Evento]],'Eventos de riesgos'!B:Q,16,0)</f>
        <v>CDAT</v>
      </c>
      <c r="AE80" s="43" t="str">
        <f>VLOOKUP(Tabla15[[#This Row],[N° 
Evento]],'Eventos de riesgos'!B:R,17,0)</f>
        <v>Comunicación por PBX</v>
      </c>
      <c r="AF80" s="45" t="str">
        <f>VLOOKUP(Tabla15[[#This Row],[N° 
Evento]],'Eventos de riesgos'!B:V,21,0)</f>
        <v>Aprobado</v>
      </c>
      <c r="AG80" s="44" t="str">
        <f>VLOOKUP(Tabla15[[#This Row],[N° 
Evento]],'Eventos de riesgos'!B:W,22,0)</f>
        <v>22/02/2023 11:31:29: No se contempla que sea pérdida económica porque son intereses de los CDATs a reconocer, no gastos.</v>
      </c>
    </row>
    <row r="81" spans="3:33" ht="59" customHeight="1" x14ac:dyDescent="0.55000000000000004">
      <c r="C81" s="43" t="str">
        <f>+Tabla15[[#This Row],[N° 
Evento]]&amp;"-"&amp;Tabla15[[#This Row],[N° Tarea]]</f>
        <v>37-3</v>
      </c>
      <c r="D81" s="43">
        <v>37</v>
      </c>
      <c r="E81" s="43">
        <v>3</v>
      </c>
      <c r="F81" s="44" t="s">
        <v>318</v>
      </c>
      <c r="G81" s="44" t="s">
        <v>1052</v>
      </c>
      <c r="H81" s="44" t="s">
        <v>215</v>
      </c>
      <c r="I81" s="45" t="s">
        <v>91</v>
      </c>
      <c r="J81" s="46">
        <v>44977</v>
      </c>
      <c r="K81" s="46">
        <v>44992</v>
      </c>
      <c r="L81" s="47" t="str">
        <f>IF(Tabla15[[#This Row],[Fecha de Finalización]]&gt;0,"Cerrada","En Proceso")</f>
        <v>Cerrada</v>
      </c>
      <c r="M81" s="43">
        <f t="shared" si="1"/>
        <v>15</v>
      </c>
      <c r="N81" s="44" t="s">
        <v>319</v>
      </c>
      <c r="O81" s="43">
        <f>VLOOKUP(Tabla15[[#This Row],[N° 
Evento]],'Eventos de riesgos'!B:C,2,0)</f>
        <v>2023</v>
      </c>
      <c r="P81" s="43" t="str">
        <f>VLOOKUP(Tabla15[[#This Row],[N° 
Evento]],'Eventos de riesgos'!B:D,3,0)</f>
        <v xml:space="preserve">Feb </v>
      </c>
      <c r="Q81" s="48">
        <f>VLOOKUP(Tabla15[[#This Row],[N° 
Evento]],'Eventos de riesgos'!B:E,4,0)</f>
        <v>44977.479166666664</v>
      </c>
      <c r="R81" s="48">
        <f>VLOOKUP(Tabla15[[#This Row],[N° 
Evento]],'Eventos de riesgos'!B:F,5,0)</f>
        <v>44977.479166666664</v>
      </c>
      <c r="S81" s="48">
        <f>VLOOKUP(Tabla15[[#This Row],[N° 
Evento]],'Eventos de riesgos'!B:G,6,0)</f>
        <v>44977.479861111111</v>
      </c>
      <c r="T81"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1" s="49">
        <f>VLOOKUP(Tabla15[[#This Row],[N° 
Evento]],'Eventos de riesgos'!B:I,8,0)</f>
        <v>6491704</v>
      </c>
      <c r="V81" s="49">
        <f>VLOOKUP(Tabla15[[#This Row],[N° 
Evento]],'Eventos de riesgos'!B:J,9,0)</f>
        <v>0</v>
      </c>
      <c r="W81" s="49">
        <f>VLOOKUP(Tabla15[[#This Row],[N° 
Evento]],'Eventos de riesgos'!B:K,10,0)</f>
        <v>0</v>
      </c>
      <c r="X81" s="44" t="str">
        <f>VLOOKUP(Tabla15[[#This Row],[N° 
Evento]],'Eventos de riesgos'!B:L,11,0)</f>
        <v>7 - Ejecución y Administración de Procesos</v>
      </c>
      <c r="Y81" s="44" t="str">
        <f>VLOOKUP(Tabla15[[#This Row],[N° 
Evento]],'Eventos de riesgos'!B:M,12,0)</f>
        <v>71 - Recepción, Ejecución y Mantenimiento de Operaciones</v>
      </c>
      <c r="Z81" s="44" t="str">
        <f>VLOOKUP(Tabla15[[#This Row],[N° 
Evento]],'Eventos de riesgos'!B:N,13,0)</f>
        <v>712 - Errores en Digitación de Datos, Mantenimiento o Descarga</v>
      </c>
      <c r="AA81" s="44" t="str">
        <f>+VLOOKUP(Tabla15[[#This Row],[N° 
Evento]],'Eventos de riesgos'!$B$1:$AA$87,23,0)</f>
        <v>Error en liquidación de Intereses de CDATS</v>
      </c>
      <c r="AB81" s="43" t="str">
        <f>VLOOKUP(Tabla15[[#This Row],[N° 
Evento]],'Eventos de riesgos'!B:O,14,0)</f>
        <v>Ninguna</v>
      </c>
      <c r="AC81" s="48">
        <f>VLOOKUP(Tabla15[[#This Row],[N° 
Evento]],'Eventos de riesgos'!B:P,15,0)</f>
        <v>44985.479861111111</v>
      </c>
      <c r="AD81" s="43" t="str">
        <f>VLOOKUP(Tabla15[[#This Row],[N° 
Evento]],'Eventos de riesgos'!B:Q,16,0)</f>
        <v>CDAT</v>
      </c>
      <c r="AE81" s="43" t="str">
        <f>VLOOKUP(Tabla15[[#This Row],[N° 
Evento]],'Eventos de riesgos'!B:R,17,0)</f>
        <v>Comunicación por PBX</v>
      </c>
      <c r="AF81" s="45" t="str">
        <f>VLOOKUP(Tabla15[[#This Row],[N° 
Evento]],'Eventos de riesgos'!B:V,21,0)</f>
        <v>Aprobado</v>
      </c>
      <c r="AG81" s="44" t="str">
        <f>VLOOKUP(Tabla15[[#This Row],[N° 
Evento]],'Eventos de riesgos'!B:W,22,0)</f>
        <v>22/02/2023 11:31:29: No se contempla que sea pérdida económica porque son intereses de los CDATs a reconocer, no gastos.</v>
      </c>
    </row>
    <row r="82" spans="3:33" ht="59" customHeight="1" x14ac:dyDescent="0.55000000000000004">
      <c r="C82" s="43" t="str">
        <f>+Tabla15[[#This Row],[N° 
Evento]]&amp;"-"&amp;Tabla15[[#This Row],[N° Tarea]]</f>
        <v>37-3</v>
      </c>
      <c r="D82" s="43">
        <v>37</v>
      </c>
      <c r="E82" s="43">
        <v>3</v>
      </c>
      <c r="F82" s="44" t="s">
        <v>320</v>
      </c>
      <c r="G82" s="44" t="s">
        <v>1052</v>
      </c>
      <c r="H82" s="44" t="s">
        <v>772</v>
      </c>
      <c r="I82" s="45" t="s">
        <v>321</v>
      </c>
      <c r="J82" s="46">
        <v>44977</v>
      </c>
      <c r="K82" s="46">
        <v>44978</v>
      </c>
      <c r="L82" s="47" t="str">
        <f>IF(Tabla15[[#This Row],[Fecha de Finalización]]&gt;0,"Cerrada","En Proceso")</f>
        <v>Cerrada</v>
      </c>
      <c r="M82" s="43">
        <f t="shared" si="1"/>
        <v>1</v>
      </c>
      <c r="N82" s="44" t="s">
        <v>322</v>
      </c>
      <c r="O82" s="43">
        <f>VLOOKUP(Tabla15[[#This Row],[N° 
Evento]],'Eventos de riesgos'!B:C,2,0)</f>
        <v>2023</v>
      </c>
      <c r="P82" s="43" t="str">
        <f>VLOOKUP(Tabla15[[#This Row],[N° 
Evento]],'Eventos de riesgos'!B:D,3,0)</f>
        <v xml:space="preserve">Feb </v>
      </c>
      <c r="Q82" s="48">
        <f>VLOOKUP(Tabla15[[#This Row],[N° 
Evento]],'Eventos de riesgos'!B:E,4,0)</f>
        <v>44977.479166666664</v>
      </c>
      <c r="R82" s="48">
        <f>VLOOKUP(Tabla15[[#This Row],[N° 
Evento]],'Eventos de riesgos'!B:F,5,0)</f>
        <v>44977.479166666664</v>
      </c>
      <c r="S82" s="48">
        <f>VLOOKUP(Tabla15[[#This Row],[N° 
Evento]],'Eventos de riesgos'!B:G,6,0)</f>
        <v>44977.479861111111</v>
      </c>
      <c r="T82"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2" s="49">
        <f>VLOOKUP(Tabla15[[#This Row],[N° 
Evento]],'Eventos de riesgos'!B:I,8,0)</f>
        <v>6491704</v>
      </c>
      <c r="V82" s="49">
        <f>VLOOKUP(Tabla15[[#This Row],[N° 
Evento]],'Eventos de riesgos'!B:J,9,0)</f>
        <v>0</v>
      </c>
      <c r="W82" s="49">
        <f>VLOOKUP(Tabla15[[#This Row],[N° 
Evento]],'Eventos de riesgos'!B:K,10,0)</f>
        <v>0</v>
      </c>
      <c r="X82" s="44" t="str">
        <f>VLOOKUP(Tabla15[[#This Row],[N° 
Evento]],'Eventos de riesgos'!B:L,11,0)</f>
        <v>7 - Ejecución y Administración de Procesos</v>
      </c>
      <c r="Y82" s="44" t="str">
        <f>VLOOKUP(Tabla15[[#This Row],[N° 
Evento]],'Eventos de riesgos'!B:M,12,0)</f>
        <v>71 - Recepción, Ejecución y Mantenimiento de Operaciones</v>
      </c>
      <c r="Z82" s="44" t="str">
        <f>VLOOKUP(Tabla15[[#This Row],[N° 
Evento]],'Eventos de riesgos'!B:N,13,0)</f>
        <v>712 - Errores en Digitación de Datos, Mantenimiento o Descarga</v>
      </c>
      <c r="AA82" s="44" t="str">
        <f>+VLOOKUP(Tabla15[[#This Row],[N° 
Evento]],'Eventos de riesgos'!$B$1:$AA$87,23,0)</f>
        <v>Error en liquidación de Intereses de CDATS</v>
      </c>
      <c r="AB82" s="43" t="str">
        <f>VLOOKUP(Tabla15[[#This Row],[N° 
Evento]],'Eventos de riesgos'!B:O,14,0)</f>
        <v>Ninguna</v>
      </c>
      <c r="AC82" s="48">
        <f>VLOOKUP(Tabla15[[#This Row],[N° 
Evento]],'Eventos de riesgos'!B:P,15,0)</f>
        <v>44985.479861111111</v>
      </c>
      <c r="AD82" s="43" t="str">
        <f>VLOOKUP(Tabla15[[#This Row],[N° 
Evento]],'Eventos de riesgos'!B:Q,16,0)</f>
        <v>CDAT</v>
      </c>
      <c r="AE82" s="43" t="str">
        <f>VLOOKUP(Tabla15[[#This Row],[N° 
Evento]],'Eventos de riesgos'!B:R,17,0)</f>
        <v>Comunicación por PBX</v>
      </c>
      <c r="AF82" s="45" t="str">
        <f>VLOOKUP(Tabla15[[#This Row],[N° 
Evento]],'Eventos de riesgos'!B:V,21,0)</f>
        <v>Aprobado</v>
      </c>
      <c r="AG82" s="44" t="str">
        <f>VLOOKUP(Tabla15[[#This Row],[N° 
Evento]],'Eventos de riesgos'!B:W,22,0)</f>
        <v>22/02/2023 11:31:29: No se contempla que sea pérdida económica porque son intereses de los CDATs a reconocer, no gastos.</v>
      </c>
    </row>
    <row r="83" spans="3:33" ht="59" customHeight="1" x14ac:dyDescent="0.55000000000000004">
      <c r="C83" s="43" t="str">
        <f>+Tabla15[[#This Row],[N° 
Evento]]&amp;"-"&amp;Tabla15[[#This Row],[N° Tarea]]</f>
        <v>37-4</v>
      </c>
      <c r="D83" s="43">
        <v>37</v>
      </c>
      <c r="E83" s="43">
        <v>4</v>
      </c>
      <c r="F83" s="44" t="s">
        <v>323</v>
      </c>
      <c r="G83" s="44" t="s">
        <v>1052</v>
      </c>
      <c r="H83" s="44" t="s">
        <v>760</v>
      </c>
      <c r="I83" s="45" t="s">
        <v>95</v>
      </c>
      <c r="J83" s="46">
        <v>44977</v>
      </c>
      <c r="K83" s="46">
        <v>44985</v>
      </c>
      <c r="L83" s="47" t="str">
        <f>IF(Tabla15[[#This Row],[Fecha de Finalización]]&gt;0,"Cerrada","En Proceso")</f>
        <v>Cerrada</v>
      </c>
      <c r="M83" s="43">
        <f t="shared" si="1"/>
        <v>8</v>
      </c>
      <c r="N83" s="44" t="s">
        <v>324</v>
      </c>
      <c r="O83" s="43">
        <f>VLOOKUP(Tabla15[[#This Row],[N° 
Evento]],'Eventos de riesgos'!B:C,2,0)</f>
        <v>2023</v>
      </c>
      <c r="P83" s="43" t="str">
        <f>VLOOKUP(Tabla15[[#This Row],[N° 
Evento]],'Eventos de riesgos'!B:D,3,0)</f>
        <v xml:space="preserve">Feb </v>
      </c>
      <c r="Q83" s="48">
        <f>VLOOKUP(Tabla15[[#This Row],[N° 
Evento]],'Eventos de riesgos'!B:E,4,0)</f>
        <v>44977.479166666664</v>
      </c>
      <c r="R83" s="48">
        <f>VLOOKUP(Tabla15[[#This Row],[N° 
Evento]],'Eventos de riesgos'!B:F,5,0)</f>
        <v>44977.479166666664</v>
      </c>
      <c r="S83" s="48">
        <f>VLOOKUP(Tabla15[[#This Row],[N° 
Evento]],'Eventos de riesgos'!B:G,6,0)</f>
        <v>44977.479861111111</v>
      </c>
      <c r="T83"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3" s="49">
        <f>VLOOKUP(Tabla15[[#This Row],[N° 
Evento]],'Eventos de riesgos'!B:I,8,0)</f>
        <v>6491704</v>
      </c>
      <c r="V83" s="49">
        <f>VLOOKUP(Tabla15[[#This Row],[N° 
Evento]],'Eventos de riesgos'!B:J,9,0)</f>
        <v>0</v>
      </c>
      <c r="W83" s="49">
        <f>VLOOKUP(Tabla15[[#This Row],[N° 
Evento]],'Eventos de riesgos'!B:K,10,0)</f>
        <v>0</v>
      </c>
      <c r="X83" s="44" t="str">
        <f>VLOOKUP(Tabla15[[#This Row],[N° 
Evento]],'Eventos de riesgos'!B:L,11,0)</f>
        <v>7 - Ejecución y Administración de Procesos</v>
      </c>
      <c r="Y83" s="44" t="str">
        <f>VLOOKUP(Tabla15[[#This Row],[N° 
Evento]],'Eventos de riesgos'!B:M,12,0)</f>
        <v>71 - Recepción, Ejecución y Mantenimiento de Operaciones</v>
      </c>
      <c r="Z83" s="44" t="str">
        <f>VLOOKUP(Tabla15[[#This Row],[N° 
Evento]],'Eventos de riesgos'!B:N,13,0)</f>
        <v>712 - Errores en Digitación de Datos, Mantenimiento o Descarga</v>
      </c>
      <c r="AA83" s="44" t="str">
        <f>+VLOOKUP(Tabla15[[#This Row],[N° 
Evento]],'Eventos de riesgos'!$B$1:$AA$87,23,0)</f>
        <v>Error en liquidación de Intereses de CDATS</v>
      </c>
      <c r="AB83" s="43" t="str">
        <f>VLOOKUP(Tabla15[[#This Row],[N° 
Evento]],'Eventos de riesgos'!B:O,14,0)</f>
        <v>Ninguna</v>
      </c>
      <c r="AC83" s="48">
        <f>VLOOKUP(Tabla15[[#This Row],[N° 
Evento]],'Eventos de riesgos'!B:P,15,0)</f>
        <v>44985.479861111111</v>
      </c>
      <c r="AD83" s="43" t="str">
        <f>VLOOKUP(Tabla15[[#This Row],[N° 
Evento]],'Eventos de riesgos'!B:Q,16,0)</f>
        <v>CDAT</v>
      </c>
      <c r="AE83" s="43" t="str">
        <f>VLOOKUP(Tabla15[[#This Row],[N° 
Evento]],'Eventos de riesgos'!B:R,17,0)</f>
        <v>Comunicación por PBX</v>
      </c>
      <c r="AF83" s="45" t="str">
        <f>VLOOKUP(Tabla15[[#This Row],[N° 
Evento]],'Eventos de riesgos'!B:V,21,0)</f>
        <v>Aprobado</v>
      </c>
      <c r="AG83" s="44" t="str">
        <f>VLOOKUP(Tabla15[[#This Row],[N° 
Evento]],'Eventos de riesgos'!B:W,22,0)</f>
        <v>22/02/2023 11:31:29: No se contempla que sea pérdida económica porque son intereses de los CDATs a reconocer, no gastos.</v>
      </c>
    </row>
    <row r="84" spans="3:33" ht="59" customHeight="1" x14ac:dyDescent="0.55000000000000004">
      <c r="C84" s="43" t="str">
        <f>+Tabla15[[#This Row],[N° 
Evento]]&amp;"-"&amp;Tabla15[[#This Row],[N° Tarea]]</f>
        <v>37-5</v>
      </c>
      <c r="D84" s="43">
        <v>37</v>
      </c>
      <c r="E84" s="43">
        <v>5</v>
      </c>
      <c r="F84" s="44" t="s">
        <v>325</v>
      </c>
      <c r="G84" s="44" t="s">
        <v>1052</v>
      </c>
      <c r="H84" s="44" t="s">
        <v>761</v>
      </c>
      <c r="I84" s="45" t="s">
        <v>326</v>
      </c>
      <c r="J84" s="46">
        <v>44977</v>
      </c>
      <c r="K84" s="46">
        <v>44985</v>
      </c>
      <c r="L84" s="47" t="str">
        <f>IF(Tabla15[[#This Row],[Fecha de Finalización]]&gt;0,"Cerrada","En Proceso")</f>
        <v>Cerrada</v>
      </c>
      <c r="M84" s="43">
        <f t="shared" si="1"/>
        <v>8</v>
      </c>
      <c r="N84" s="44" t="s">
        <v>327</v>
      </c>
      <c r="O84" s="43">
        <f>VLOOKUP(Tabla15[[#This Row],[N° 
Evento]],'Eventos de riesgos'!B:C,2,0)</f>
        <v>2023</v>
      </c>
      <c r="P84" s="43" t="str">
        <f>VLOOKUP(Tabla15[[#This Row],[N° 
Evento]],'Eventos de riesgos'!B:D,3,0)</f>
        <v xml:space="preserve">Feb </v>
      </c>
      <c r="Q84" s="48">
        <f>VLOOKUP(Tabla15[[#This Row],[N° 
Evento]],'Eventos de riesgos'!B:E,4,0)</f>
        <v>44977.479166666664</v>
      </c>
      <c r="R84" s="48">
        <f>VLOOKUP(Tabla15[[#This Row],[N° 
Evento]],'Eventos de riesgos'!B:F,5,0)</f>
        <v>44977.479166666664</v>
      </c>
      <c r="S84" s="48">
        <f>VLOOKUP(Tabla15[[#This Row],[N° 
Evento]],'Eventos de riesgos'!B:G,6,0)</f>
        <v>44977.479861111111</v>
      </c>
      <c r="T84"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4" s="49">
        <f>VLOOKUP(Tabla15[[#This Row],[N° 
Evento]],'Eventos de riesgos'!B:I,8,0)</f>
        <v>6491704</v>
      </c>
      <c r="V84" s="49">
        <f>VLOOKUP(Tabla15[[#This Row],[N° 
Evento]],'Eventos de riesgos'!B:J,9,0)</f>
        <v>0</v>
      </c>
      <c r="W84" s="49">
        <f>VLOOKUP(Tabla15[[#This Row],[N° 
Evento]],'Eventos de riesgos'!B:K,10,0)</f>
        <v>0</v>
      </c>
      <c r="X84" s="44" t="str">
        <f>VLOOKUP(Tabla15[[#This Row],[N° 
Evento]],'Eventos de riesgos'!B:L,11,0)</f>
        <v>7 - Ejecución y Administración de Procesos</v>
      </c>
      <c r="Y84" s="44" t="str">
        <f>VLOOKUP(Tabla15[[#This Row],[N° 
Evento]],'Eventos de riesgos'!B:M,12,0)</f>
        <v>71 - Recepción, Ejecución y Mantenimiento de Operaciones</v>
      </c>
      <c r="Z84" s="44" t="str">
        <f>VLOOKUP(Tabla15[[#This Row],[N° 
Evento]],'Eventos de riesgos'!B:N,13,0)</f>
        <v>712 - Errores en Digitación de Datos, Mantenimiento o Descarga</v>
      </c>
      <c r="AA84" s="44" t="str">
        <f>+VLOOKUP(Tabla15[[#This Row],[N° 
Evento]],'Eventos de riesgos'!$B$1:$AA$87,23,0)</f>
        <v>Error en liquidación de Intereses de CDATS</v>
      </c>
      <c r="AB84" s="43" t="str">
        <f>VLOOKUP(Tabla15[[#This Row],[N° 
Evento]],'Eventos de riesgos'!B:O,14,0)</f>
        <v>Ninguna</v>
      </c>
      <c r="AC84" s="48">
        <f>VLOOKUP(Tabla15[[#This Row],[N° 
Evento]],'Eventos de riesgos'!B:P,15,0)</f>
        <v>44985.479861111111</v>
      </c>
      <c r="AD84" s="43" t="str">
        <f>VLOOKUP(Tabla15[[#This Row],[N° 
Evento]],'Eventos de riesgos'!B:Q,16,0)</f>
        <v>CDAT</v>
      </c>
      <c r="AE84" s="43" t="str">
        <f>VLOOKUP(Tabla15[[#This Row],[N° 
Evento]],'Eventos de riesgos'!B:R,17,0)</f>
        <v>Comunicación por PBX</v>
      </c>
      <c r="AF84" s="45" t="str">
        <f>VLOOKUP(Tabla15[[#This Row],[N° 
Evento]],'Eventos de riesgos'!B:V,21,0)</f>
        <v>Aprobado</v>
      </c>
      <c r="AG84" s="44" t="str">
        <f>VLOOKUP(Tabla15[[#This Row],[N° 
Evento]],'Eventos de riesgos'!B:W,22,0)</f>
        <v>22/02/2023 11:31:29: No se contempla que sea pérdida económica porque son intereses de los CDATs a reconocer, no gastos.</v>
      </c>
    </row>
    <row r="85" spans="3:33" ht="59" customHeight="1" x14ac:dyDescent="0.55000000000000004">
      <c r="C85" s="43" t="str">
        <f>+Tabla15[[#This Row],[N° 
Evento]]&amp;"-"&amp;Tabla15[[#This Row],[N° Tarea]]</f>
        <v>37-6</v>
      </c>
      <c r="D85" s="43">
        <v>37</v>
      </c>
      <c r="E85" s="43">
        <v>6</v>
      </c>
      <c r="F85" s="44" t="s">
        <v>328</v>
      </c>
      <c r="G85" s="44" t="s">
        <v>1052</v>
      </c>
      <c r="H85" s="44" t="s">
        <v>215</v>
      </c>
      <c r="I85" s="45" t="s">
        <v>91</v>
      </c>
      <c r="J85" s="46">
        <v>44627</v>
      </c>
      <c r="K85" s="46">
        <v>44627</v>
      </c>
      <c r="L85" s="47" t="str">
        <f>IF(Tabla15[[#This Row],[Fecha de Finalización]]&gt;0,"Cerrada","En Proceso")</f>
        <v>Cerrada</v>
      </c>
      <c r="M85" s="43">
        <f t="shared" si="1"/>
        <v>0</v>
      </c>
      <c r="N85" s="44" t="s">
        <v>329</v>
      </c>
      <c r="O85" s="43">
        <f>VLOOKUP(Tabla15[[#This Row],[N° 
Evento]],'Eventos de riesgos'!B:C,2,0)</f>
        <v>2023</v>
      </c>
      <c r="P85" s="43" t="str">
        <f>VLOOKUP(Tabla15[[#This Row],[N° 
Evento]],'Eventos de riesgos'!B:D,3,0)</f>
        <v xml:space="preserve">Feb </v>
      </c>
      <c r="Q85" s="48">
        <f>VLOOKUP(Tabla15[[#This Row],[N° 
Evento]],'Eventos de riesgos'!B:E,4,0)</f>
        <v>44977.479166666664</v>
      </c>
      <c r="R85" s="48">
        <f>VLOOKUP(Tabla15[[#This Row],[N° 
Evento]],'Eventos de riesgos'!B:F,5,0)</f>
        <v>44977.479166666664</v>
      </c>
      <c r="S85" s="48">
        <f>VLOOKUP(Tabla15[[#This Row],[N° 
Evento]],'Eventos de riesgos'!B:G,6,0)</f>
        <v>44977.479861111111</v>
      </c>
      <c r="T85"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5" s="49">
        <f>VLOOKUP(Tabla15[[#This Row],[N° 
Evento]],'Eventos de riesgos'!B:I,8,0)</f>
        <v>6491704</v>
      </c>
      <c r="V85" s="49">
        <f>VLOOKUP(Tabla15[[#This Row],[N° 
Evento]],'Eventos de riesgos'!B:J,9,0)</f>
        <v>0</v>
      </c>
      <c r="W85" s="49">
        <f>VLOOKUP(Tabla15[[#This Row],[N° 
Evento]],'Eventos de riesgos'!B:K,10,0)</f>
        <v>0</v>
      </c>
      <c r="X85" s="44" t="str">
        <f>VLOOKUP(Tabla15[[#This Row],[N° 
Evento]],'Eventos de riesgos'!B:L,11,0)</f>
        <v>7 - Ejecución y Administración de Procesos</v>
      </c>
      <c r="Y85" s="44" t="str">
        <f>VLOOKUP(Tabla15[[#This Row],[N° 
Evento]],'Eventos de riesgos'!B:M,12,0)</f>
        <v>71 - Recepción, Ejecución y Mantenimiento de Operaciones</v>
      </c>
      <c r="Z85" s="44" t="str">
        <f>VLOOKUP(Tabla15[[#This Row],[N° 
Evento]],'Eventos de riesgos'!B:N,13,0)</f>
        <v>712 - Errores en Digitación de Datos, Mantenimiento o Descarga</v>
      </c>
      <c r="AA85" s="44" t="str">
        <f>+VLOOKUP(Tabla15[[#This Row],[N° 
Evento]],'Eventos de riesgos'!$B$1:$AA$87,23,0)</f>
        <v>Error en liquidación de Intereses de CDATS</v>
      </c>
      <c r="AB85" s="43" t="str">
        <f>VLOOKUP(Tabla15[[#This Row],[N° 
Evento]],'Eventos de riesgos'!B:O,14,0)</f>
        <v>Ninguna</v>
      </c>
      <c r="AC85" s="48">
        <f>VLOOKUP(Tabla15[[#This Row],[N° 
Evento]],'Eventos de riesgos'!B:P,15,0)</f>
        <v>44985.479861111111</v>
      </c>
      <c r="AD85" s="43" t="str">
        <f>VLOOKUP(Tabla15[[#This Row],[N° 
Evento]],'Eventos de riesgos'!B:Q,16,0)</f>
        <v>CDAT</v>
      </c>
      <c r="AE85" s="43" t="str">
        <f>VLOOKUP(Tabla15[[#This Row],[N° 
Evento]],'Eventos de riesgos'!B:R,17,0)</f>
        <v>Comunicación por PBX</v>
      </c>
      <c r="AF85" s="45" t="str">
        <f>VLOOKUP(Tabla15[[#This Row],[N° 
Evento]],'Eventos de riesgos'!B:V,21,0)</f>
        <v>Aprobado</v>
      </c>
      <c r="AG85" s="44" t="str">
        <f>VLOOKUP(Tabla15[[#This Row],[N° 
Evento]],'Eventos de riesgos'!B:W,22,0)</f>
        <v>22/02/2023 11:31:29: No se contempla que sea pérdida económica porque son intereses de los CDATs a reconocer, no gastos.</v>
      </c>
    </row>
    <row r="86" spans="3:33" ht="59" customHeight="1" x14ac:dyDescent="0.55000000000000004">
      <c r="C86" s="43" t="str">
        <f>+Tabla15[[#This Row],[N° 
Evento]]&amp;"-"&amp;Tabla15[[#This Row],[N° Tarea]]</f>
        <v>38-1</v>
      </c>
      <c r="D86" s="43">
        <v>38</v>
      </c>
      <c r="E86" s="43">
        <v>1</v>
      </c>
      <c r="F86" s="44" t="s">
        <v>330</v>
      </c>
      <c r="G86" s="44" t="s">
        <v>1052</v>
      </c>
      <c r="H86" s="44" t="s">
        <v>215</v>
      </c>
      <c r="I86" s="45" t="s">
        <v>91</v>
      </c>
      <c r="J86" s="46">
        <v>44984</v>
      </c>
      <c r="K86" s="46">
        <v>45082</v>
      </c>
      <c r="L86" s="47" t="str">
        <f>IF(Tabla15[[#This Row],[Fecha de Finalización]]&gt;0,"Cerrada","En Proceso")</f>
        <v>Cerrada</v>
      </c>
      <c r="M86" s="43">
        <f t="shared" si="1"/>
        <v>98</v>
      </c>
      <c r="N86" s="44" t="s">
        <v>331</v>
      </c>
      <c r="O86" s="43">
        <f>VLOOKUP(Tabla15[[#This Row],[N° 
Evento]],'Eventos de riesgos'!B:C,2,0)</f>
        <v>2023</v>
      </c>
      <c r="P86" s="43" t="str">
        <f>VLOOKUP(Tabla15[[#This Row],[N° 
Evento]],'Eventos de riesgos'!B:D,3,0)</f>
        <v xml:space="preserve">Feb </v>
      </c>
      <c r="Q86" s="48">
        <f>VLOOKUP(Tabla15[[#This Row],[N° 
Evento]],'Eventos de riesgos'!B:E,4,0)</f>
        <v>44984.477777777778</v>
      </c>
      <c r="R86" s="48">
        <f>VLOOKUP(Tabla15[[#This Row],[N° 
Evento]],'Eventos de riesgos'!B:F,5,0)</f>
        <v>44984.477777777778</v>
      </c>
      <c r="S86" s="48">
        <f>VLOOKUP(Tabla15[[#This Row],[N° 
Evento]],'Eventos de riesgos'!B:G,6,0)</f>
        <v>44984.477777777778</v>
      </c>
      <c r="T86"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6" s="49">
        <f>VLOOKUP(Tabla15[[#This Row],[N° 
Evento]],'Eventos de riesgos'!B:I,8,0)</f>
        <v>7067000</v>
      </c>
      <c r="V86" s="49">
        <f>VLOOKUP(Tabla15[[#This Row],[N° 
Evento]],'Eventos de riesgos'!B:J,9,0)</f>
        <v>5000000</v>
      </c>
      <c r="W86" s="49">
        <f>VLOOKUP(Tabla15[[#This Row],[N° 
Evento]],'Eventos de riesgos'!B:K,10,0)</f>
        <v>0</v>
      </c>
      <c r="X86" s="44" t="str">
        <f>VLOOKUP(Tabla15[[#This Row],[N° 
Evento]],'Eventos de riesgos'!B:L,11,0)</f>
        <v>2 - Fraude Externo</v>
      </c>
      <c r="Y86" s="44" t="str">
        <f>VLOOKUP(Tabla15[[#This Row],[N° 
Evento]],'Eventos de riesgos'!B:M,12,0)</f>
        <v>22 - Hurto y Fraude</v>
      </c>
      <c r="Z86" s="44" t="str">
        <f>VLOOKUP(Tabla15[[#This Row],[N° 
Evento]],'Eventos de riesgos'!B:N,13,0)</f>
        <v>221 - Robo o Hurto</v>
      </c>
      <c r="AA86" s="44" t="str">
        <f>+VLOOKUP(Tabla15[[#This Row],[N° 
Evento]],'Eventos de riesgos'!$B$1:$AA$87,23,0)</f>
        <v>Suplantacion de Identidad y robo a asociados</v>
      </c>
      <c r="AB86" s="43" t="str">
        <f>VLOOKUP(Tabla15[[#This Row],[N° 
Evento]],'Eventos de riesgos'!B:O,14,0)</f>
        <v>Ninguna</v>
      </c>
      <c r="AC86" s="48">
        <f>VLOOKUP(Tabla15[[#This Row],[N° 
Evento]],'Eventos de riesgos'!B:P,15,0)</f>
        <v>44985.486111111109</v>
      </c>
      <c r="AD86" s="43" t="str">
        <f>VLOOKUP(Tabla15[[#This Row],[N° 
Evento]],'Eventos de riesgos'!B:Q,16,0)</f>
        <v>Ahorros voluntarios</v>
      </c>
      <c r="AE86" s="43" t="str">
        <f>VLOOKUP(Tabla15[[#This Row],[N° 
Evento]],'Eventos de riesgos'!B:R,17,0)</f>
        <v>Cooperativa Digital</v>
      </c>
      <c r="AF86" s="45" t="str">
        <f>VLOOKUP(Tabla15[[#This Row],[N° 
Evento]],'Eventos de riesgos'!B:V,21,0)</f>
        <v>Aprobado</v>
      </c>
      <c r="AG86" s="44" t="str">
        <f>VLOOKUP(Tabla15[[#This Row],[N° 
Evento]],'Eventos de riesgos'!B:W,22,0)</f>
        <v>27/02/2023 12:47:38: Primera parte registrada
06/03/2023 08:56:45: Actualización de información referente al evento
07/03/2023 12:18:31: Comité de gerencia se definen acciones y responsables</v>
      </c>
    </row>
    <row r="87" spans="3:33" ht="59" customHeight="1" x14ac:dyDescent="0.55000000000000004">
      <c r="C87" s="43" t="str">
        <f>+Tabla15[[#This Row],[N° 
Evento]]&amp;"-"&amp;Tabla15[[#This Row],[N° Tarea]]</f>
        <v>38-2</v>
      </c>
      <c r="D87" s="43">
        <v>38</v>
      </c>
      <c r="E87" s="43">
        <v>2</v>
      </c>
      <c r="F87" s="44" t="s">
        <v>332</v>
      </c>
      <c r="G87" s="44" t="s">
        <v>1052</v>
      </c>
      <c r="H87" s="44" t="s">
        <v>233</v>
      </c>
      <c r="I87" s="45" t="s">
        <v>240</v>
      </c>
      <c r="J87" s="46">
        <v>44984</v>
      </c>
      <c r="K87" s="46">
        <v>44985</v>
      </c>
      <c r="L87" s="47" t="str">
        <f>IF(Tabla15[[#This Row],[Fecha de Finalización]]&gt;0,"Cerrada","En Proceso")</f>
        <v>Cerrada</v>
      </c>
      <c r="M87" s="43">
        <f t="shared" ref="M87:M115" si="2">+K87-J87</f>
        <v>1</v>
      </c>
      <c r="N87" s="44" t="s">
        <v>333</v>
      </c>
      <c r="O87" s="43">
        <f>VLOOKUP(Tabla15[[#This Row],[N° 
Evento]],'Eventos de riesgos'!B:C,2,0)</f>
        <v>2023</v>
      </c>
      <c r="P87" s="43" t="str">
        <f>VLOOKUP(Tabla15[[#This Row],[N° 
Evento]],'Eventos de riesgos'!B:D,3,0)</f>
        <v xml:space="preserve">Feb </v>
      </c>
      <c r="Q87" s="48">
        <f>VLOOKUP(Tabla15[[#This Row],[N° 
Evento]],'Eventos de riesgos'!B:E,4,0)</f>
        <v>44984.477777777778</v>
      </c>
      <c r="R87" s="48">
        <f>VLOOKUP(Tabla15[[#This Row],[N° 
Evento]],'Eventos de riesgos'!B:F,5,0)</f>
        <v>44984.477777777778</v>
      </c>
      <c r="S87" s="48">
        <f>VLOOKUP(Tabla15[[#This Row],[N° 
Evento]],'Eventos de riesgos'!B:G,6,0)</f>
        <v>44984.477777777778</v>
      </c>
      <c r="T87"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7" s="49">
        <f>VLOOKUP(Tabla15[[#This Row],[N° 
Evento]],'Eventos de riesgos'!B:I,8,0)</f>
        <v>7067000</v>
      </c>
      <c r="V87" s="49">
        <f>VLOOKUP(Tabla15[[#This Row],[N° 
Evento]],'Eventos de riesgos'!B:J,9,0)</f>
        <v>5000000</v>
      </c>
      <c r="W87" s="49">
        <f>VLOOKUP(Tabla15[[#This Row],[N° 
Evento]],'Eventos de riesgos'!B:K,10,0)</f>
        <v>0</v>
      </c>
      <c r="X87" s="44" t="str">
        <f>VLOOKUP(Tabla15[[#This Row],[N° 
Evento]],'Eventos de riesgos'!B:L,11,0)</f>
        <v>2 - Fraude Externo</v>
      </c>
      <c r="Y87" s="44" t="str">
        <f>VLOOKUP(Tabla15[[#This Row],[N° 
Evento]],'Eventos de riesgos'!B:M,12,0)</f>
        <v>22 - Hurto y Fraude</v>
      </c>
      <c r="Z87" s="44" t="str">
        <f>VLOOKUP(Tabla15[[#This Row],[N° 
Evento]],'Eventos de riesgos'!B:N,13,0)</f>
        <v>221 - Robo o Hurto</v>
      </c>
      <c r="AA87" s="44" t="str">
        <f>+VLOOKUP(Tabla15[[#This Row],[N° 
Evento]],'Eventos de riesgos'!$B$1:$AA$87,23,0)</f>
        <v>Suplantacion de Identidad y robo a asociados</v>
      </c>
      <c r="AB87" s="43" t="str">
        <f>VLOOKUP(Tabla15[[#This Row],[N° 
Evento]],'Eventos de riesgos'!B:O,14,0)</f>
        <v>Ninguna</v>
      </c>
      <c r="AC87" s="48">
        <f>VLOOKUP(Tabla15[[#This Row],[N° 
Evento]],'Eventos de riesgos'!B:P,15,0)</f>
        <v>44985.486111111109</v>
      </c>
      <c r="AD87" s="43" t="str">
        <f>VLOOKUP(Tabla15[[#This Row],[N° 
Evento]],'Eventos de riesgos'!B:Q,16,0)</f>
        <v>Ahorros voluntarios</v>
      </c>
      <c r="AE87" s="43" t="str">
        <f>VLOOKUP(Tabla15[[#This Row],[N° 
Evento]],'Eventos de riesgos'!B:R,17,0)</f>
        <v>Cooperativa Digital</v>
      </c>
      <c r="AF87" s="45" t="str">
        <f>VLOOKUP(Tabla15[[#This Row],[N° 
Evento]],'Eventos de riesgos'!B:V,21,0)</f>
        <v>Aprobado</v>
      </c>
      <c r="AG87" s="44" t="str">
        <f>VLOOKUP(Tabla15[[#This Row],[N° 
Evento]],'Eventos de riesgos'!B:W,22,0)</f>
        <v>27/02/2023 12:47:38: Primera parte registrada
06/03/2023 08:56:45: Actualización de información referente al evento
07/03/2023 12:18:31: Comité de gerencia se definen acciones y responsables</v>
      </c>
    </row>
    <row r="88" spans="3:33" ht="59" customHeight="1" x14ac:dyDescent="0.55000000000000004">
      <c r="C88" s="43" t="str">
        <f>+Tabla15[[#This Row],[N° 
Evento]]&amp;"-"&amp;Tabla15[[#This Row],[N° Tarea]]</f>
        <v>38-3</v>
      </c>
      <c r="D88" s="43">
        <v>38</v>
      </c>
      <c r="E88" s="43">
        <v>3</v>
      </c>
      <c r="F88" s="44" t="s">
        <v>334</v>
      </c>
      <c r="G88" s="44" t="s">
        <v>1052</v>
      </c>
      <c r="H88" s="44" t="s">
        <v>233</v>
      </c>
      <c r="I88" s="45" t="s">
        <v>240</v>
      </c>
      <c r="J88" s="46">
        <v>44992</v>
      </c>
      <c r="K88" s="46">
        <v>45015</v>
      </c>
      <c r="L88" s="47" t="str">
        <f>IF(Tabla15[[#This Row],[Fecha de Finalización]]&gt;0,"Cerrada","En Proceso")</f>
        <v>Cerrada</v>
      </c>
      <c r="M88" s="43">
        <f t="shared" si="2"/>
        <v>23</v>
      </c>
      <c r="N88" s="44" t="s">
        <v>335</v>
      </c>
      <c r="O88" s="43">
        <f>VLOOKUP(Tabla15[[#This Row],[N° 
Evento]],'Eventos de riesgos'!B:C,2,0)</f>
        <v>2023</v>
      </c>
      <c r="P88" s="43" t="str">
        <f>VLOOKUP(Tabla15[[#This Row],[N° 
Evento]],'Eventos de riesgos'!B:D,3,0)</f>
        <v xml:space="preserve">Feb </v>
      </c>
      <c r="Q88" s="48">
        <f>VLOOKUP(Tabla15[[#This Row],[N° 
Evento]],'Eventos de riesgos'!B:E,4,0)</f>
        <v>44984.477777777778</v>
      </c>
      <c r="R88" s="48">
        <f>VLOOKUP(Tabla15[[#This Row],[N° 
Evento]],'Eventos de riesgos'!B:F,5,0)</f>
        <v>44984.477777777778</v>
      </c>
      <c r="S88" s="48">
        <f>VLOOKUP(Tabla15[[#This Row],[N° 
Evento]],'Eventos de riesgos'!B:G,6,0)</f>
        <v>44984.477777777778</v>
      </c>
      <c r="T88"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8" s="49">
        <f>VLOOKUP(Tabla15[[#This Row],[N° 
Evento]],'Eventos de riesgos'!B:I,8,0)</f>
        <v>7067000</v>
      </c>
      <c r="V88" s="49">
        <f>VLOOKUP(Tabla15[[#This Row],[N° 
Evento]],'Eventos de riesgos'!B:J,9,0)</f>
        <v>5000000</v>
      </c>
      <c r="W88" s="49">
        <f>VLOOKUP(Tabla15[[#This Row],[N° 
Evento]],'Eventos de riesgos'!B:K,10,0)</f>
        <v>0</v>
      </c>
      <c r="X88" s="44" t="str">
        <f>VLOOKUP(Tabla15[[#This Row],[N° 
Evento]],'Eventos de riesgos'!B:L,11,0)</f>
        <v>2 - Fraude Externo</v>
      </c>
      <c r="Y88" s="44" t="str">
        <f>VLOOKUP(Tabla15[[#This Row],[N° 
Evento]],'Eventos de riesgos'!B:M,12,0)</f>
        <v>22 - Hurto y Fraude</v>
      </c>
      <c r="Z88" s="44" t="str">
        <f>VLOOKUP(Tabla15[[#This Row],[N° 
Evento]],'Eventos de riesgos'!B:N,13,0)</f>
        <v>221 - Robo o Hurto</v>
      </c>
      <c r="AA88" s="44" t="str">
        <f>+VLOOKUP(Tabla15[[#This Row],[N° 
Evento]],'Eventos de riesgos'!$B$1:$AA$87,23,0)</f>
        <v>Suplantacion de Identidad y robo a asociados</v>
      </c>
      <c r="AB88" s="43" t="str">
        <f>VLOOKUP(Tabla15[[#This Row],[N° 
Evento]],'Eventos de riesgos'!B:O,14,0)</f>
        <v>Ninguna</v>
      </c>
      <c r="AC88" s="48">
        <f>VLOOKUP(Tabla15[[#This Row],[N° 
Evento]],'Eventos de riesgos'!B:P,15,0)</f>
        <v>44985.486111111109</v>
      </c>
      <c r="AD88" s="43" t="str">
        <f>VLOOKUP(Tabla15[[#This Row],[N° 
Evento]],'Eventos de riesgos'!B:Q,16,0)</f>
        <v>Ahorros voluntarios</v>
      </c>
      <c r="AE88" s="43" t="str">
        <f>VLOOKUP(Tabla15[[#This Row],[N° 
Evento]],'Eventos de riesgos'!B:R,17,0)</f>
        <v>Cooperativa Digital</v>
      </c>
      <c r="AF88" s="45" t="str">
        <f>VLOOKUP(Tabla15[[#This Row],[N° 
Evento]],'Eventos de riesgos'!B:V,21,0)</f>
        <v>Aprobado</v>
      </c>
      <c r="AG88" s="44" t="str">
        <f>VLOOKUP(Tabla15[[#This Row],[N° 
Evento]],'Eventos de riesgos'!B:W,22,0)</f>
        <v>27/02/2023 12:47:38: Primera parte registrada
06/03/2023 08:56:45: Actualización de información referente al evento
07/03/2023 12:18:31: Comité de gerencia se definen acciones y responsables</v>
      </c>
    </row>
    <row r="89" spans="3:33" ht="59" customHeight="1" x14ac:dyDescent="0.55000000000000004">
      <c r="C89" s="43" t="str">
        <f>+Tabla15[[#This Row],[N° 
Evento]]&amp;"-"&amp;Tabla15[[#This Row],[N° Tarea]]</f>
        <v>38-4</v>
      </c>
      <c r="D89" s="43">
        <v>38</v>
      </c>
      <c r="E89" s="43">
        <v>4</v>
      </c>
      <c r="F89" s="44" t="s">
        <v>336</v>
      </c>
      <c r="G89" s="44" t="s">
        <v>1052</v>
      </c>
      <c r="H89" s="44" t="s">
        <v>760</v>
      </c>
      <c r="I89" s="45" t="s">
        <v>95</v>
      </c>
      <c r="J89" s="46">
        <v>44984</v>
      </c>
      <c r="K89" s="46">
        <v>44992</v>
      </c>
      <c r="L89" s="47" t="str">
        <f>IF(Tabla15[[#This Row],[Fecha de Finalización]]&gt;0,"Cerrada","En Proceso")</f>
        <v>Cerrada</v>
      </c>
      <c r="M89" s="43">
        <f t="shared" si="2"/>
        <v>8</v>
      </c>
      <c r="N89" s="44" t="s">
        <v>396</v>
      </c>
      <c r="O89" s="43">
        <f>VLOOKUP(Tabla15[[#This Row],[N° 
Evento]],'Eventos de riesgos'!B:C,2,0)</f>
        <v>2023</v>
      </c>
      <c r="P89" s="43" t="str">
        <f>VLOOKUP(Tabla15[[#This Row],[N° 
Evento]],'Eventos de riesgos'!B:D,3,0)</f>
        <v xml:space="preserve">Feb </v>
      </c>
      <c r="Q89" s="48">
        <f>VLOOKUP(Tabla15[[#This Row],[N° 
Evento]],'Eventos de riesgos'!B:E,4,0)</f>
        <v>44984.477777777778</v>
      </c>
      <c r="R89" s="48">
        <f>VLOOKUP(Tabla15[[#This Row],[N° 
Evento]],'Eventos de riesgos'!B:F,5,0)</f>
        <v>44984.477777777778</v>
      </c>
      <c r="S89" s="48">
        <f>VLOOKUP(Tabla15[[#This Row],[N° 
Evento]],'Eventos de riesgos'!B:G,6,0)</f>
        <v>44984.477777777778</v>
      </c>
      <c r="T89"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9" s="49">
        <f>VLOOKUP(Tabla15[[#This Row],[N° 
Evento]],'Eventos de riesgos'!B:I,8,0)</f>
        <v>7067000</v>
      </c>
      <c r="V89" s="49">
        <f>VLOOKUP(Tabla15[[#This Row],[N° 
Evento]],'Eventos de riesgos'!B:J,9,0)</f>
        <v>5000000</v>
      </c>
      <c r="W89" s="49">
        <f>VLOOKUP(Tabla15[[#This Row],[N° 
Evento]],'Eventos de riesgos'!B:K,10,0)</f>
        <v>0</v>
      </c>
      <c r="X89" s="44" t="str">
        <f>VLOOKUP(Tabla15[[#This Row],[N° 
Evento]],'Eventos de riesgos'!B:L,11,0)</f>
        <v>2 - Fraude Externo</v>
      </c>
      <c r="Y89" s="44" t="str">
        <f>VLOOKUP(Tabla15[[#This Row],[N° 
Evento]],'Eventos de riesgos'!B:M,12,0)</f>
        <v>22 - Hurto y Fraude</v>
      </c>
      <c r="Z89" s="44" t="str">
        <f>VLOOKUP(Tabla15[[#This Row],[N° 
Evento]],'Eventos de riesgos'!B:N,13,0)</f>
        <v>221 - Robo o Hurto</v>
      </c>
      <c r="AA89" s="44" t="str">
        <f>+VLOOKUP(Tabla15[[#This Row],[N° 
Evento]],'Eventos de riesgos'!$B$1:$AA$87,23,0)</f>
        <v>Suplantacion de Identidad y robo a asociados</v>
      </c>
      <c r="AB89" s="43" t="str">
        <f>VLOOKUP(Tabla15[[#This Row],[N° 
Evento]],'Eventos de riesgos'!B:O,14,0)</f>
        <v>Ninguna</v>
      </c>
      <c r="AC89" s="48">
        <f>VLOOKUP(Tabla15[[#This Row],[N° 
Evento]],'Eventos de riesgos'!B:P,15,0)</f>
        <v>44985.486111111109</v>
      </c>
      <c r="AD89" s="43" t="str">
        <f>VLOOKUP(Tabla15[[#This Row],[N° 
Evento]],'Eventos de riesgos'!B:Q,16,0)</f>
        <v>Ahorros voluntarios</v>
      </c>
      <c r="AE89" s="43" t="str">
        <f>VLOOKUP(Tabla15[[#This Row],[N° 
Evento]],'Eventos de riesgos'!B:R,17,0)</f>
        <v>Cooperativa Digital</v>
      </c>
      <c r="AF89" s="45" t="str">
        <f>VLOOKUP(Tabla15[[#This Row],[N° 
Evento]],'Eventos de riesgos'!B:V,21,0)</f>
        <v>Aprobado</v>
      </c>
      <c r="AG89" s="44" t="str">
        <f>VLOOKUP(Tabla15[[#This Row],[N° 
Evento]],'Eventos de riesgos'!B:W,22,0)</f>
        <v>27/02/2023 12:47:38: Primera parte registrada
06/03/2023 08:56:45: Actualización de información referente al evento
07/03/2023 12:18:31: Comité de gerencia se definen acciones y responsables</v>
      </c>
    </row>
    <row r="90" spans="3:33" ht="59" customHeight="1" x14ac:dyDescent="0.55000000000000004">
      <c r="C90" s="43" t="str">
        <f>+Tabla15[[#This Row],[N° 
Evento]]&amp;"-"&amp;Tabla15[[#This Row],[N° Tarea]]</f>
        <v>38-5</v>
      </c>
      <c r="D90" s="43">
        <v>38</v>
      </c>
      <c r="E90" s="43">
        <v>5</v>
      </c>
      <c r="F90" s="44" t="s">
        <v>337</v>
      </c>
      <c r="G90" s="44" t="s">
        <v>1052</v>
      </c>
      <c r="H90" s="44" t="s">
        <v>943</v>
      </c>
      <c r="I90" s="45" t="s">
        <v>338</v>
      </c>
      <c r="J90" s="46">
        <v>44992</v>
      </c>
      <c r="K90" s="46">
        <v>44994</v>
      </c>
      <c r="L90" s="47" t="str">
        <f>IF(Tabla15[[#This Row],[Fecha de Finalización]]&gt;0,"Cerrada","En Proceso")</f>
        <v>Cerrada</v>
      </c>
      <c r="M90" s="43">
        <f t="shared" si="2"/>
        <v>2</v>
      </c>
      <c r="N90" s="44" t="s">
        <v>397</v>
      </c>
      <c r="O90" s="43">
        <f>VLOOKUP(Tabla15[[#This Row],[N° 
Evento]],'Eventos de riesgos'!B:C,2,0)</f>
        <v>2023</v>
      </c>
      <c r="P90" s="43" t="str">
        <f>VLOOKUP(Tabla15[[#This Row],[N° 
Evento]],'Eventos de riesgos'!B:D,3,0)</f>
        <v xml:space="preserve">Feb </v>
      </c>
      <c r="Q90" s="48">
        <f>VLOOKUP(Tabla15[[#This Row],[N° 
Evento]],'Eventos de riesgos'!B:E,4,0)</f>
        <v>44984.477777777778</v>
      </c>
      <c r="R90" s="48">
        <f>VLOOKUP(Tabla15[[#This Row],[N° 
Evento]],'Eventos de riesgos'!B:F,5,0)</f>
        <v>44984.477777777778</v>
      </c>
      <c r="S90" s="48">
        <f>VLOOKUP(Tabla15[[#This Row],[N° 
Evento]],'Eventos de riesgos'!B:G,6,0)</f>
        <v>44984.477777777778</v>
      </c>
      <c r="T90"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0" s="49">
        <f>VLOOKUP(Tabla15[[#This Row],[N° 
Evento]],'Eventos de riesgos'!B:I,8,0)</f>
        <v>7067000</v>
      </c>
      <c r="V90" s="49">
        <f>VLOOKUP(Tabla15[[#This Row],[N° 
Evento]],'Eventos de riesgos'!B:J,9,0)</f>
        <v>5000000</v>
      </c>
      <c r="W90" s="49">
        <f>VLOOKUP(Tabla15[[#This Row],[N° 
Evento]],'Eventos de riesgos'!B:K,10,0)</f>
        <v>0</v>
      </c>
      <c r="X90" s="44" t="str">
        <f>VLOOKUP(Tabla15[[#This Row],[N° 
Evento]],'Eventos de riesgos'!B:L,11,0)</f>
        <v>2 - Fraude Externo</v>
      </c>
      <c r="Y90" s="44" t="str">
        <f>VLOOKUP(Tabla15[[#This Row],[N° 
Evento]],'Eventos de riesgos'!B:M,12,0)</f>
        <v>22 - Hurto y Fraude</v>
      </c>
      <c r="Z90" s="44" t="str">
        <f>VLOOKUP(Tabla15[[#This Row],[N° 
Evento]],'Eventos de riesgos'!B:N,13,0)</f>
        <v>221 - Robo o Hurto</v>
      </c>
      <c r="AA90" s="44" t="str">
        <f>+VLOOKUP(Tabla15[[#This Row],[N° 
Evento]],'Eventos de riesgos'!$B$1:$AA$87,23,0)</f>
        <v>Suplantacion de Identidad y robo a asociados</v>
      </c>
      <c r="AB90" s="43" t="str">
        <f>VLOOKUP(Tabla15[[#This Row],[N° 
Evento]],'Eventos de riesgos'!B:O,14,0)</f>
        <v>Ninguna</v>
      </c>
      <c r="AC90" s="48">
        <f>VLOOKUP(Tabla15[[#This Row],[N° 
Evento]],'Eventos de riesgos'!B:P,15,0)</f>
        <v>44985.486111111109</v>
      </c>
      <c r="AD90" s="43" t="str">
        <f>VLOOKUP(Tabla15[[#This Row],[N° 
Evento]],'Eventos de riesgos'!B:Q,16,0)</f>
        <v>Ahorros voluntarios</v>
      </c>
      <c r="AE90" s="43" t="str">
        <f>VLOOKUP(Tabla15[[#This Row],[N° 
Evento]],'Eventos de riesgos'!B:R,17,0)</f>
        <v>Cooperativa Digital</v>
      </c>
      <c r="AF90" s="45" t="str">
        <f>VLOOKUP(Tabla15[[#This Row],[N° 
Evento]],'Eventos de riesgos'!B:V,21,0)</f>
        <v>Aprobado</v>
      </c>
      <c r="AG90" s="44" t="str">
        <f>VLOOKUP(Tabla15[[#This Row],[N° 
Evento]],'Eventos de riesgos'!B:W,22,0)</f>
        <v>27/02/2023 12:47:38: Primera parte registrada
06/03/2023 08:56:45: Actualización de información referente al evento
07/03/2023 12:18:31: Comité de gerencia se definen acciones y responsables</v>
      </c>
    </row>
    <row r="91" spans="3:33" ht="59" customHeight="1" x14ac:dyDescent="0.55000000000000004">
      <c r="C91" s="43" t="str">
        <f>+Tabla15[[#This Row],[N° 
Evento]]&amp;"-"&amp;Tabla15[[#This Row],[N° Tarea]]</f>
        <v>38-6</v>
      </c>
      <c r="D91" s="43">
        <v>38</v>
      </c>
      <c r="E91" s="43">
        <v>6</v>
      </c>
      <c r="F91" s="44" t="s">
        <v>339</v>
      </c>
      <c r="G91" s="44" t="s">
        <v>1052</v>
      </c>
      <c r="H91" s="44" t="s">
        <v>762</v>
      </c>
      <c r="I91" s="45" t="s">
        <v>95</v>
      </c>
      <c r="J91" s="46">
        <v>44994</v>
      </c>
      <c r="K91" s="46">
        <v>45056</v>
      </c>
      <c r="L91" s="47" t="str">
        <f>IF(Tabla15[[#This Row],[Fecha de Finalización]]&gt;0,"Cerrada","En Proceso")</f>
        <v>Cerrada</v>
      </c>
      <c r="M91" s="43">
        <f t="shared" si="2"/>
        <v>62</v>
      </c>
      <c r="N91" s="44" t="s">
        <v>340</v>
      </c>
      <c r="O91" s="43">
        <f>VLOOKUP(Tabla15[[#This Row],[N° 
Evento]],'Eventos de riesgos'!B:C,2,0)</f>
        <v>2023</v>
      </c>
      <c r="P91" s="43" t="str">
        <f>VLOOKUP(Tabla15[[#This Row],[N° 
Evento]],'Eventos de riesgos'!B:D,3,0)</f>
        <v xml:space="preserve">Feb </v>
      </c>
      <c r="Q91" s="48">
        <f>VLOOKUP(Tabla15[[#This Row],[N° 
Evento]],'Eventos de riesgos'!B:E,4,0)</f>
        <v>44984.477777777778</v>
      </c>
      <c r="R91" s="48">
        <f>VLOOKUP(Tabla15[[#This Row],[N° 
Evento]],'Eventos de riesgos'!B:F,5,0)</f>
        <v>44984.477777777778</v>
      </c>
      <c r="S91" s="48">
        <f>VLOOKUP(Tabla15[[#This Row],[N° 
Evento]],'Eventos de riesgos'!B:G,6,0)</f>
        <v>44984.477777777778</v>
      </c>
      <c r="T91"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1" s="49">
        <f>VLOOKUP(Tabla15[[#This Row],[N° 
Evento]],'Eventos de riesgos'!B:I,8,0)</f>
        <v>7067000</v>
      </c>
      <c r="V91" s="49">
        <f>VLOOKUP(Tabla15[[#This Row],[N° 
Evento]],'Eventos de riesgos'!B:J,9,0)</f>
        <v>5000000</v>
      </c>
      <c r="W91" s="49">
        <f>VLOOKUP(Tabla15[[#This Row],[N° 
Evento]],'Eventos de riesgos'!B:K,10,0)</f>
        <v>0</v>
      </c>
      <c r="X91" s="44" t="str">
        <f>VLOOKUP(Tabla15[[#This Row],[N° 
Evento]],'Eventos de riesgos'!B:L,11,0)</f>
        <v>2 - Fraude Externo</v>
      </c>
      <c r="Y91" s="44" t="str">
        <f>VLOOKUP(Tabla15[[#This Row],[N° 
Evento]],'Eventos de riesgos'!B:M,12,0)</f>
        <v>22 - Hurto y Fraude</v>
      </c>
      <c r="Z91" s="44" t="str">
        <f>VLOOKUP(Tabla15[[#This Row],[N° 
Evento]],'Eventos de riesgos'!B:N,13,0)</f>
        <v>221 - Robo o Hurto</v>
      </c>
      <c r="AA91" s="44" t="str">
        <f>+VLOOKUP(Tabla15[[#This Row],[N° 
Evento]],'Eventos de riesgos'!$B$1:$AA$87,23,0)</f>
        <v>Suplantacion de Identidad y robo a asociados</v>
      </c>
      <c r="AB91" s="43" t="str">
        <f>VLOOKUP(Tabla15[[#This Row],[N° 
Evento]],'Eventos de riesgos'!B:O,14,0)</f>
        <v>Ninguna</v>
      </c>
      <c r="AC91" s="48">
        <f>VLOOKUP(Tabla15[[#This Row],[N° 
Evento]],'Eventos de riesgos'!B:P,15,0)</f>
        <v>44985.486111111109</v>
      </c>
      <c r="AD91" s="43" t="str">
        <f>VLOOKUP(Tabla15[[#This Row],[N° 
Evento]],'Eventos de riesgos'!B:Q,16,0)</f>
        <v>Ahorros voluntarios</v>
      </c>
      <c r="AE91" s="43" t="str">
        <f>VLOOKUP(Tabla15[[#This Row],[N° 
Evento]],'Eventos de riesgos'!B:R,17,0)</f>
        <v>Cooperativa Digital</v>
      </c>
      <c r="AF91" s="45" t="str">
        <f>VLOOKUP(Tabla15[[#This Row],[N° 
Evento]],'Eventos de riesgos'!B:V,21,0)</f>
        <v>Aprobado</v>
      </c>
      <c r="AG91" s="44" t="str">
        <f>VLOOKUP(Tabla15[[#This Row],[N° 
Evento]],'Eventos de riesgos'!B:W,22,0)</f>
        <v>27/02/2023 12:47:38: Primera parte registrada
06/03/2023 08:56:45: Actualización de información referente al evento
07/03/2023 12:18:31: Comité de gerencia se definen acciones y responsables</v>
      </c>
    </row>
    <row r="92" spans="3:33" ht="59" customHeight="1" x14ac:dyDescent="0.55000000000000004">
      <c r="C92" s="43" t="str">
        <f>+Tabla15[[#This Row],[N° 
Evento]]&amp;"-"&amp;Tabla15[[#This Row],[N° Tarea]]</f>
        <v>38-7</v>
      </c>
      <c r="D92" s="43">
        <v>38</v>
      </c>
      <c r="E92" s="43">
        <v>7</v>
      </c>
      <c r="F92" s="44" t="s">
        <v>341</v>
      </c>
      <c r="G92" s="44" t="s">
        <v>1052</v>
      </c>
      <c r="H92" s="44" t="s">
        <v>762</v>
      </c>
      <c r="I92" s="45" t="s">
        <v>321</v>
      </c>
      <c r="J92" s="46">
        <v>44992</v>
      </c>
      <c r="K92" s="46">
        <v>45041</v>
      </c>
      <c r="L92" s="47" t="str">
        <f>IF(Tabla15[[#This Row],[Fecha de Finalización]]&gt;0,"Cerrada","En Proceso")</f>
        <v>Cerrada</v>
      </c>
      <c r="M92" s="43">
        <f t="shared" si="2"/>
        <v>49</v>
      </c>
      <c r="N92" s="44" t="s">
        <v>342</v>
      </c>
      <c r="O92" s="43">
        <f>VLOOKUP(Tabla15[[#This Row],[N° 
Evento]],'Eventos de riesgos'!B:C,2,0)</f>
        <v>2023</v>
      </c>
      <c r="P92" s="43" t="str">
        <f>VLOOKUP(Tabla15[[#This Row],[N° 
Evento]],'Eventos de riesgos'!B:D,3,0)</f>
        <v xml:space="preserve">Feb </v>
      </c>
      <c r="Q92" s="48">
        <f>VLOOKUP(Tabla15[[#This Row],[N° 
Evento]],'Eventos de riesgos'!B:E,4,0)</f>
        <v>44984.477777777778</v>
      </c>
      <c r="R92" s="48">
        <f>VLOOKUP(Tabla15[[#This Row],[N° 
Evento]],'Eventos de riesgos'!B:F,5,0)</f>
        <v>44984.477777777778</v>
      </c>
      <c r="S92" s="48">
        <f>VLOOKUP(Tabla15[[#This Row],[N° 
Evento]],'Eventos de riesgos'!B:G,6,0)</f>
        <v>44984.477777777778</v>
      </c>
      <c r="T92"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2" s="49">
        <f>VLOOKUP(Tabla15[[#This Row],[N° 
Evento]],'Eventos de riesgos'!B:I,8,0)</f>
        <v>7067000</v>
      </c>
      <c r="V92" s="49">
        <f>VLOOKUP(Tabla15[[#This Row],[N° 
Evento]],'Eventos de riesgos'!B:J,9,0)</f>
        <v>5000000</v>
      </c>
      <c r="W92" s="49">
        <f>VLOOKUP(Tabla15[[#This Row],[N° 
Evento]],'Eventos de riesgos'!B:K,10,0)</f>
        <v>0</v>
      </c>
      <c r="X92" s="44" t="str">
        <f>VLOOKUP(Tabla15[[#This Row],[N° 
Evento]],'Eventos de riesgos'!B:L,11,0)</f>
        <v>2 - Fraude Externo</v>
      </c>
      <c r="Y92" s="44" t="str">
        <f>VLOOKUP(Tabla15[[#This Row],[N° 
Evento]],'Eventos de riesgos'!B:M,12,0)</f>
        <v>22 - Hurto y Fraude</v>
      </c>
      <c r="Z92" s="44" t="str">
        <f>VLOOKUP(Tabla15[[#This Row],[N° 
Evento]],'Eventos de riesgos'!B:N,13,0)</f>
        <v>221 - Robo o Hurto</v>
      </c>
      <c r="AA92" s="44" t="str">
        <f>+VLOOKUP(Tabla15[[#This Row],[N° 
Evento]],'Eventos de riesgos'!$B$1:$AA$87,23,0)</f>
        <v>Suplantacion de Identidad y robo a asociados</v>
      </c>
      <c r="AB92" s="43" t="str">
        <f>VLOOKUP(Tabla15[[#This Row],[N° 
Evento]],'Eventos de riesgos'!B:O,14,0)</f>
        <v>Ninguna</v>
      </c>
      <c r="AC92" s="48">
        <f>VLOOKUP(Tabla15[[#This Row],[N° 
Evento]],'Eventos de riesgos'!B:P,15,0)</f>
        <v>44985.486111111109</v>
      </c>
      <c r="AD92" s="43" t="str">
        <f>VLOOKUP(Tabla15[[#This Row],[N° 
Evento]],'Eventos de riesgos'!B:Q,16,0)</f>
        <v>Ahorros voluntarios</v>
      </c>
      <c r="AE92" s="43" t="str">
        <f>VLOOKUP(Tabla15[[#This Row],[N° 
Evento]],'Eventos de riesgos'!B:R,17,0)</f>
        <v>Cooperativa Digital</v>
      </c>
      <c r="AF92" s="45" t="str">
        <f>VLOOKUP(Tabla15[[#This Row],[N° 
Evento]],'Eventos de riesgos'!B:V,21,0)</f>
        <v>Aprobado</v>
      </c>
      <c r="AG92" s="44" t="str">
        <f>VLOOKUP(Tabla15[[#This Row],[N° 
Evento]],'Eventos de riesgos'!B:W,22,0)</f>
        <v>27/02/2023 12:47:38: Primera parte registrada
06/03/2023 08:56:45: Actualización de información referente al evento
07/03/2023 12:18:31: Comité de gerencia se definen acciones y responsables</v>
      </c>
    </row>
    <row r="93" spans="3:33" ht="59" customHeight="1" x14ac:dyDescent="0.55000000000000004">
      <c r="C93" s="43" t="str">
        <f>+Tabla15[[#This Row],[N° 
Evento]]&amp;"-"&amp;Tabla15[[#This Row],[N° Tarea]]</f>
        <v>38-8</v>
      </c>
      <c r="D93" s="43">
        <v>38</v>
      </c>
      <c r="E93" s="43">
        <v>8</v>
      </c>
      <c r="F93" s="44" t="s">
        <v>343</v>
      </c>
      <c r="G93" s="44" t="s">
        <v>1052</v>
      </c>
      <c r="H93" s="44" t="s">
        <v>224</v>
      </c>
      <c r="I93" s="45" t="s">
        <v>269</v>
      </c>
      <c r="J93" s="46">
        <v>44992</v>
      </c>
      <c r="K93" s="46">
        <v>45065</v>
      </c>
      <c r="L93" s="47" t="str">
        <f>IF(Tabla15[[#This Row],[Fecha de Finalización]]&gt;0,"Cerrada","En Proceso")</f>
        <v>Cerrada</v>
      </c>
      <c r="M93" s="43">
        <f t="shared" si="2"/>
        <v>73</v>
      </c>
      <c r="N93" s="44" t="s">
        <v>344</v>
      </c>
      <c r="O93" s="43">
        <f>VLOOKUP(Tabla15[[#This Row],[N° 
Evento]],'Eventos de riesgos'!B:C,2,0)</f>
        <v>2023</v>
      </c>
      <c r="P93" s="43" t="str">
        <f>VLOOKUP(Tabla15[[#This Row],[N° 
Evento]],'Eventos de riesgos'!B:D,3,0)</f>
        <v xml:space="preserve">Feb </v>
      </c>
      <c r="Q93" s="48">
        <f>VLOOKUP(Tabla15[[#This Row],[N° 
Evento]],'Eventos de riesgos'!B:E,4,0)</f>
        <v>44984.477777777778</v>
      </c>
      <c r="R93" s="48">
        <f>VLOOKUP(Tabla15[[#This Row],[N° 
Evento]],'Eventos de riesgos'!B:F,5,0)</f>
        <v>44984.477777777778</v>
      </c>
      <c r="S93" s="48">
        <f>VLOOKUP(Tabla15[[#This Row],[N° 
Evento]],'Eventos de riesgos'!B:G,6,0)</f>
        <v>44984.477777777778</v>
      </c>
      <c r="T93"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3" s="49">
        <f>VLOOKUP(Tabla15[[#This Row],[N° 
Evento]],'Eventos de riesgos'!B:I,8,0)</f>
        <v>7067000</v>
      </c>
      <c r="V93" s="49">
        <f>VLOOKUP(Tabla15[[#This Row],[N° 
Evento]],'Eventos de riesgos'!B:J,9,0)</f>
        <v>5000000</v>
      </c>
      <c r="W93" s="49">
        <f>VLOOKUP(Tabla15[[#This Row],[N° 
Evento]],'Eventos de riesgos'!B:K,10,0)</f>
        <v>0</v>
      </c>
      <c r="X93" s="44" t="str">
        <f>VLOOKUP(Tabla15[[#This Row],[N° 
Evento]],'Eventos de riesgos'!B:L,11,0)</f>
        <v>2 - Fraude Externo</v>
      </c>
      <c r="Y93" s="44" t="str">
        <f>VLOOKUP(Tabla15[[#This Row],[N° 
Evento]],'Eventos de riesgos'!B:M,12,0)</f>
        <v>22 - Hurto y Fraude</v>
      </c>
      <c r="Z93" s="44" t="str">
        <f>VLOOKUP(Tabla15[[#This Row],[N° 
Evento]],'Eventos de riesgos'!B:N,13,0)</f>
        <v>221 - Robo o Hurto</v>
      </c>
      <c r="AA93" s="44" t="str">
        <f>+VLOOKUP(Tabla15[[#This Row],[N° 
Evento]],'Eventos de riesgos'!$B$1:$AA$87,23,0)</f>
        <v>Suplantacion de Identidad y robo a asociados</v>
      </c>
      <c r="AB93" s="43" t="str">
        <f>VLOOKUP(Tabla15[[#This Row],[N° 
Evento]],'Eventos de riesgos'!B:O,14,0)</f>
        <v>Ninguna</v>
      </c>
      <c r="AC93" s="48">
        <f>VLOOKUP(Tabla15[[#This Row],[N° 
Evento]],'Eventos de riesgos'!B:P,15,0)</f>
        <v>44985.486111111109</v>
      </c>
      <c r="AD93" s="43" t="str">
        <f>VLOOKUP(Tabla15[[#This Row],[N° 
Evento]],'Eventos de riesgos'!B:Q,16,0)</f>
        <v>Ahorros voluntarios</v>
      </c>
      <c r="AE93" s="43" t="str">
        <f>VLOOKUP(Tabla15[[#This Row],[N° 
Evento]],'Eventos de riesgos'!B:R,17,0)</f>
        <v>Cooperativa Digital</v>
      </c>
      <c r="AF93" s="45" t="str">
        <f>VLOOKUP(Tabla15[[#This Row],[N° 
Evento]],'Eventos de riesgos'!B:V,21,0)</f>
        <v>Aprobado</v>
      </c>
      <c r="AG93" s="44" t="str">
        <f>VLOOKUP(Tabla15[[#This Row],[N° 
Evento]],'Eventos de riesgos'!B:W,22,0)</f>
        <v>27/02/2023 12:47:38: Primera parte registrada
06/03/2023 08:56:45: Actualización de información referente al evento
07/03/2023 12:18:31: Comité de gerencia se definen acciones y responsables</v>
      </c>
    </row>
    <row r="94" spans="3:33" ht="59" customHeight="1" x14ac:dyDescent="0.55000000000000004">
      <c r="C94" s="43" t="str">
        <f>+Tabla15[[#This Row],[N° 
Evento]]&amp;"-"&amp;Tabla15[[#This Row],[N° Tarea]]</f>
        <v>39-1</v>
      </c>
      <c r="D94" s="43">
        <v>39</v>
      </c>
      <c r="E94" s="43">
        <v>1</v>
      </c>
      <c r="F94" s="44" t="s">
        <v>345</v>
      </c>
      <c r="G94" s="44" t="s">
        <v>1052</v>
      </c>
      <c r="H94" s="44" t="s">
        <v>215</v>
      </c>
      <c r="I94" s="45" t="s">
        <v>91</v>
      </c>
      <c r="J94" s="46">
        <v>44992</v>
      </c>
      <c r="K94" s="46">
        <v>45015</v>
      </c>
      <c r="L94" s="47" t="str">
        <f>IF(Tabla15[[#This Row],[Fecha de Finalización]]&gt;0,"Cerrada","En Proceso")</f>
        <v>Cerrada</v>
      </c>
      <c r="M94" s="43">
        <f t="shared" si="2"/>
        <v>23</v>
      </c>
      <c r="N94" s="44" t="s">
        <v>346</v>
      </c>
      <c r="O94" s="43">
        <f>VLOOKUP(Tabla15[[#This Row],[N° 
Evento]],'Eventos de riesgos'!B:C,2,0)</f>
        <v>2023</v>
      </c>
      <c r="P94" s="43" t="str">
        <f>VLOOKUP(Tabla15[[#This Row],[N° 
Evento]],'Eventos de riesgos'!B:D,3,0)</f>
        <v>Mar</v>
      </c>
      <c r="Q94" s="48">
        <f>VLOOKUP(Tabla15[[#This Row],[N° 
Evento]],'Eventos de riesgos'!B:E,4,0)</f>
        <v>44989.557638888888</v>
      </c>
      <c r="R94" s="48">
        <f>VLOOKUP(Tabla15[[#This Row],[N° 
Evento]],'Eventos de riesgos'!B:F,5,0)</f>
        <v>44991.55972222222</v>
      </c>
      <c r="S94" s="48">
        <f>VLOOKUP(Tabla15[[#This Row],[N° 
Evento]],'Eventos de riesgos'!B:G,6,0)</f>
        <v>44989.559027777781</v>
      </c>
      <c r="T94" s="62" t="str">
        <f>VLOOKUP(Tabla15[[#This Row],[N° 
Evento]],'Eventos de riesgos'!B:H,7,0)</f>
        <v>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v>
      </c>
      <c r="U94" s="49">
        <f>VLOOKUP(Tabla15[[#This Row],[N° 
Evento]],'Eventos de riesgos'!B:I,8,0)</f>
        <v>7800000</v>
      </c>
      <c r="V94" s="49">
        <f>VLOOKUP(Tabla15[[#This Row],[N° 
Evento]],'Eventos de riesgos'!B:J,9,0)</f>
        <v>0</v>
      </c>
      <c r="W94" s="49">
        <f>VLOOKUP(Tabla15[[#This Row],[N° 
Evento]],'Eventos de riesgos'!B:K,10,0)</f>
        <v>0</v>
      </c>
      <c r="X94" s="44" t="str">
        <f>VLOOKUP(Tabla15[[#This Row],[N° 
Evento]],'Eventos de riesgos'!B:L,11,0)</f>
        <v>2 - Fraude Externo</v>
      </c>
      <c r="Y94" s="44" t="str">
        <f>VLOOKUP(Tabla15[[#This Row],[N° 
Evento]],'Eventos de riesgos'!B:M,12,0)</f>
        <v>22 - Hurto y Fraude</v>
      </c>
      <c r="Z94" s="44" t="str">
        <f>VLOOKUP(Tabla15[[#This Row],[N° 
Evento]],'Eventos de riesgos'!B:N,13,0)</f>
        <v>221 - Robo o Hurto</v>
      </c>
      <c r="AA94" s="44" t="str">
        <f>+VLOOKUP(Tabla15[[#This Row],[N° 
Evento]],'Eventos de riesgos'!$B$1:$AA$87,23,0)</f>
        <v>Suplantacion de Identidad y robo a asociados</v>
      </c>
      <c r="AB94" s="43" t="str">
        <f>VLOOKUP(Tabla15[[#This Row],[N° 
Evento]],'Eventos de riesgos'!B:O,14,0)</f>
        <v>Ninguna</v>
      </c>
      <c r="AC94" s="48">
        <f>VLOOKUP(Tabla15[[#This Row],[N° 
Evento]],'Eventos de riesgos'!B:P,15,0)</f>
        <v>45016.567361111112</v>
      </c>
      <c r="AD94" s="43" t="str">
        <f>VLOOKUP(Tabla15[[#This Row],[N° 
Evento]],'Eventos de riesgos'!B:Q,16,0)</f>
        <v>Ahorros voluntarios</v>
      </c>
      <c r="AE94" s="43" t="str">
        <f>VLOOKUP(Tabla15[[#This Row],[N° 
Evento]],'Eventos de riesgos'!B:R,17,0)</f>
        <v>Atención en oficina</v>
      </c>
      <c r="AF94" s="45" t="str">
        <f>VLOOKUP(Tabla15[[#This Row],[N° 
Evento]],'Eventos de riesgos'!B:V,21,0)</f>
        <v>Aprobado</v>
      </c>
      <c r="AG94" s="44" t="str">
        <f>VLOOKUP(Tabla15[[#This Row],[N° 
Evento]],'Eventos de riesgos'!B:W,22,0)</f>
        <v>07/03/2023 13:44:29: Registro de evento comentado en comité de gerencia
09/03/2023 16:43:46: Evento de riesgo socializado en comité de gerencia 7 de marzo 2023
4/03/2023 10:32:29: Reclasificación del Evento de Riesgo a categoría Asociados - Clientes</v>
      </c>
    </row>
    <row r="95" spans="3:33" ht="59" customHeight="1" x14ac:dyDescent="0.55000000000000004">
      <c r="C95" s="43" t="str">
        <f>+Tabla15[[#This Row],[N° 
Evento]]&amp;"-"&amp;Tabla15[[#This Row],[N° Tarea]]</f>
        <v>39-2</v>
      </c>
      <c r="D95" s="43">
        <v>39</v>
      </c>
      <c r="E95" s="43">
        <v>2</v>
      </c>
      <c r="F95" s="44" t="s">
        <v>347</v>
      </c>
      <c r="G95" s="44" t="s">
        <v>1052</v>
      </c>
      <c r="H95" s="44" t="s">
        <v>233</v>
      </c>
      <c r="I95" s="45" t="s">
        <v>240</v>
      </c>
      <c r="J95" s="46">
        <v>44992</v>
      </c>
      <c r="K95" s="46">
        <v>45138</v>
      </c>
      <c r="L95" s="47" t="str">
        <f>IF(Tabla15[[#This Row],[Fecha de Finalización]]&gt;0,"Cerrada","En Proceso")</f>
        <v>Cerrada</v>
      </c>
      <c r="M95" s="43">
        <f t="shared" si="2"/>
        <v>146</v>
      </c>
      <c r="N95" s="44" t="s">
        <v>853</v>
      </c>
      <c r="O95" s="43">
        <f>VLOOKUP(Tabla15[[#This Row],[N° 
Evento]],'Eventos de riesgos'!B:C,2,0)</f>
        <v>2023</v>
      </c>
      <c r="P95" s="43" t="str">
        <f>VLOOKUP(Tabla15[[#This Row],[N° 
Evento]],'Eventos de riesgos'!B:D,3,0)</f>
        <v>Mar</v>
      </c>
      <c r="Q95" s="48">
        <f>VLOOKUP(Tabla15[[#This Row],[N° 
Evento]],'Eventos de riesgos'!B:E,4,0)</f>
        <v>44989.557638888888</v>
      </c>
      <c r="R95" s="48">
        <f>VLOOKUP(Tabla15[[#This Row],[N° 
Evento]],'Eventos de riesgos'!B:F,5,0)</f>
        <v>44991.55972222222</v>
      </c>
      <c r="S95" s="48">
        <f>VLOOKUP(Tabla15[[#This Row],[N° 
Evento]],'Eventos de riesgos'!B:G,6,0)</f>
        <v>44989.559027777781</v>
      </c>
      <c r="T95" s="62" t="str">
        <f>VLOOKUP(Tabla15[[#This Row],[N° 
Evento]],'Eventos de riesgos'!B:H,7,0)</f>
        <v>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v>
      </c>
      <c r="U95" s="49">
        <f>VLOOKUP(Tabla15[[#This Row],[N° 
Evento]],'Eventos de riesgos'!B:I,8,0)</f>
        <v>7800000</v>
      </c>
      <c r="V95" s="49">
        <f>VLOOKUP(Tabla15[[#This Row],[N° 
Evento]],'Eventos de riesgos'!B:J,9,0)</f>
        <v>0</v>
      </c>
      <c r="W95" s="49">
        <f>VLOOKUP(Tabla15[[#This Row],[N° 
Evento]],'Eventos de riesgos'!B:K,10,0)</f>
        <v>0</v>
      </c>
      <c r="X95" s="44" t="str">
        <f>VLOOKUP(Tabla15[[#This Row],[N° 
Evento]],'Eventos de riesgos'!B:L,11,0)</f>
        <v>2 - Fraude Externo</v>
      </c>
      <c r="Y95" s="44" t="str">
        <f>VLOOKUP(Tabla15[[#This Row],[N° 
Evento]],'Eventos de riesgos'!B:M,12,0)</f>
        <v>22 - Hurto y Fraude</v>
      </c>
      <c r="Z95" s="44" t="str">
        <f>VLOOKUP(Tabla15[[#This Row],[N° 
Evento]],'Eventos de riesgos'!B:N,13,0)</f>
        <v>221 - Robo o Hurto</v>
      </c>
      <c r="AA95" s="44" t="str">
        <f>+VLOOKUP(Tabla15[[#This Row],[N° 
Evento]],'Eventos de riesgos'!$B$1:$AA$87,23,0)</f>
        <v>Suplantacion de Identidad y robo a asociados</v>
      </c>
      <c r="AB95" s="43" t="str">
        <f>VLOOKUP(Tabla15[[#This Row],[N° 
Evento]],'Eventos de riesgos'!B:O,14,0)</f>
        <v>Ninguna</v>
      </c>
      <c r="AC95" s="48">
        <f>VLOOKUP(Tabla15[[#This Row],[N° 
Evento]],'Eventos de riesgos'!B:P,15,0)</f>
        <v>45016.567361111112</v>
      </c>
      <c r="AD95" s="43" t="str">
        <f>VLOOKUP(Tabla15[[#This Row],[N° 
Evento]],'Eventos de riesgos'!B:Q,16,0)</f>
        <v>Ahorros voluntarios</v>
      </c>
      <c r="AE95" s="43" t="str">
        <f>VLOOKUP(Tabla15[[#This Row],[N° 
Evento]],'Eventos de riesgos'!B:R,17,0)</f>
        <v>Atención en oficina</v>
      </c>
      <c r="AF95" s="45" t="str">
        <f>VLOOKUP(Tabla15[[#This Row],[N° 
Evento]],'Eventos de riesgos'!B:V,21,0)</f>
        <v>Aprobado</v>
      </c>
      <c r="AG95" s="44" t="str">
        <f>VLOOKUP(Tabla15[[#This Row],[N° 
Evento]],'Eventos de riesgos'!B:W,22,0)</f>
        <v>07/03/2023 13:44:29: Registro de evento comentado en comité de gerencia
09/03/2023 16:43:46: Evento de riesgo socializado en comité de gerencia 7 de marzo 2023
4/03/2023 10:32:29: Reclasificación del Evento de Riesgo a categoría Asociados - Clientes</v>
      </c>
    </row>
    <row r="96" spans="3:33" ht="59" customHeight="1" x14ac:dyDescent="0.55000000000000004">
      <c r="C96" s="43" t="str">
        <f>+Tabla15[[#This Row],[N° 
Evento]]&amp;"-"&amp;Tabla15[[#This Row],[N° Tarea]]</f>
        <v>39-3</v>
      </c>
      <c r="D96" s="43">
        <v>39</v>
      </c>
      <c r="E96" s="43">
        <v>3</v>
      </c>
      <c r="F96" s="44" t="s">
        <v>348</v>
      </c>
      <c r="G96" s="44" t="s">
        <v>1052</v>
      </c>
      <c r="H96" s="44" t="s">
        <v>760</v>
      </c>
      <c r="I96" s="45" t="s">
        <v>95</v>
      </c>
      <c r="J96" s="46">
        <v>44992</v>
      </c>
      <c r="K96" s="46">
        <v>45015</v>
      </c>
      <c r="L96" s="47" t="str">
        <f>IF(Tabla15[[#This Row],[Fecha de Finalización]]&gt;0,"Cerrada","En Proceso")</f>
        <v>Cerrada</v>
      </c>
      <c r="M96" s="43">
        <f t="shared" si="2"/>
        <v>23</v>
      </c>
      <c r="N96" s="44" t="s">
        <v>349</v>
      </c>
      <c r="O96" s="43">
        <f>VLOOKUP(Tabla15[[#This Row],[N° 
Evento]],'Eventos de riesgos'!B:C,2,0)</f>
        <v>2023</v>
      </c>
      <c r="P96" s="43" t="str">
        <f>VLOOKUP(Tabla15[[#This Row],[N° 
Evento]],'Eventos de riesgos'!B:D,3,0)</f>
        <v>Mar</v>
      </c>
      <c r="Q96" s="48">
        <f>VLOOKUP(Tabla15[[#This Row],[N° 
Evento]],'Eventos de riesgos'!B:E,4,0)</f>
        <v>44989.557638888888</v>
      </c>
      <c r="R96" s="48">
        <f>VLOOKUP(Tabla15[[#This Row],[N° 
Evento]],'Eventos de riesgos'!B:F,5,0)</f>
        <v>44991.55972222222</v>
      </c>
      <c r="S96" s="48">
        <f>VLOOKUP(Tabla15[[#This Row],[N° 
Evento]],'Eventos de riesgos'!B:G,6,0)</f>
        <v>44989.559027777781</v>
      </c>
      <c r="T96" s="62" t="str">
        <f>VLOOKUP(Tabla15[[#This Row],[N° 
Evento]],'Eventos de riesgos'!B:H,7,0)</f>
        <v>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v>
      </c>
      <c r="U96" s="49">
        <f>VLOOKUP(Tabla15[[#This Row],[N° 
Evento]],'Eventos de riesgos'!B:I,8,0)</f>
        <v>7800000</v>
      </c>
      <c r="V96" s="49">
        <f>VLOOKUP(Tabla15[[#This Row],[N° 
Evento]],'Eventos de riesgos'!B:J,9,0)</f>
        <v>0</v>
      </c>
      <c r="W96" s="49">
        <f>VLOOKUP(Tabla15[[#This Row],[N° 
Evento]],'Eventos de riesgos'!B:K,10,0)</f>
        <v>0</v>
      </c>
      <c r="X96" s="44" t="str">
        <f>VLOOKUP(Tabla15[[#This Row],[N° 
Evento]],'Eventos de riesgos'!B:L,11,0)</f>
        <v>2 - Fraude Externo</v>
      </c>
      <c r="Y96" s="44" t="str">
        <f>VLOOKUP(Tabla15[[#This Row],[N° 
Evento]],'Eventos de riesgos'!B:M,12,0)</f>
        <v>22 - Hurto y Fraude</v>
      </c>
      <c r="Z96" s="44" t="str">
        <f>VLOOKUP(Tabla15[[#This Row],[N° 
Evento]],'Eventos de riesgos'!B:N,13,0)</f>
        <v>221 - Robo o Hurto</v>
      </c>
      <c r="AA96" s="44" t="str">
        <f>+VLOOKUP(Tabla15[[#This Row],[N° 
Evento]],'Eventos de riesgos'!$B$1:$AA$87,23,0)</f>
        <v>Suplantacion de Identidad y robo a asociados</v>
      </c>
      <c r="AB96" s="43" t="str">
        <f>VLOOKUP(Tabla15[[#This Row],[N° 
Evento]],'Eventos de riesgos'!B:O,14,0)</f>
        <v>Ninguna</v>
      </c>
      <c r="AC96" s="48">
        <f>VLOOKUP(Tabla15[[#This Row],[N° 
Evento]],'Eventos de riesgos'!B:P,15,0)</f>
        <v>45016.567361111112</v>
      </c>
      <c r="AD96" s="43" t="str">
        <f>VLOOKUP(Tabla15[[#This Row],[N° 
Evento]],'Eventos de riesgos'!B:Q,16,0)</f>
        <v>Ahorros voluntarios</v>
      </c>
      <c r="AE96" s="43" t="str">
        <f>VLOOKUP(Tabla15[[#This Row],[N° 
Evento]],'Eventos de riesgos'!B:R,17,0)</f>
        <v>Atención en oficina</v>
      </c>
      <c r="AF96" s="45" t="str">
        <f>VLOOKUP(Tabla15[[#This Row],[N° 
Evento]],'Eventos de riesgos'!B:V,21,0)</f>
        <v>Aprobado</v>
      </c>
      <c r="AG96" s="44" t="str">
        <f>VLOOKUP(Tabla15[[#This Row],[N° 
Evento]],'Eventos de riesgos'!B:W,22,0)</f>
        <v>07/03/2023 13:44:29: Registro de evento comentado en comité de gerencia
09/03/2023 16:43:46: Evento de riesgo socializado en comité de gerencia 7 de marzo 2023
4/03/2023 10:32:29: Reclasificación del Evento de Riesgo a categoría Asociados - Clientes</v>
      </c>
    </row>
    <row r="97" spans="3:33" ht="59" customHeight="1" x14ac:dyDescent="0.55000000000000004">
      <c r="C97" s="43" t="str">
        <f>+Tabla15[[#This Row],[N° 
Evento]]&amp;"-"&amp;Tabla15[[#This Row],[N° Tarea]]</f>
        <v>40-1</v>
      </c>
      <c r="D97" s="43">
        <v>40</v>
      </c>
      <c r="E97" s="43">
        <v>1</v>
      </c>
      <c r="F97" s="44" t="s">
        <v>350</v>
      </c>
      <c r="G97" s="44" t="s">
        <v>1052</v>
      </c>
      <c r="H97" s="44" t="s">
        <v>215</v>
      </c>
      <c r="I97" s="45" t="s">
        <v>91</v>
      </c>
      <c r="J97" s="46">
        <v>45006</v>
      </c>
      <c r="K97" s="46">
        <v>45010</v>
      </c>
      <c r="L97" s="47" t="str">
        <f>IF(Tabla15[[#This Row],[Fecha de Finalización]]&gt;0,"Cerrada","En Proceso")</f>
        <v>Cerrada</v>
      </c>
      <c r="M97" s="43">
        <f t="shared" si="2"/>
        <v>4</v>
      </c>
      <c r="N97" s="44" t="s">
        <v>247</v>
      </c>
      <c r="O97" s="43">
        <f>VLOOKUP(Tabla15[[#This Row],[N° 
Evento]],'Eventos de riesgos'!B:C,2,0)</f>
        <v>2023</v>
      </c>
      <c r="P97" s="43" t="str">
        <f>VLOOKUP(Tabla15[[#This Row],[N° 
Evento]],'Eventos de riesgos'!B:D,3,0)</f>
        <v>Mar</v>
      </c>
      <c r="Q97" s="48">
        <f>VLOOKUP(Tabla15[[#This Row],[N° 
Evento]],'Eventos de riesgos'!B:E,4,0)</f>
        <v>45006.831944444442</v>
      </c>
      <c r="R97" s="48">
        <f>VLOOKUP(Tabla15[[#This Row],[N° 
Evento]],'Eventos de riesgos'!B:F,5,0)</f>
        <v>45006.831944444442</v>
      </c>
      <c r="S97" s="48">
        <f>VLOOKUP(Tabla15[[#This Row],[N° 
Evento]],'Eventos de riesgos'!B:G,6,0)</f>
        <v>45010.831944444442</v>
      </c>
      <c r="T97" s="62" t="str">
        <f>VLOOKUP(Tabla15[[#This Row],[N° 
Evento]],'Eventos de riesgos'!B:H,7,0)</f>
        <v>Asociado informa su inconformidad mediante la PQRSF N1461.Buenos días señores consejeros, ante la no respuesta por las directivas de la cooperativa, les comento que desde el mes de enero de 2023, realice unos CDAT con periodo de vencimiento a 6 meses, solicite los títulos físicos que me fueran enviados a Febor a la oficina en Medellín, uno de los títulos fue expedido a 1 año y solicite la aclaración con el asesor, ante la no respuesta hable con la señora Johana que quedo de resolver el impase y de remitir los títulos físicos y hasta la fecha no he recibido respuesta alguna y el CDAT sigue sin su corrección, ya no se quien hablar por esta razón me dirijo a ustedes para ver que se puede hacer. Muchas gracias por su colaboración.
Proyección de respuesta - presentada al Consejo de Administración en sesión del 23 de marzo 2023.Apreciado Asociado, Jorge MartínezReciba un cordial saludo Para Febor Entidad Cooperativa, la razón de ser son ustedes nuestros asociados y estamos siempre atentos a sus inquietudes y notificaciones, En atención a la queja remitida, queremos que sepa que entendemos totalmente su malestar, así mismo manifestarle que tal y como le informo la Dirección de servicio al asociado vía telefónica, desde el momento mismo en el que esta se recibió, se realizaron las verificaciones correspondientes a fin de determinar lo ocurrido con la renovación de los títulos relacionados en su correo (20127 y 20140).Teniendo en cuenta que por error humano el título Cdat Nro. 20140 no fue renovado según sus indicaciones, tal y como se le informo vía telefónica; la liquidación de este se hará con las condiciones de plazo y tasa solicitadas por nuestro asociado. Condiciones descritas en el certificado que se envió a través de correo electrónico, Whatsapp, y que se entregará en físico el sábado 25 de marzo en la Asamblea General de Delegados 2023, así como Don Jorge lo solicito.Le expresamos nuestras sinceras disculpas por la situación que generó su inconformidad, hemos tomado los correctivos necesarios para dichas situaciones no se presenten con ninguno de nuestros asociados.</v>
      </c>
      <c r="U97" s="49">
        <f>VLOOKUP(Tabla15[[#This Row],[N° 
Evento]],'Eventos de riesgos'!B:I,8,0)</f>
        <v>0</v>
      </c>
      <c r="V97" s="49">
        <f>VLOOKUP(Tabla15[[#This Row],[N° 
Evento]],'Eventos de riesgos'!B:J,9,0)</f>
        <v>0</v>
      </c>
      <c r="W97" s="49">
        <f>VLOOKUP(Tabla15[[#This Row],[N° 
Evento]],'Eventos de riesgos'!B:K,10,0)</f>
        <v>0</v>
      </c>
      <c r="X97" s="44" t="str">
        <f>VLOOKUP(Tabla15[[#This Row],[N° 
Evento]],'Eventos de riesgos'!B:L,11,0)</f>
        <v>4 - Asociados o Clientes</v>
      </c>
      <c r="Y97" s="44" t="str">
        <f>VLOOKUP(Tabla15[[#This Row],[N° 
Evento]],'Eventos de riesgos'!B:M,12,0)</f>
        <v>43 - Productos o Servicios Defectuosos</v>
      </c>
      <c r="Z97" s="44" t="str">
        <f>VLOOKUP(Tabla15[[#This Row],[N° 
Evento]],'Eventos de riesgos'!B:N,13,0)</f>
        <v>431 - Defectos del Producto</v>
      </c>
      <c r="AA97" s="44" t="str">
        <f>+VLOOKUP(Tabla15[[#This Row],[N° 
Evento]],'Eventos de riesgos'!$B$1:$AA$87,23,0)</f>
        <v>Error en creación de productos</v>
      </c>
      <c r="AB97" s="43" t="str">
        <f>VLOOKUP(Tabla15[[#This Row],[N° 
Evento]],'Eventos de riesgos'!B:O,14,0)</f>
        <v>Ninguna</v>
      </c>
      <c r="AC97" s="48">
        <f>VLOOKUP(Tabla15[[#This Row],[N° 
Evento]],'Eventos de riesgos'!B:P,15,0)</f>
        <v>45016.832638888889</v>
      </c>
      <c r="AD97" s="43" t="str">
        <f>VLOOKUP(Tabla15[[#This Row],[N° 
Evento]],'Eventos de riesgos'!B:Q,16,0)</f>
        <v>CDAT</v>
      </c>
      <c r="AE97" s="43" t="str">
        <f>VLOOKUP(Tabla15[[#This Row],[N° 
Evento]],'Eventos de riesgos'!B:R,17,0)</f>
        <v>Buzón Quejas y Reclamos</v>
      </c>
      <c r="AF97" s="45" t="str">
        <f>VLOOKUP(Tabla15[[#This Row],[N° 
Evento]],'Eventos de riesgos'!B:V,21,0)</f>
        <v>Aprobado</v>
      </c>
      <c r="AG97" s="44" t="str">
        <f>VLOOKUP(Tabla15[[#This Row],[N° 
Evento]],'Eventos de riesgos'!B:W,22,0)</f>
        <v>27/03/2023 20:01:15: Registro de primera parte del evento de riesgo
28/03/2023 09:33:18: Se añade más información del evento de riesgo
28/03/2023 09:36:24: .</v>
      </c>
    </row>
    <row r="98" spans="3:33" ht="59" customHeight="1" x14ac:dyDescent="0.55000000000000004">
      <c r="C98" s="43" t="str">
        <f>+Tabla15[[#This Row],[N° 
Evento]]&amp;"-"&amp;Tabla15[[#This Row],[N° Tarea]]</f>
        <v>40-2</v>
      </c>
      <c r="D98" s="43">
        <v>40</v>
      </c>
      <c r="E98" s="43">
        <v>2</v>
      </c>
      <c r="F98" s="44" t="s">
        <v>351</v>
      </c>
      <c r="G98" s="44" t="s">
        <v>1052</v>
      </c>
      <c r="H98" s="44" t="s">
        <v>760</v>
      </c>
      <c r="I98" s="45" t="s">
        <v>95</v>
      </c>
      <c r="J98" s="46">
        <v>45006</v>
      </c>
      <c r="K98" s="46">
        <v>45010</v>
      </c>
      <c r="L98" s="47" t="str">
        <f>IF(Tabla15[[#This Row],[Fecha de Finalización]]&gt;0,"Cerrada","En Proceso")</f>
        <v>Cerrada</v>
      </c>
      <c r="M98" s="43">
        <f t="shared" si="2"/>
        <v>4</v>
      </c>
      <c r="N98" s="44" t="s">
        <v>247</v>
      </c>
      <c r="O98" s="43">
        <f>VLOOKUP(Tabla15[[#This Row],[N° 
Evento]],'Eventos de riesgos'!B:C,2,0)</f>
        <v>2023</v>
      </c>
      <c r="P98" s="43" t="str">
        <f>VLOOKUP(Tabla15[[#This Row],[N° 
Evento]],'Eventos de riesgos'!B:D,3,0)</f>
        <v>Mar</v>
      </c>
      <c r="Q98" s="48">
        <f>VLOOKUP(Tabla15[[#This Row],[N° 
Evento]],'Eventos de riesgos'!B:E,4,0)</f>
        <v>45006.831944444442</v>
      </c>
      <c r="R98" s="48">
        <f>VLOOKUP(Tabla15[[#This Row],[N° 
Evento]],'Eventos de riesgos'!B:F,5,0)</f>
        <v>45006.831944444442</v>
      </c>
      <c r="S98" s="48">
        <f>VLOOKUP(Tabla15[[#This Row],[N° 
Evento]],'Eventos de riesgos'!B:G,6,0)</f>
        <v>45010.831944444442</v>
      </c>
      <c r="T98" s="62" t="str">
        <f>VLOOKUP(Tabla15[[#This Row],[N° 
Evento]],'Eventos de riesgos'!B:H,7,0)</f>
        <v>Asociado informa su inconformidad mediante la PQRSF N1461.Buenos días señores consejeros, ante la no respuesta por las directivas de la cooperativa, les comento que desde el mes de enero de 2023, realice unos CDAT con periodo de vencimiento a 6 meses, solicite los títulos físicos que me fueran enviados a Febor a la oficina en Medellín, uno de los títulos fue expedido a 1 año y solicite la aclaración con el asesor, ante la no respuesta hable con la señora Johana que quedo de resolver el impase y de remitir los títulos físicos y hasta la fecha no he recibido respuesta alguna y el CDAT sigue sin su corrección, ya no se quien hablar por esta razón me dirijo a ustedes para ver que se puede hacer. Muchas gracias por su colaboración.
Proyección de respuesta - presentada al Consejo de Administración en sesión del 23 de marzo 2023.Apreciado Asociado, Jorge MartínezReciba un cordial saludo Para Febor Entidad Cooperativa, la razón de ser son ustedes nuestros asociados y estamos siempre atentos a sus inquietudes y notificaciones, En atención a la queja remitida, queremos que sepa que entendemos totalmente su malestar, así mismo manifestarle que tal y como le informo la Dirección de servicio al asociado vía telefónica, desde el momento mismo en el que esta se recibió, se realizaron las verificaciones correspondientes a fin de determinar lo ocurrido con la renovación de los títulos relacionados en su correo (20127 y 20140).Teniendo en cuenta que por error humano el título Cdat Nro. 20140 no fue renovado según sus indicaciones, tal y como se le informo vía telefónica; la liquidación de este se hará con las condiciones de plazo y tasa solicitadas por nuestro asociado. Condiciones descritas en el certificado que se envió a través de correo electrónico, Whatsapp, y que se entregará en físico el sábado 25 de marzo en la Asamblea General de Delegados 2023, así como Don Jorge lo solicito.Le expresamos nuestras sinceras disculpas por la situación que generó su inconformidad, hemos tomado los correctivos necesarios para dichas situaciones no se presenten con ninguno de nuestros asociados.</v>
      </c>
      <c r="U98" s="49">
        <f>VLOOKUP(Tabla15[[#This Row],[N° 
Evento]],'Eventos de riesgos'!B:I,8,0)</f>
        <v>0</v>
      </c>
      <c r="V98" s="49">
        <f>VLOOKUP(Tabla15[[#This Row],[N° 
Evento]],'Eventos de riesgos'!B:J,9,0)</f>
        <v>0</v>
      </c>
      <c r="W98" s="49">
        <f>VLOOKUP(Tabla15[[#This Row],[N° 
Evento]],'Eventos de riesgos'!B:K,10,0)</f>
        <v>0</v>
      </c>
      <c r="X98" s="44" t="str">
        <f>VLOOKUP(Tabla15[[#This Row],[N° 
Evento]],'Eventos de riesgos'!B:L,11,0)</f>
        <v>4 - Asociados o Clientes</v>
      </c>
      <c r="Y98" s="44" t="str">
        <f>VLOOKUP(Tabla15[[#This Row],[N° 
Evento]],'Eventos de riesgos'!B:M,12,0)</f>
        <v>43 - Productos o Servicios Defectuosos</v>
      </c>
      <c r="Z98" s="44" t="str">
        <f>VLOOKUP(Tabla15[[#This Row],[N° 
Evento]],'Eventos de riesgos'!B:N,13,0)</f>
        <v>431 - Defectos del Producto</v>
      </c>
      <c r="AA98" s="44" t="str">
        <f>+VLOOKUP(Tabla15[[#This Row],[N° 
Evento]],'Eventos de riesgos'!$B$1:$AA$87,23,0)</f>
        <v>Error en creación de productos</v>
      </c>
      <c r="AB98" s="43" t="str">
        <f>VLOOKUP(Tabla15[[#This Row],[N° 
Evento]],'Eventos de riesgos'!B:O,14,0)</f>
        <v>Ninguna</v>
      </c>
      <c r="AC98" s="48">
        <f>VLOOKUP(Tabla15[[#This Row],[N° 
Evento]],'Eventos de riesgos'!B:P,15,0)</f>
        <v>45016.832638888889</v>
      </c>
      <c r="AD98" s="43" t="str">
        <f>VLOOKUP(Tabla15[[#This Row],[N° 
Evento]],'Eventos de riesgos'!B:Q,16,0)</f>
        <v>CDAT</v>
      </c>
      <c r="AE98" s="43" t="str">
        <f>VLOOKUP(Tabla15[[#This Row],[N° 
Evento]],'Eventos de riesgos'!B:R,17,0)</f>
        <v>Buzón Quejas y Reclamos</v>
      </c>
      <c r="AF98" s="45" t="str">
        <f>VLOOKUP(Tabla15[[#This Row],[N° 
Evento]],'Eventos de riesgos'!B:V,21,0)</f>
        <v>Aprobado</v>
      </c>
      <c r="AG98" s="44" t="str">
        <f>VLOOKUP(Tabla15[[#This Row],[N° 
Evento]],'Eventos de riesgos'!B:W,22,0)</f>
        <v>27/03/2023 20:01:15: Registro de primera parte del evento de riesgo
28/03/2023 09:33:18: Se añade más información del evento de riesgo
28/03/2023 09:36:24: .</v>
      </c>
    </row>
    <row r="99" spans="3:33" ht="59" customHeight="1" x14ac:dyDescent="0.55000000000000004">
      <c r="C99" s="43" t="str">
        <f>+Tabla15[[#This Row],[N° 
Evento]]&amp;"-"&amp;Tabla15[[#This Row],[N° Tarea]]</f>
        <v>41-1</v>
      </c>
      <c r="D99" s="43">
        <v>41</v>
      </c>
      <c r="E99" s="43">
        <v>1</v>
      </c>
      <c r="F99" s="44" t="s">
        <v>272</v>
      </c>
      <c r="G99" s="44" t="s">
        <v>1052</v>
      </c>
      <c r="H99" s="44" t="s">
        <v>771</v>
      </c>
      <c r="I99" s="45" t="s">
        <v>273</v>
      </c>
      <c r="J99" s="46">
        <v>45006</v>
      </c>
      <c r="K99" s="46">
        <v>45026</v>
      </c>
      <c r="L99" s="47" t="str">
        <f>IF(Tabla15[[#This Row],[Fecha de Finalización]]&gt;0,"Cerrada","En Proceso")</f>
        <v>Cerrada</v>
      </c>
      <c r="M99" s="43">
        <f t="shared" si="2"/>
        <v>20</v>
      </c>
      <c r="N99" s="44" t="s">
        <v>393</v>
      </c>
      <c r="O99" s="43">
        <f>VLOOKUP(Tabla15[[#This Row],[N° 
Evento]],'Eventos de riesgos'!B:C,2,0)</f>
        <v>2023</v>
      </c>
      <c r="P99" s="43" t="str">
        <f>VLOOKUP(Tabla15[[#This Row],[N° 
Evento]],'Eventos de riesgos'!B:D,3,0)</f>
        <v>Mar</v>
      </c>
      <c r="Q99" s="48">
        <f>VLOOKUP(Tabla15[[#This Row],[N° 
Evento]],'Eventos de riesgos'!B:E,4,0)</f>
        <v>45006.836111111108</v>
      </c>
      <c r="R99" s="48">
        <f>VLOOKUP(Tabla15[[#This Row],[N° 
Evento]],'Eventos de riesgos'!B:F,5,0)</f>
        <v>45006.836111111108</v>
      </c>
      <c r="S99" s="48">
        <f>VLOOKUP(Tabla15[[#This Row],[N° 
Evento]],'Eventos de riesgos'!B:G,6,0)</f>
        <v>45006.836111111108</v>
      </c>
      <c r="T99" s="62" t="str">
        <f>VLOOKUP(Tabla15[[#This Row],[N° 
Evento]],'Eventos de riesgos'!B:H,7,0)</f>
        <v>Buenas tardes
Me permito reportar que el formato de la impresión de los cheques esta desajustado nuevamente, este es un error por parte de WOG que constantemente esta sucediendo, se reporta y por parte de proveedor medio lo arreglan y vuelven a desajustarse; la última vez que se reportó no arreglaron el error y fuimos nosotros que pudimos buscar una solución temporal pero ahora nuevamente esta desajustado y en esta ocasión ni imprimiendo en formato carta o A4 se logra obtener la impresión correcta.
Agradezco a ustedes gestionar de forma urgente y definitiva el arreglo de estas impresiones, no es la primera vez que pasa este inconveniente y el proveedor puede durar hasta meses sin solucionar esto; si no contamos con esta herramienta incurrimos en una sobrecarga operativa y generamos un riesgo muy alto al realizar cheques de forma manual que no están sistematizados y aplicados directamente a cada operación del asociado como debe ser.
Anexo soporte de la imagen de cómo esta imprimiendo en este momento.</v>
      </c>
      <c r="U99" s="49">
        <f>VLOOKUP(Tabla15[[#This Row],[N° 
Evento]],'Eventos de riesgos'!B:I,8,0)</f>
        <v>0</v>
      </c>
      <c r="V99" s="49">
        <f>VLOOKUP(Tabla15[[#This Row],[N° 
Evento]],'Eventos de riesgos'!B:J,9,0)</f>
        <v>0</v>
      </c>
      <c r="W99" s="49">
        <f>VLOOKUP(Tabla15[[#This Row],[N° 
Evento]],'Eventos de riesgos'!B:K,10,0)</f>
        <v>0</v>
      </c>
      <c r="X99" s="44" t="str">
        <f>VLOOKUP(Tabla15[[#This Row],[N° 
Evento]],'Eventos de riesgos'!B:L,11,0)</f>
        <v>7 - Ejecución y Administración de Procesos</v>
      </c>
      <c r="Y99" s="44" t="str">
        <f>VLOOKUP(Tabla15[[#This Row],[N° 
Evento]],'Eventos de riesgos'!B:M,12,0)</f>
        <v>71 - Recepción, Ejecución y Mantenimiento de Operaciones</v>
      </c>
      <c r="Z99" s="44" t="str">
        <f>VLOOKUP(Tabla15[[#This Row],[N° 
Evento]],'Eventos de riesgos'!B:N,13,0)</f>
        <v>712 - Errores en Digitación de Datos, Mantenimiento o Descarga</v>
      </c>
      <c r="AA99" s="44" t="str">
        <f>+VLOOKUP(Tabla15[[#This Row],[N° 
Evento]],'Eventos de riesgos'!$B$1:$AA$87,23,0)</f>
        <v>Retrasos por cheques dañados</v>
      </c>
      <c r="AB99" s="43" t="str">
        <f>VLOOKUP(Tabla15[[#This Row],[N° 
Evento]],'Eventos de riesgos'!B:O,14,0)</f>
        <v>Ninguna</v>
      </c>
      <c r="AC99" s="48">
        <f>VLOOKUP(Tabla15[[#This Row],[N° 
Evento]],'Eventos de riesgos'!B:P,15,0)</f>
        <v>45016.836111111108</v>
      </c>
      <c r="AD99" s="43" t="str">
        <f>VLOOKUP(Tabla15[[#This Row],[N° 
Evento]],'Eventos de riesgos'!B:Q,16,0)</f>
        <v>Varios tipos de crédito</v>
      </c>
      <c r="AE99" s="43" t="str">
        <f>VLOOKUP(Tabla15[[#This Row],[N° 
Evento]],'Eventos de riesgos'!B:R,17,0)</f>
        <v>Ninguno</v>
      </c>
      <c r="AF99" s="45" t="str">
        <f>VLOOKUP(Tabla15[[#This Row],[N° 
Evento]],'Eventos de riesgos'!B:V,21,0)</f>
        <v>Aprobado</v>
      </c>
      <c r="AG99" s="44" t="str">
        <f>VLOOKUP(Tabla15[[#This Row],[N° 
Evento]],'Eventos de riesgos'!B:W,22,0)</f>
        <v>27/03/2023 20:07:15: Registro de la primera parte del evento de riesgo</v>
      </c>
    </row>
    <row r="100" spans="3:33" ht="59" customHeight="1" x14ac:dyDescent="0.55000000000000004">
      <c r="C100" s="43" t="str">
        <f>+Tabla15[[#This Row],[N° 
Evento]]&amp;"-"&amp;Tabla15[[#This Row],[N° Tarea]]</f>
        <v>42-1</v>
      </c>
      <c r="D100" s="43">
        <v>42</v>
      </c>
      <c r="E100" s="43">
        <v>1</v>
      </c>
      <c r="F100" s="44" t="s">
        <v>352</v>
      </c>
      <c r="G100" s="44" t="s">
        <v>1052</v>
      </c>
      <c r="H100" s="44" t="s">
        <v>771</v>
      </c>
      <c r="I100" s="45" t="s">
        <v>273</v>
      </c>
      <c r="J100" s="46">
        <v>45026</v>
      </c>
      <c r="K100" s="46">
        <v>45031</v>
      </c>
      <c r="L100" s="47" t="str">
        <f>IF(Tabla15[[#This Row],[Fecha de Finalización]]&gt;0,"Cerrada","En Proceso")</f>
        <v>Cerrada</v>
      </c>
      <c r="M100" s="43">
        <f t="shared" si="2"/>
        <v>5</v>
      </c>
      <c r="N100" s="44" t="s">
        <v>353</v>
      </c>
      <c r="O100" s="43">
        <f>VLOOKUP(Tabla15[[#This Row],[N° 
Evento]],'Eventos de riesgos'!B:C,2,0)</f>
        <v>2023</v>
      </c>
      <c r="P100" s="43" t="str">
        <f>VLOOKUP(Tabla15[[#This Row],[N° 
Evento]],'Eventos de riesgos'!B:D,3,0)</f>
        <v>Abr</v>
      </c>
      <c r="Q100" s="48">
        <f>VLOOKUP(Tabla15[[#This Row],[N° 
Evento]],'Eventos de riesgos'!B:E,4,0)</f>
        <v>45026.375</v>
      </c>
      <c r="R100" s="48">
        <f>VLOOKUP(Tabla15[[#This Row],[N° 
Evento]],'Eventos de riesgos'!B:F,5,0)</f>
        <v>45026.375</v>
      </c>
      <c r="S100" s="48">
        <f>VLOOKUP(Tabla15[[#This Row],[N° 
Evento]],'Eventos de riesgos'!B:G,6,0)</f>
        <v>45026.375</v>
      </c>
      <c r="T100" s="62" t="str">
        <f>VLOOKUP(Tabla15[[#This Row],[N° 
Evento]],'Eventos de riesgos'!B:H,7,0)</f>
        <v>Siguiendo las indicaciones de enviar el equipo de computo dado que se realizo cambio de portátil la funcionaria Lina Susana Herrera de la ciudad de Cali, envía a Bogotá por la empresa de mensajería de Servientrega con el número de guía 1151920637. En la que el area de TI realiza seguimiento del equipo y se evidencia que el equipo fue hurtado en el momento de hacer la entrega Servientrega, la empresa responde mediante correo (anexo archivo) lo sucedido y dado que el equipo fue asegurado por el valor de $1'000.000 pesos.Cabe recordar las políticas de seguridad de la información en la cual las dos particiones de disco duro se encuentran Cifradas por Bit Locker, adicionalmente se realizo cambio de credenciales de los usuarios (Correo, orfeo, Wfs, cooperativa digital).
Tareas pendientes:
Seguimiento a la ejecución de la póliza por parte de la aseguradora.
Respuesta
Señor(es) FEBOR ENTIDAD COOPERATIVA CLL. 42 # 08A-80 Teléfono: 3102008291 CALI (VALLE) Ref: CUN : 1163263, Guía No.1151920637 Reciba un cordial saludo de la Organización Servientrega S.A. En atención a su comunicación nos permitimos informarle que, para la Organización Servientrega S.A., las no conformidades en el Servicio reclamado por nuestros Clientes son muy importantes, lo que nos obliga a optimizar la calidad en cada uno de los procesos. En respuesta a su inconformidad enviada en días pasados, en la cual nos expresa la situación presentada con el envío amparado bajo la guía en referencia, y revisando de manera puntual la trazabilidad y los hechos que rodearon el proceso de transporte del envío, nos permitimos informar que han sido agotados los recursos de Busqueda, en apoyo con los procesos de Logistica y seguridad, y no ha sido exitosa la ubicacion del envio por ende se establece EL SINIESTRO EXTERNO del envio, siendo procedente la reclamacion del cliente con base en el contrato de transporte De acuerdo a lo anterior, ofrecemos disculpas por los inconvenientes ocasionados y agradecemos a clientes que como usted nos ayuda a mejorar la calidad de nuestro servicio, de igual manera Servientrega S.A., estará generando una compensación por la suma de CIENTO DIECISEIS MIL CUATROCIENTOS NOVENTA PESOS M/CTE ($116,490. 0oo). Este monto corresponde al valor declarado en el contrato de transporte (guía) Dicho pago se efectuará mediante Nota Crédito, el cual estaremos enviando a la Dirección de Correspondencia. Reiteramos nuestra vocación de servicio y deseamos poder atenderlo nuevamente en el futuro, seguros de brindar, como siempre, nuestro mejor esfuerzo y servicio; agradecemos tener en cuenta que el valor declarado diligenciado o manifestado en la guía debe ser 100% real al valor Comercial del Articulo. Continuamos fortaleciendo nuestro compromiso de eficiencia y calidad integral. Comedidamente; Lizeth Sanchez ArenasProceso de CompensacionesRegional Occidente Cra 34 No. 10-260 Acopi. Conmutador: 6912999 Ext 120051 – 120052 Cali, Valle del Cauca. www.servientrega.com</v>
      </c>
      <c r="U100" s="49">
        <f>VLOOKUP(Tabla15[[#This Row],[N° 
Evento]],'Eventos de riesgos'!B:I,8,0)</f>
        <v>1145000</v>
      </c>
      <c r="V100" s="49">
        <f>VLOOKUP(Tabla15[[#This Row],[N° 
Evento]],'Eventos de riesgos'!B:J,9,0)</f>
        <v>116490</v>
      </c>
      <c r="W100" s="49">
        <f>VLOOKUP(Tabla15[[#This Row],[N° 
Evento]],'Eventos de riesgos'!B:K,10,0)</f>
        <v>116490</v>
      </c>
      <c r="X100" s="44" t="str">
        <f>VLOOKUP(Tabla15[[#This Row],[N° 
Evento]],'Eventos de riesgos'!B:L,11,0)</f>
        <v>5 - Daños a Activos Fisicos</v>
      </c>
      <c r="Y100" s="44" t="str">
        <f>VLOOKUP(Tabla15[[#This Row],[N° 
Evento]],'Eventos de riesgos'!B:M,12,0)</f>
        <v>51 - Desastres y Otros Acontecimientos</v>
      </c>
      <c r="Z100" s="44" t="str">
        <f>VLOOKUP(Tabla15[[#This Row],[N° 
Evento]],'Eventos de riesgos'!B:N,13,0)</f>
        <v>512 - Pérdida por Causas Externas: Vandalismo, Terrorismo, Etc.</v>
      </c>
      <c r="AA100" s="44" t="str">
        <f>+VLOOKUP(Tabla15[[#This Row],[N° 
Evento]],'Eventos de riesgos'!$B$1:$AA$87,23,0)</f>
        <v>Robo de equipo de computo</v>
      </c>
      <c r="AB100" s="43" t="str">
        <f>VLOOKUP(Tabla15[[#This Row],[N° 
Evento]],'Eventos de riesgos'!B:O,14,0)</f>
        <v>Ninguna</v>
      </c>
      <c r="AC100" s="48">
        <f>VLOOKUP(Tabla15[[#This Row],[N° 
Evento]],'Eventos de riesgos'!B:P,15,0)</f>
        <v>45044.729166666664</v>
      </c>
      <c r="AD100" s="43" t="str">
        <f>VLOOKUP(Tabla15[[#This Row],[N° 
Evento]],'Eventos de riesgos'!B:Q,16,0)</f>
        <v>Ninguno</v>
      </c>
      <c r="AE100" s="43" t="str">
        <f>VLOOKUP(Tabla15[[#This Row],[N° 
Evento]],'Eventos de riesgos'!B:R,17,0)</f>
        <v>Ninguno</v>
      </c>
      <c r="AF100" s="45" t="str">
        <f>VLOOKUP(Tabla15[[#This Row],[N° 
Evento]],'Eventos de riesgos'!B:V,21,0)</f>
        <v>Aprobado</v>
      </c>
      <c r="AG100" s="44" t="str">
        <f>VLOOKUP(Tabla15[[#This Row],[N° 
Evento]],'Eventos de riesgos'!B:W,22,0)</f>
        <v>16/04/2023 20:30:09: Aceptado el Evento de Riesgo
11/05/2023 10:38:40: Actualización de respuesta por parte de Servientrega</v>
      </c>
    </row>
    <row r="101" spans="3:33" ht="59" customHeight="1" x14ac:dyDescent="0.55000000000000004">
      <c r="C101" s="43" t="str">
        <f>+Tabla15[[#This Row],[N° 
Evento]]&amp;"-"&amp;Tabla15[[#This Row],[N° Tarea]]</f>
        <v>43-1</v>
      </c>
      <c r="D101" s="43">
        <v>43</v>
      </c>
      <c r="E101" s="43">
        <v>1</v>
      </c>
      <c r="F101" s="44" t="s">
        <v>354</v>
      </c>
      <c r="G101" s="44" t="s">
        <v>1052</v>
      </c>
      <c r="H101" s="44" t="s">
        <v>760</v>
      </c>
      <c r="I101" s="45" t="s">
        <v>95</v>
      </c>
      <c r="J101" s="46">
        <v>45037</v>
      </c>
      <c r="K101" s="46">
        <v>45037</v>
      </c>
      <c r="L101" s="47" t="str">
        <f>IF(Tabla15[[#This Row],[Fecha de Finalización]]&gt;0,"Cerrada","En Proceso")</f>
        <v>Cerrada</v>
      </c>
      <c r="M101" s="43">
        <f t="shared" si="2"/>
        <v>0</v>
      </c>
      <c r="N101" s="44" t="s">
        <v>247</v>
      </c>
      <c r="O101" s="43">
        <f>VLOOKUP(Tabla15[[#This Row],[N° 
Evento]],'Eventos de riesgos'!B:C,2,0)</f>
        <v>2023</v>
      </c>
      <c r="P101" s="43" t="str">
        <f>VLOOKUP(Tabla15[[#This Row],[N° 
Evento]],'Eventos de riesgos'!B:D,3,0)</f>
        <v>Abr</v>
      </c>
      <c r="Q101" s="48">
        <f>VLOOKUP(Tabla15[[#This Row],[N° 
Evento]],'Eventos de riesgos'!B:E,4,0)</f>
        <v>45036.460416666669</v>
      </c>
      <c r="R101" s="48">
        <f>VLOOKUP(Tabla15[[#This Row],[N° 
Evento]],'Eventos de riesgos'!B:F,5,0)</f>
        <v>45037.467361111114</v>
      </c>
      <c r="S101" s="48">
        <f>VLOOKUP(Tabla15[[#This Row],[N° 
Evento]],'Eventos de riesgos'!B:G,6,0)</f>
        <v>45037.467361111114</v>
      </c>
      <c r="T101" s="62" t="str">
        <f>VLOOKUP(Tabla15[[#This Row],[N° 
Evento]],'Eventos de riesgos'!B:H,7,0)</f>
        <v>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v>
      </c>
      <c r="U101" s="49">
        <f>VLOOKUP(Tabla15[[#This Row],[N° 
Evento]],'Eventos de riesgos'!B:I,8,0)</f>
        <v>56000</v>
      </c>
      <c r="V101" s="49">
        <f>VLOOKUP(Tabla15[[#This Row],[N° 
Evento]],'Eventos de riesgos'!B:J,9,0)</f>
        <v>0</v>
      </c>
      <c r="W101" s="49">
        <f>VLOOKUP(Tabla15[[#This Row],[N° 
Evento]],'Eventos de riesgos'!B:K,10,0)</f>
        <v>0</v>
      </c>
      <c r="X101" s="44" t="str">
        <f>VLOOKUP(Tabla15[[#This Row],[N° 
Evento]],'Eventos de riesgos'!B:L,11,0)</f>
        <v>7 - Ejecución y Administración de Procesos</v>
      </c>
      <c r="Y101" s="44" t="str">
        <f>VLOOKUP(Tabla15[[#This Row],[N° 
Evento]],'Eventos de riesgos'!B:M,12,0)</f>
        <v>71 - Recepción, Ejecución y Mantenimiento de Operaciones</v>
      </c>
      <c r="Z101" s="44" t="str">
        <f>VLOOKUP(Tabla15[[#This Row],[N° 
Evento]],'Eventos de riesgos'!B:N,13,0)</f>
        <v>712 - Errores en Digitación de Datos, Mantenimiento o Descarga</v>
      </c>
      <c r="AA101" s="44" t="str">
        <f>+VLOOKUP(Tabla15[[#This Row],[N° 
Evento]],'Eventos de riesgos'!$B$1:$AA$87,23,0)</f>
        <v>Informacion errada a los asociados</v>
      </c>
      <c r="AB101" s="43" t="str">
        <f>VLOOKUP(Tabla15[[#This Row],[N° 
Evento]],'Eventos de riesgos'!B:O,14,0)</f>
        <v>Ninguna</v>
      </c>
      <c r="AC101" s="48">
        <f>VLOOKUP(Tabla15[[#This Row],[N° 
Evento]],'Eventos de riesgos'!B:P,15,0)</f>
        <v>45046.468055555553</v>
      </c>
      <c r="AD101" s="43" t="str">
        <f>VLOOKUP(Tabla15[[#This Row],[N° 
Evento]],'Eventos de riesgos'!B:Q,16,0)</f>
        <v>CDAT</v>
      </c>
      <c r="AE101" s="43" t="str">
        <f>VLOOKUP(Tabla15[[#This Row],[N° 
Evento]],'Eventos de riesgos'!B:R,17,0)</f>
        <v>Atención en oficina</v>
      </c>
      <c r="AF101" s="45" t="str">
        <f>VLOOKUP(Tabla15[[#This Row],[N° 
Evento]],'Eventos de riesgos'!B:V,21,0)</f>
        <v>Aprobado</v>
      </c>
      <c r="AG101" s="44" t="str">
        <f>VLOOKUP(Tabla15[[#This Row],[N° 
Evento]],'Eventos de riesgos'!B:W,22,0)</f>
        <v>21/04/2023 11:27:05: Aprobado el registro
11/05/2023 10:04:07: Actualización de tareas. Se crea la incidencia 58190 - correo: Soporte WOG-Información estado de cuenta VS planes de cuotas vencidos (21 abril 2023)</v>
      </c>
    </row>
    <row r="102" spans="3:33" ht="59" customHeight="1" x14ac:dyDescent="0.55000000000000004">
      <c r="C102" s="43" t="str">
        <f>+Tabla15[[#This Row],[N° 
Evento]]&amp;"-"&amp;Tabla15[[#This Row],[N° Tarea]]</f>
        <v>43-2</v>
      </c>
      <c r="D102" s="43">
        <v>43</v>
      </c>
      <c r="E102" s="43">
        <v>2</v>
      </c>
      <c r="F102" s="44" t="s">
        <v>355</v>
      </c>
      <c r="G102" s="44" t="s">
        <v>1052</v>
      </c>
      <c r="H102" s="44" t="s">
        <v>215</v>
      </c>
      <c r="I102" s="45" t="s">
        <v>91</v>
      </c>
      <c r="J102" s="46">
        <v>45037</v>
      </c>
      <c r="K102" s="46">
        <v>45037</v>
      </c>
      <c r="L102" s="47" t="str">
        <f>IF(Tabla15[[#This Row],[Fecha de Finalización]]&gt;0,"Cerrada","En Proceso")</f>
        <v>Cerrada</v>
      </c>
      <c r="M102" s="43">
        <f t="shared" si="2"/>
        <v>0</v>
      </c>
      <c r="N102" s="44" t="s">
        <v>356</v>
      </c>
      <c r="O102" s="43">
        <f>VLOOKUP(Tabla15[[#This Row],[N° 
Evento]],'Eventos de riesgos'!B:C,2,0)</f>
        <v>2023</v>
      </c>
      <c r="P102" s="43" t="str">
        <f>VLOOKUP(Tabla15[[#This Row],[N° 
Evento]],'Eventos de riesgos'!B:D,3,0)</f>
        <v>Abr</v>
      </c>
      <c r="Q102" s="48">
        <f>VLOOKUP(Tabla15[[#This Row],[N° 
Evento]],'Eventos de riesgos'!B:E,4,0)</f>
        <v>45036.460416666669</v>
      </c>
      <c r="R102" s="48">
        <f>VLOOKUP(Tabla15[[#This Row],[N° 
Evento]],'Eventos de riesgos'!B:F,5,0)</f>
        <v>45037.467361111114</v>
      </c>
      <c r="S102" s="48">
        <f>VLOOKUP(Tabla15[[#This Row],[N° 
Evento]],'Eventos de riesgos'!B:G,6,0)</f>
        <v>45037.467361111114</v>
      </c>
      <c r="T102" s="62" t="str">
        <f>VLOOKUP(Tabla15[[#This Row],[N° 
Evento]],'Eventos de riesgos'!B:H,7,0)</f>
        <v>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v>
      </c>
      <c r="U102" s="49">
        <f>VLOOKUP(Tabla15[[#This Row],[N° 
Evento]],'Eventos de riesgos'!B:I,8,0)</f>
        <v>56000</v>
      </c>
      <c r="V102" s="49">
        <f>VLOOKUP(Tabla15[[#This Row],[N° 
Evento]],'Eventos de riesgos'!B:J,9,0)</f>
        <v>0</v>
      </c>
      <c r="W102" s="49">
        <f>VLOOKUP(Tabla15[[#This Row],[N° 
Evento]],'Eventos de riesgos'!B:K,10,0)</f>
        <v>0</v>
      </c>
      <c r="X102" s="44" t="str">
        <f>VLOOKUP(Tabla15[[#This Row],[N° 
Evento]],'Eventos de riesgos'!B:L,11,0)</f>
        <v>7 - Ejecución y Administración de Procesos</v>
      </c>
      <c r="Y102" s="44" t="str">
        <f>VLOOKUP(Tabla15[[#This Row],[N° 
Evento]],'Eventos de riesgos'!B:M,12,0)</f>
        <v>71 - Recepción, Ejecución y Mantenimiento de Operaciones</v>
      </c>
      <c r="Z102" s="44" t="str">
        <f>VLOOKUP(Tabla15[[#This Row],[N° 
Evento]],'Eventos de riesgos'!B:N,13,0)</f>
        <v>712 - Errores en Digitación de Datos, Mantenimiento o Descarga</v>
      </c>
      <c r="AA102" s="44" t="str">
        <f>+VLOOKUP(Tabla15[[#This Row],[N° 
Evento]],'Eventos de riesgos'!$B$1:$AA$87,23,0)</f>
        <v>Informacion errada a los asociados</v>
      </c>
      <c r="AB102" s="43" t="str">
        <f>VLOOKUP(Tabla15[[#This Row],[N° 
Evento]],'Eventos de riesgos'!B:O,14,0)</f>
        <v>Ninguna</v>
      </c>
      <c r="AC102" s="48">
        <f>VLOOKUP(Tabla15[[#This Row],[N° 
Evento]],'Eventos de riesgos'!B:P,15,0)</f>
        <v>45046.468055555553</v>
      </c>
      <c r="AD102" s="43" t="str">
        <f>VLOOKUP(Tabla15[[#This Row],[N° 
Evento]],'Eventos de riesgos'!B:Q,16,0)</f>
        <v>CDAT</v>
      </c>
      <c r="AE102" s="43" t="str">
        <f>VLOOKUP(Tabla15[[#This Row],[N° 
Evento]],'Eventos de riesgos'!B:R,17,0)</f>
        <v>Atención en oficina</v>
      </c>
      <c r="AF102" s="45" t="str">
        <f>VLOOKUP(Tabla15[[#This Row],[N° 
Evento]],'Eventos de riesgos'!B:V,21,0)</f>
        <v>Aprobado</v>
      </c>
      <c r="AG102" s="44" t="str">
        <f>VLOOKUP(Tabla15[[#This Row],[N° 
Evento]],'Eventos de riesgos'!B:W,22,0)</f>
        <v>21/04/2023 11:27:05: Aprobado el registro
11/05/2023 10:04:07: Actualización de tareas. Se crea la incidencia 58190 - correo: Soporte WOG-Información estado de cuenta VS planes de cuotas vencidos (21 abril 2023)</v>
      </c>
    </row>
    <row r="103" spans="3:33" ht="59" customHeight="1" x14ac:dyDescent="0.55000000000000004">
      <c r="C103" s="43" t="str">
        <f>+Tabla15[[#This Row],[N° 
Evento]]&amp;"-"&amp;Tabla15[[#This Row],[N° Tarea]]</f>
        <v>43-3</v>
      </c>
      <c r="D103" s="43">
        <v>43</v>
      </c>
      <c r="E103" s="43">
        <v>3</v>
      </c>
      <c r="F103" s="44" t="s">
        <v>357</v>
      </c>
      <c r="G103" s="44" t="s">
        <v>1052</v>
      </c>
      <c r="H103" s="44" t="s">
        <v>215</v>
      </c>
      <c r="I103" s="45" t="s">
        <v>91</v>
      </c>
      <c r="J103" s="46">
        <v>45037</v>
      </c>
      <c r="K103" s="46">
        <v>45098</v>
      </c>
      <c r="L103" s="47" t="str">
        <f>IF(Tabla15[[#This Row],[Fecha de Finalización]]&gt;0,"Cerrada","En Proceso")</f>
        <v>Cerrada</v>
      </c>
      <c r="M103" s="43">
        <f t="shared" si="2"/>
        <v>61</v>
      </c>
      <c r="N103" s="44" t="s">
        <v>358</v>
      </c>
      <c r="O103" s="43">
        <f>VLOOKUP(Tabla15[[#This Row],[N° 
Evento]],'Eventos de riesgos'!B:C,2,0)</f>
        <v>2023</v>
      </c>
      <c r="P103" s="43" t="str">
        <f>VLOOKUP(Tabla15[[#This Row],[N° 
Evento]],'Eventos de riesgos'!B:D,3,0)</f>
        <v>Abr</v>
      </c>
      <c r="Q103" s="48">
        <f>VLOOKUP(Tabla15[[#This Row],[N° 
Evento]],'Eventos de riesgos'!B:E,4,0)</f>
        <v>45036.460416666669</v>
      </c>
      <c r="R103" s="48">
        <f>VLOOKUP(Tabla15[[#This Row],[N° 
Evento]],'Eventos de riesgos'!B:F,5,0)</f>
        <v>45037.467361111114</v>
      </c>
      <c r="S103" s="48">
        <f>VLOOKUP(Tabla15[[#This Row],[N° 
Evento]],'Eventos de riesgos'!B:G,6,0)</f>
        <v>45037.467361111114</v>
      </c>
      <c r="T103" s="62" t="str">
        <f>VLOOKUP(Tabla15[[#This Row],[N° 
Evento]],'Eventos de riesgos'!B:H,7,0)</f>
        <v>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v>
      </c>
      <c r="U103" s="49">
        <f>VLOOKUP(Tabla15[[#This Row],[N° 
Evento]],'Eventos de riesgos'!B:I,8,0)</f>
        <v>56000</v>
      </c>
      <c r="V103" s="49">
        <f>VLOOKUP(Tabla15[[#This Row],[N° 
Evento]],'Eventos de riesgos'!B:J,9,0)</f>
        <v>0</v>
      </c>
      <c r="W103" s="49">
        <f>VLOOKUP(Tabla15[[#This Row],[N° 
Evento]],'Eventos de riesgos'!B:K,10,0)</f>
        <v>0</v>
      </c>
      <c r="X103" s="44" t="str">
        <f>VLOOKUP(Tabla15[[#This Row],[N° 
Evento]],'Eventos de riesgos'!B:L,11,0)</f>
        <v>7 - Ejecución y Administración de Procesos</v>
      </c>
      <c r="Y103" s="44" t="str">
        <f>VLOOKUP(Tabla15[[#This Row],[N° 
Evento]],'Eventos de riesgos'!B:M,12,0)</f>
        <v>71 - Recepción, Ejecución y Mantenimiento de Operaciones</v>
      </c>
      <c r="Z103" s="44" t="str">
        <f>VLOOKUP(Tabla15[[#This Row],[N° 
Evento]],'Eventos de riesgos'!B:N,13,0)</f>
        <v>712 - Errores en Digitación de Datos, Mantenimiento o Descarga</v>
      </c>
      <c r="AA103" s="44" t="str">
        <f>+VLOOKUP(Tabla15[[#This Row],[N° 
Evento]],'Eventos de riesgos'!$B$1:$AA$87,23,0)</f>
        <v>Informacion errada a los asociados</v>
      </c>
      <c r="AB103" s="43" t="str">
        <f>VLOOKUP(Tabla15[[#This Row],[N° 
Evento]],'Eventos de riesgos'!B:O,14,0)</f>
        <v>Ninguna</v>
      </c>
      <c r="AC103" s="48">
        <f>VLOOKUP(Tabla15[[#This Row],[N° 
Evento]],'Eventos de riesgos'!B:P,15,0)</f>
        <v>45046.468055555553</v>
      </c>
      <c r="AD103" s="43" t="str">
        <f>VLOOKUP(Tabla15[[#This Row],[N° 
Evento]],'Eventos de riesgos'!B:Q,16,0)</f>
        <v>CDAT</v>
      </c>
      <c r="AE103" s="43" t="str">
        <f>VLOOKUP(Tabla15[[#This Row],[N° 
Evento]],'Eventos de riesgos'!B:R,17,0)</f>
        <v>Atención en oficina</v>
      </c>
      <c r="AF103" s="45" t="str">
        <f>VLOOKUP(Tabla15[[#This Row],[N° 
Evento]],'Eventos de riesgos'!B:V,21,0)</f>
        <v>Aprobado</v>
      </c>
      <c r="AG103" s="44" t="str">
        <f>VLOOKUP(Tabla15[[#This Row],[N° 
Evento]],'Eventos de riesgos'!B:W,22,0)</f>
        <v>21/04/2023 11:27:05: Aprobado el registro
11/05/2023 10:04:07: Actualización de tareas. Se crea la incidencia 58190 - correo: Soporte WOG-Información estado de cuenta VS planes de cuotas vencidos (21 abril 2023)</v>
      </c>
    </row>
    <row r="104" spans="3:33" ht="59" customHeight="1" x14ac:dyDescent="0.55000000000000004">
      <c r="C104" s="43" t="str">
        <f>+Tabla15[[#This Row],[N° 
Evento]]&amp;"-"&amp;Tabla15[[#This Row],[N° Tarea]]</f>
        <v>44-1</v>
      </c>
      <c r="D104" s="43">
        <v>44</v>
      </c>
      <c r="E104" s="43">
        <v>1</v>
      </c>
      <c r="F104" s="44" t="s">
        <v>359</v>
      </c>
      <c r="G104" s="44" t="s">
        <v>1052</v>
      </c>
      <c r="H104" s="44" t="s">
        <v>233</v>
      </c>
      <c r="I104" s="45" t="s">
        <v>240</v>
      </c>
      <c r="J104" s="46">
        <v>45049</v>
      </c>
      <c r="K104" s="46">
        <v>45049</v>
      </c>
      <c r="L104" s="47" t="str">
        <f>IF(Tabla15[[#This Row],[Fecha de Finalización]]&gt;0,"Cerrada","En Proceso")</f>
        <v>Cerrada</v>
      </c>
      <c r="M104" s="43">
        <f t="shared" si="2"/>
        <v>0</v>
      </c>
      <c r="N104" s="44" t="s">
        <v>247</v>
      </c>
      <c r="O104" s="43">
        <f>VLOOKUP(Tabla15[[#This Row],[N° 
Evento]],'Eventos de riesgos'!B:C,2,0)</f>
        <v>2023</v>
      </c>
      <c r="P104" s="43" t="str">
        <f>VLOOKUP(Tabla15[[#This Row],[N° 
Evento]],'Eventos de riesgos'!B:D,3,0)</f>
        <v>May</v>
      </c>
      <c r="Q104" s="48">
        <f>VLOOKUP(Tabla15[[#This Row],[N° 
Evento]],'Eventos de riesgos'!B:E,4,0)</f>
        <v>45035.365972222222</v>
      </c>
      <c r="R104" s="48">
        <f>VLOOKUP(Tabla15[[#This Row],[N° 
Evento]],'Eventos de riesgos'!B:F,5,0)</f>
        <v>45049.365972222222</v>
      </c>
      <c r="S104" s="48">
        <f>VLOOKUP(Tabla15[[#This Row],[N° 
Evento]],'Eventos de riesgos'!B:G,6,0)</f>
        <v>45049.365972222222</v>
      </c>
      <c r="T104" s="62" t="str">
        <f>VLOOKUP(Tabla15[[#This Row],[N° 
Evento]],'Eventos de riesgos'!B:H,7,0)</f>
        <v>Al llevar a cabo una seguimiento a las actividades confiadas al proveedor Contactos y Negocios S.A.S., fue posible detectar las siguientes irregularidades:
1) El proveedor se encarga de prestar el servicio de visitas domiciliarias a Febor Entidad Cooperativa, para lo cual debe visitar a los asociados en mora a nivel nacional y proponer formulas de arreglo para evitar un litigio futuro. En ejercicio de esta tarea, Febor remite un modelo de carta que se modifica todos los meses y debe ser entregada a los asociados en sobre cerrado para proteger su derecho al habeas data.
2) En abril del 2023, el proveedor no solo hizo entrega del modelo equivocado de cartas sino que, además, entregó 89 cartas sin sobre en los lugares de residencia y/o labor de los asociados morosos, exponiendo así los datos personales de los involucrados frente a terceras personas que intervinieran en la cadena de custodia de la misiva de cobro.
Acciones
1. Informar inmediatamente al proveedor sobre la falla, trasladando las quejas presentadas por los asociados.
2. Hacer seguimiento a la calidad de información suministrada en adelante por el proveedor</v>
      </c>
      <c r="U104" s="49">
        <f>VLOOKUP(Tabla15[[#This Row],[N° 
Evento]],'Eventos de riesgos'!B:I,8,0)</f>
        <v>0</v>
      </c>
      <c r="V104" s="49">
        <f>VLOOKUP(Tabla15[[#This Row],[N° 
Evento]],'Eventos de riesgos'!B:J,9,0)</f>
        <v>0</v>
      </c>
      <c r="W104" s="49">
        <f>VLOOKUP(Tabla15[[#This Row],[N° 
Evento]],'Eventos de riesgos'!B:K,10,0)</f>
        <v>0</v>
      </c>
      <c r="X104" s="44" t="str">
        <f>VLOOKUP(Tabla15[[#This Row],[N° 
Evento]],'Eventos de riesgos'!B:L,11,0)</f>
        <v>4 - Asociados o Clientes</v>
      </c>
      <c r="Y104" s="44" t="str">
        <f>VLOOKUP(Tabla15[[#This Row],[N° 
Evento]],'Eventos de riesgos'!B:M,12,0)</f>
        <v>41 - Adecuación, Divulgación de Información y Confianza</v>
      </c>
      <c r="Z104" s="44" t="str">
        <f>VLOOKUP(Tabla15[[#This Row],[N° 
Evento]],'Eventos de riesgos'!B:N,13,0)</f>
        <v>412 - Aspectos de Adecuación, Divulgación de la Información</v>
      </c>
      <c r="AA104" s="44" t="str">
        <f>+VLOOKUP(Tabla15[[#This Row],[N° 
Evento]],'Eventos de riesgos'!$B$1:$AA$87,23,0)</f>
        <v>Error en envió de cartas de cobranza</v>
      </c>
      <c r="AB104" s="43" t="str">
        <f>VLOOKUP(Tabla15[[#This Row],[N° 
Evento]],'Eventos de riesgos'!B:O,14,0)</f>
        <v>Ninguna</v>
      </c>
      <c r="AC104" s="48">
        <f>VLOOKUP(Tabla15[[#This Row],[N° 
Evento]],'Eventos de riesgos'!B:P,15,0)</f>
        <v>45077.728472222225</v>
      </c>
      <c r="AD104" s="43" t="str">
        <f>VLOOKUP(Tabla15[[#This Row],[N° 
Evento]],'Eventos de riesgos'!B:Q,16,0)</f>
        <v>Ninguno</v>
      </c>
      <c r="AE104" s="43" t="str">
        <f>VLOOKUP(Tabla15[[#This Row],[N° 
Evento]],'Eventos de riesgos'!B:R,17,0)</f>
        <v>Ninguno</v>
      </c>
      <c r="AF104" s="45" t="str">
        <f>VLOOKUP(Tabla15[[#This Row],[N° 
Evento]],'Eventos de riesgos'!B:V,21,0)</f>
        <v>Aprobado</v>
      </c>
      <c r="AG104" s="44">
        <f>VLOOKUP(Tabla15[[#This Row],[N° 
Evento]],'Eventos de riesgos'!B:W,22,0)</f>
        <v>0</v>
      </c>
    </row>
    <row r="105" spans="3:33" ht="59" customHeight="1" x14ac:dyDescent="0.55000000000000004">
      <c r="C105" s="43" t="str">
        <f>+Tabla15[[#This Row],[N° 
Evento]]&amp;"-"&amp;Tabla15[[#This Row],[N° Tarea]]</f>
        <v>44-2</v>
      </c>
      <c r="D105" s="43">
        <v>44</v>
      </c>
      <c r="E105" s="43">
        <v>2</v>
      </c>
      <c r="F105" s="44" t="s">
        <v>360</v>
      </c>
      <c r="G105" s="44" t="s">
        <v>1052</v>
      </c>
      <c r="H105" s="44" t="s">
        <v>233</v>
      </c>
      <c r="I105" s="45" t="s">
        <v>240</v>
      </c>
      <c r="J105" s="46">
        <v>45049</v>
      </c>
      <c r="K105" s="46">
        <v>45084</v>
      </c>
      <c r="L105" s="47" t="str">
        <f>IF(Tabla15[[#This Row],[Fecha de Finalización]]&gt;0,"Cerrada","En Proceso")</f>
        <v>Cerrada</v>
      </c>
      <c r="M105" s="43">
        <f t="shared" si="2"/>
        <v>35</v>
      </c>
      <c r="N105" s="44" t="s">
        <v>398</v>
      </c>
      <c r="O105" s="43">
        <f>VLOOKUP(Tabla15[[#This Row],[N° 
Evento]],'Eventos de riesgos'!B:C,2,0)</f>
        <v>2023</v>
      </c>
      <c r="P105" s="43" t="str">
        <f>VLOOKUP(Tabla15[[#This Row],[N° 
Evento]],'Eventos de riesgos'!B:D,3,0)</f>
        <v>May</v>
      </c>
      <c r="Q105" s="48">
        <f>VLOOKUP(Tabla15[[#This Row],[N° 
Evento]],'Eventos de riesgos'!B:E,4,0)</f>
        <v>45035.365972222222</v>
      </c>
      <c r="R105" s="48">
        <f>VLOOKUP(Tabla15[[#This Row],[N° 
Evento]],'Eventos de riesgos'!B:F,5,0)</f>
        <v>45049.365972222222</v>
      </c>
      <c r="S105" s="48">
        <f>VLOOKUP(Tabla15[[#This Row],[N° 
Evento]],'Eventos de riesgos'!B:G,6,0)</f>
        <v>45049.365972222222</v>
      </c>
      <c r="T105" s="62" t="str">
        <f>VLOOKUP(Tabla15[[#This Row],[N° 
Evento]],'Eventos de riesgos'!B:H,7,0)</f>
        <v>Al llevar a cabo una seguimiento a las actividades confiadas al proveedor Contactos y Negocios S.A.S., fue posible detectar las siguientes irregularidades:
1) El proveedor se encarga de prestar el servicio de visitas domiciliarias a Febor Entidad Cooperativa, para lo cual debe visitar a los asociados en mora a nivel nacional y proponer formulas de arreglo para evitar un litigio futuro. En ejercicio de esta tarea, Febor remite un modelo de carta que se modifica todos los meses y debe ser entregada a los asociados en sobre cerrado para proteger su derecho al habeas data.
2) En abril del 2023, el proveedor no solo hizo entrega del modelo equivocado de cartas sino que, además, entregó 89 cartas sin sobre en los lugares de residencia y/o labor de los asociados morosos, exponiendo así los datos personales de los involucrados frente a terceras personas que intervinieran en la cadena de custodia de la misiva de cobro.
Acciones
1. Informar inmediatamente al proveedor sobre la falla, trasladando las quejas presentadas por los asociados.
2. Hacer seguimiento a la calidad de información suministrada en adelante por el proveedor</v>
      </c>
      <c r="U105" s="49">
        <f>VLOOKUP(Tabla15[[#This Row],[N° 
Evento]],'Eventos de riesgos'!B:I,8,0)</f>
        <v>0</v>
      </c>
      <c r="V105" s="49">
        <f>VLOOKUP(Tabla15[[#This Row],[N° 
Evento]],'Eventos de riesgos'!B:J,9,0)</f>
        <v>0</v>
      </c>
      <c r="W105" s="49">
        <f>VLOOKUP(Tabla15[[#This Row],[N° 
Evento]],'Eventos de riesgos'!B:K,10,0)</f>
        <v>0</v>
      </c>
      <c r="X105" s="44" t="str">
        <f>VLOOKUP(Tabla15[[#This Row],[N° 
Evento]],'Eventos de riesgos'!B:L,11,0)</f>
        <v>4 - Asociados o Clientes</v>
      </c>
      <c r="Y105" s="44" t="str">
        <f>VLOOKUP(Tabla15[[#This Row],[N° 
Evento]],'Eventos de riesgos'!B:M,12,0)</f>
        <v>41 - Adecuación, Divulgación de Información y Confianza</v>
      </c>
      <c r="Z105" s="44" t="str">
        <f>VLOOKUP(Tabla15[[#This Row],[N° 
Evento]],'Eventos de riesgos'!B:N,13,0)</f>
        <v>412 - Aspectos de Adecuación, Divulgación de la Información</v>
      </c>
      <c r="AA105" s="44" t="str">
        <f>+VLOOKUP(Tabla15[[#This Row],[N° 
Evento]],'Eventos de riesgos'!$B$1:$AA$87,23,0)</f>
        <v>Error en envió de cartas de cobranza</v>
      </c>
      <c r="AB105" s="43" t="str">
        <f>VLOOKUP(Tabla15[[#This Row],[N° 
Evento]],'Eventos de riesgos'!B:O,14,0)</f>
        <v>Ninguna</v>
      </c>
      <c r="AC105" s="48">
        <f>VLOOKUP(Tabla15[[#This Row],[N° 
Evento]],'Eventos de riesgos'!B:P,15,0)</f>
        <v>45077.728472222225</v>
      </c>
      <c r="AD105" s="43" t="str">
        <f>VLOOKUP(Tabla15[[#This Row],[N° 
Evento]],'Eventos de riesgos'!B:Q,16,0)</f>
        <v>Ninguno</v>
      </c>
      <c r="AE105" s="43" t="str">
        <f>VLOOKUP(Tabla15[[#This Row],[N° 
Evento]],'Eventos de riesgos'!B:R,17,0)</f>
        <v>Ninguno</v>
      </c>
      <c r="AF105" s="45" t="str">
        <f>VLOOKUP(Tabla15[[#This Row],[N° 
Evento]],'Eventos de riesgos'!B:V,21,0)</f>
        <v>Aprobado</v>
      </c>
      <c r="AG105" s="44">
        <f>VLOOKUP(Tabla15[[#This Row],[N° 
Evento]],'Eventos de riesgos'!B:W,22,0)</f>
        <v>0</v>
      </c>
    </row>
    <row r="106" spans="3:33" ht="59" customHeight="1" x14ac:dyDescent="0.55000000000000004">
      <c r="C106" s="43" t="str">
        <f>+Tabla15[[#This Row],[N° 
Evento]]&amp;"-"&amp;Tabla15[[#This Row],[N° Tarea]]</f>
        <v>45-1</v>
      </c>
      <c r="D106" s="43">
        <v>45</v>
      </c>
      <c r="E106" s="43">
        <v>1</v>
      </c>
      <c r="F106" s="44" t="s">
        <v>361</v>
      </c>
      <c r="G106" s="44" t="s">
        <v>1052</v>
      </c>
      <c r="H106" s="44" t="s">
        <v>760</v>
      </c>
      <c r="I106" s="45" t="s">
        <v>95</v>
      </c>
      <c r="J106" s="46">
        <v>45072</v>
      </c>
      <c r="K106" s="46">
        <v>45072</v>
      </c>
      <c r="L106" s="47" t="str">
        <f>IF(Tabla15[[#This Row],[Fecha de Finalización]]&gt;0,"Cerrada","En Proceso")</f>
        <v>Cerrada</v>
      </c>
      <c r="M106" s="43">
        <f t="shared" si="2"/>
        <v>0</v>
      </c>
      <c r="N106" s="44" t="s">
        <v>362</v>
      </c>
      <c r="O106" s="43">
        <f>VLOOKUP(Tabla15[[#This Row],[N° 
Evento]],'Eventos de riesgos'!B:C,2,0)</f>
        <v>2023</v>
      </c>
      <c r="P106" s="43" t="str">
        <f>VLOOKUP(Tabla15[[#This Row],[N° 
Evento]],'Eventos de riesgos'!B:D,3,0)</f>
        <v>May</v>
      </c>
      <c r="Q106" s="48">
        <f>VLOOKUP(Tabla15[[#This Row],[N° 
Evento]],'Eventos de riesgos'!B:E,4,0)</f>
        <v>45072.448611111111</v>
      </c>
      <c r="R106" s="48">
        <f>VLOOKUP(Tabla15[[#This Row],[N° 
Evento]],'Eventos de riesgos'!B:F,5,0)</f>
        <v>45075.449305555558</v>
      </c>
      <c r="S106" s="48">
        <f>VLOOKUP(Tabla15[[#This Row],[N° 
Evento]],'Eventos de riesgos'!B:G,6,0)</f>
        <v>45072.449305555558</v>
      </c>
      <c r="T106" s="62" t="str">
        <f>VLOOKUP(Tabla15[[#This Row],[N° 
Evento]],'Eventos de riesgos'!B:H,7,0)</f>
        <v>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v>
      </c>
      <c r="U106" s="49">
        <f>VLOOKUP(Tabla15[[#This Row],[N° 
Evento]],'Eventos de riesgos'!B:I,8,0)</f>
        <v>0</v>
      </c>
      <c r="V106" s="49">
        <f>VLOOKUP(Tabla15[[#This Row],[N° 
Evento]],'Eventos de riesgos'!B:J,9,0)</f>
        <v>0</v>
      </c>
      <c r="W106" s="49">
        <f>VLOOKUP(Tabla15[[#This Row],[N° 
Evento]],'Eventos de riesgos'!B:K,10,0)</f>
        <v>0</v>
      </c>
      <c r="X106" s="44" t="str">
        <f>VLOOKUP(Tabla15[[#This Row],[N° 
Evento]],'Eventos de riesgos'!B:L,11,0)</f>
        <v>4 - Asociados o Clientes</v>
      </c>
      <c r="Y106" s="44" t="str">
        <f>VLOOKUP(Tabla15[[#This Row],[N° 
Evento]],'Eventos de riesgos'!B:M,12,0)</f>
        <v>43 - Productos o Servicios Defectuosos</v>
      </c>
      <c r="Z106" s="44" t="str">
        <f>VLOOKUP(Tabla15[[#This Row],[N° 
Evento]],'Eventos de riesgos'!B:N,13,0)</f>
        <v>431 - Defectos del Producto</v>
      </c>
      <c r="AA106" s="44" t="str">
        <f>+VLOOKUP(Tabla15[[#This Row],[N° 
Evento]],'Eventos de riesgos'!$B$1:$AA$87,23,0)</f>
        <v>Error en débitos automáticos</v>
      </c>
      <c r="AB106" s="43" t="str">
        <f>VLOOKUP(Tabla15[[#This Row],[N° 
Evento]],'Eventos de riesgos'!B:O,14,0)</f>
        <v>Ninguna</v>
      </c>
      <c r="AC106" s="48">
        <f>VLOOKUP(Tabla15[[#This Row],[N° 
Evento]],'Eventos de riesgos'!B:P,15,0)</f>
        <v>45077.523611111108</v>
      </c>
      <c r="AD106" s="43" t="str">
        <f>VLOOKUP(Tabla15[[#This Row],[N° 
Evento]],'Eventos de riesgos'!B:Q,16,0)</f>
        <v>Seguros (SOAT)</v>
      </c>
      <c r="AE106" s="43" t="str">
        <f>VLOOKUP(Tabla15[[#This Row],[N° 
Evento]],'Eventos de riesgos'!B:R,17,0)</f>
        <v>Atención en oficina (caja)</v>
      </c>
      <c r="AF106" s="45" t="str">
        <f>VLOOKUP(Tabla15[[#This Row],[N° 
Evento]],'Eventos de riesgos'!B:V,21,0)</f>
        <v>Aprobado</v>
      </c>
      <c r="AG106" s="44" t="str">
        <f>VLOOKUP(Tabla15[[#This Row],[N° 
Evento]],'Eventos de riesgos'!B:W,22,0)</f>
        <v>07/06/2023 12:44:12: Actualizar en productos Polizas
07/06/2023 13:37:57: Actualizado a productos SOAT</v>
      </c>
    </row>
    <row r="107" spans="3:33" ht="59" customHeight="1" x14ac:dyDescent="0.55000000000000004">
      <c r="C107" s="43" t="str">
        <f>+Tabla15[[#This Row],[N° 
Evento]]&amp;"-"&amp;Tabla15[[#This Row],[N° Tarea]]</f>
        <v>45-2</v>
      </c>
      <c r="D107" s="43">
        <v>45</v>
      </c>
      <c r="E107" s="43">
        <v>2</v>
      </c>
      <c r="F107" s="44" t="s">
        <v>363</v>
      </c>
      <c r="G107" s="44" t="s">
        <v>1052</v>
      </c>
      <c r="H107" s="44" t="s">
        <v>215</v>
      </c>
      <c r="I107" s="45" t="s">
        <v>91</v>
      </c>
      <c r="J107" s="46">
        <v>45084</v>
      </c>
      <c r="K107" s="46">
        <v>45113</v>
      </c>
      <c r="L107" s="47" t="str">
        <f>IF(Tabla15[[#This Row],[Fecha de Finalización]]&gt;0,"Cerrada","En Proceso")</f>
        <v>Cerrada</v>
      </c>
      <c r="M107" s="43">
        <f t="shared" si="2"/>
        <v>29</v>
      </c>
      <c r="N107" s="44" t="s">
        <v>364</v>
      </c>
      <c r="O107" s="43">
        <f>VLOOKUP(Tabla15[[#This Row],[N° 
Evento]],'Eventos de riesgos'!B:C,2,0)</f>
        <v>2023</v>
      </c>
      <c r="P107" s="43" t="str">
        <f>VLOOKUP(Tabla15[[#This Row],[N° 
Evento]],'Eventos de riesgos'!B:D,3,0)</f>
        <v>May</v>
      </c>
      <c r="Q107" s="48">
        <f>VLOOKUP(Tabla15[[#This Row],[N° 
Evento]],'Eventos de riesgos'!B:E,4,0)</f>
        <v>45072.448611111111</v>
      </c>
      <c r="R107" s="48">
        <f>VLOOKUP(Tabla15[[#This Row],[N° 
Evento]],'Eventos de riesgos'!B:F,5,0)</f>
        <v>45075.449305555558</v>
      </c>
      <c r="S107" s="48">
        <f>VLOOKUP(Tabla15[[#This Row],[N° 
Evento]],'Eventos de riesgos'!B:G,6,0)</f>
        <v>45072.449305555558</v>
      </c>
      <c r="T107" s="62" t="str">
        <f>VLOOKUP(Tabla15[[#This Row],[N° 
Evento]],'Eventos de riesgos'!B:H,7,0)</f>
        <v>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v>
      </c>
      <c r="U107" s="49">
        <f>VLOOKUP(Tabla15[[#This Row],[N° 
Evento]],'Eventos de riesgos'!B:I,8,0)</f>
        <v>0</v>
      </c>
      <c r="V107" s="49">
        <f>VLOOKUP(Tabla15[[#This Row],[N° 
Evento]],'Eventos de riesgos'!B:J,9,0)</f>
        <v>0</v>
      </c>
      <c r="W107" s="49">
        <f>VLOOKUP(Tabla15[[#This Row],[N° 
Evento]],'Eventos de riesgos'!B:K,10,0)</f>
        <v>0</v>
      </c>
      <c r="X107" s="44" t="str">
        <f>VLOOKUP(Tabla15[[#This Row],[N° 
Evento]],'Eventos de riesgos'!B:L,11,0)</f>
        <v>4 - Asociados o Clientes</v>
      </c>
      <c r="Y107" s="44" t="str">
        <f>VLOOKUP(Tabla15[[#This Row],[N° 
Evento]],'Eventos de riesgos'!B:M,12,0)</f>
        <v>43 - Productos o Servicios Defectuosos</v>
      </c>
      <c r="Z107" s="44" t="str">
        <f>VLOOKUP(Tabla15[[#This Row],[N° 
Evento]],'Eventos de riesgos'!B:N,13,0)</f>
        <v>431 - Defectos del Producto</v>
      </c>
      <c r="AA107" s="44" t="str">
        <f>+VLOOKUP(Tabla15[[#This Row],[N° 
Evento]],'Eventos de riesgos'!$B$1:$AA$87,23,0)</f>
        <v>Error en débitos automáticos</v>
      </c>
      <c r="AB107" s="43" t="str">
        <f>VLOOKUP(Tabla15[[#This Row],[N° 
Evento]],'Eventos de riesgos'!B:O,14,0)</f>
        <v>Ninguna</v>
      </c>
      <c r="AC107" s="48">
        <f>VLOOKUP(Tabla15[[#This Row],[N° 
Evento]],'Eventos de riesgos'!B:P,15,0)</f>
        <v>45077.523611111108</v>
      </c>
      <c r="AD107" s="43" t="str">
        <f>VLOOKUP(Tabla15[[#This Row],[N° 
Evento]],'Eventos de riesgos'!B:Q,16,0)</f>
        <v>Seguros (SOAT)</v>
      </c>
      <c r="AE107" s="43" t="str">
        <f>VLOOKUP(Tabla15[[#This Row],[N° 
Evento]],'Eventos de riesgos'!B:R,17,0)</f>
        <v>Atención en oficina (caja)</v>
      </c>
      <c r="AF107" s="45" t="str">
        <f>VLOOKUP(Tabla15[[#This Row],[N° 
Evento]],'Eventos de riesgos'!B:V,21,0)</f>
        <v>Aprobado</v>
      </c>
      <c r="AG107" s="44" t="str">
        <f>VLOOKUP(Tabla15[[#This Row],[N° 
Evento]],'Eventos de riesgos'!B:W,22,0)</f>
        <v>07/06/2023 12:44:12: Actualizar en productos Polizas
07/06/2023 13:37:57: Actualizado a productos SOAT</v>
      </c>
    </row>
    <row r="108" spans="3:33" ht="59" customHeight="1" x14ac:dyDescent="0.55000000000000004">
      <c r="C108" s="43" t="str">
        <f>+Tabla15[[#This Row],[N° 
Evento]]&amp;"-"&amp;Tabla15[[#This Row],[N° Tarea]]</f>
        <v>45-3</v>
      </c>
      <c r="D108" s="43">
        <v>45</v>
      </c>
      <c r="E108" s="43">
        <v>3</v>
      </c>
      <c r="F108" s="44" t="s">
        <v>365</v>
      </c>
      <c r="G108" s="44" t="s">
        <v>1052</v>
      </c>
      <c r="H108" s="44" t="s">
        <v>935</v>
      </c>
      <c r="I108" s="45" t="s">
        <v>326</v>
      </c>
      <c r="J108" s="46">
        <v>45084</v>
      </c>
      <c r="K108" s="46">
        <v>45140</v>
      </c>
      <c r="L108" s="47" t="str">
        <f>IF(Tabla15[[#This Row],[Fecha de Finalización]]&gt;0,"Cerrada","En Proceso")</f>
        <v>Cerrada</v>
      </c>
      <c r="M108" s="43">
        <f t="shared" si="2"/>
        <v>56</v>
      </c>
      <c r="N108" s="44" t="s">
        <v>399</v>
      </c>
      <c r="O108" s="43">
        <f>VLOOKUP(Tabla15[[#This Row],[N° 
Evento]],'Eventos de riesgos'!B:C,2,0)</f>
        <v>2023</v>
      </c>
      <c r="P108" s="43" t="str">
        <f>VLOOKUP(Tabla15[[#This Row],[N° 
Evento]],'Eventos de riesgos'!B:D,3,0)</f>
        <v>May</v>
      </c>
      <c r="Q108" s="48">
        <f>VLOOKUP(Tabla15[[#This Row],[N° 
Evento]],'Eventos de riesgos'!B:E,4,0)</f>
        <v>45072.448611111111</v>
      </c>
      <c r="R108" s="48">
        <f>VLOOKUP(Tabla15[[#This Row],[N° 
Evento]],'Eventos de riesgos'!B:F,5,0)</f>
        <v>45075.449305555558</v>
      </c>
      <c r="S108" s="48">
        <f>VLOOKUP(Tabla15[[#This Row],[N° 
Evento]],'Eventos de riesgos'!B:G,6,0)</f>
        <v>45072.449305555558</v>
      </c>
      <c r="T108" s="62" t="str">
        <f>VLOOKUP(Tabla15[[#This Row],[N° 
Evento]],'Eventos de riesgos'!B:H,7,0)</f>
        <v>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v>
      </c>
      <c r="U108" s="49">
        <f>VLOOKUP(Tabla15[[#This Row],[N° 
Evento]],'Eventos de riesgos'!B:I,8,0)</f>
        <v>0</v>
      </c>
      <c r="V108" s="49">
        <f>VLOOKUP(Tabla15[[#This Row],[N° 
Evento]],'Eventos de riesgos'!B:J,9,0)</f>
        <v>0</v>
      </c>
      <c r="W108" s="49">
        <f>VLOOKUP(Tabla15[[#This Row],[N° 
Evento]],'Eventos de riesgos'!B:K,10,0)</f>
        <v>0</v>
      </c>
      <c r="X108" s="44" t="str">
        <f>VLOOKUP(Tabla15[[#This Row],[N° 
Evento]],'Eventos de riesgos'!B:L,11,0)</f>
        <v>4 - Asociados o Clientes</v>
      </c>
      <c r="Y108" s="44" t="str">
        <f>VLOOKUP(Tabla15[[#This Row],[N° 
Evento]],'Eventos de riesgos'!B:M,12,0)</f>
        <v>43 - Productos o Servicios Defectuosos</v>
      </c>
      <c r="Z108" s="44" t="str">
        <f>VLOOKUP(Tabla15[[#This Row],[N° 
Evento]],'Eventos de riesgos'!B:N,13,0)</f>
        <v>431 - Defectos del Producto</v>
      </c>
      <c r="AA108" s="44" t="str">
        <f>+VLOOKUP(Tabla15[[#This Row],[N° 
Evento]],'Eventos de riesgos'!$B$1:$AA$87,23,0)</f>
        <v>Error en débitos automáticos</v>
      </c>
      <c r="AB108" s="43" t="str">
        <f>VLOOKUP(Tabla15[[#This Row],[N° 
Evento]],'Eventos de riesgos'!B:O,14,0)</f>
        <v>Ninguna</v>
      </c>
      <c r="AC108" s="48">
        <f>VLOOKUP(Tabla15[[#This Row],[N° 
Evento]],'Eventos de riesgos'!B:P,15,0)</f>
        <v>45077.523611111108</v>
      </c>
      <c r="AD108" s="43" t="str">
        <f>VLOOKUP(Tabla15[[#This Row],[N° 
Evento]],'Eventos de riesgos'!B:Q,16,0)</f>
        <v>Seguros (SOAT)</v>
      </c>
      <c r="AE108" s="43" t="str">
        <f>VLOOKUP(Tabla15[[#This Row],[N° 
Evento]],'Eventos de riesgos'!B:R,17,0)</f>
        <v>Atención en oficina (caja)</v>
      </c>
      <c r="AF108" s="45" t="str">
        <f>VLOOKUP(Tabla15[[#This Row],[N° 
Evento]],'Eventos de riesgos'!B:V,21,0)</f>
        <v>Aprobado</v>
      </c>
      <c r="AG108" s="44" t="str">
        <f>VLOOKUP(Tabla15[[#This Row],[N° 
Evento]],'Eventos de riesgos'!B:W,22,0)</f>
        <v>07/06/2023 12:44:12: Actualizar en productos Polizas
07/06/2023 13:37:57: Actualizado a productos SOAT</v>
      </c>
    </row>
    <row r="109" spans="3:33" ht="59" customHeight="1" x14ac:dyDescent="0.55000000000000004">
      <c r="C109" s="43" t="str">
        <f>+Tabla15[[#This Row],[N° 
Evento]]&amp;"-"&amp;Tabla15[[#This Row],[N° Tarea]]</f>
        <v>46-1</v>
      </c>
      <c r="D109" s="43">
        <v>46</v>
      </c>
      <c r="E109" s="43">
        <v>1</v>
      </c>
      <c r="F109" s="44" t="s">
        <v>366</v>
      </c>
      <c r="G109" s="44" t="s">
        <v>1053</v>
      </c>
      <c r="H109" s="44" t="s">
        <v>367</v>
      </c>
      <c r="I109" s="45" t="s">
        <v>368</v>
      </c>
      <c r="J109" s="46">
        <v>45117</v>
      </c>
      <c r="K109" s="46">
        <v>45117</v>
      </c>
      <c r="L109" s="47" t="str">
        <f>IF(Tabla15[[#This Row],[Fecha de Finalización]]&gt;0,"Cerrada","En Proceso")</f>
        <v>Cerrada</v>
      </c>
      <c r="M109" s="43">
        <f t="shared" si="2"/>
        <v>0</v>
      </c>
      <c r="N109" s="44" t="s">
        <v>854</v>
      </c>
      <c r="O109" s="43">
        <f>VLOOKUP(Tabla15[[#This Row],[N° 
Evento]],'Eventos de riesgos'!B:C,2,0)</f>
        <v>2023</v>
      </c>
      <c r="P109" s="43" t="str">
        <f>VLOOKUP(Tabla15[[#This Row],[N° 
Evento]],'Eventos de riesgos'!B:D,3,0)</f>
        <v>Jul</v>
      </c>
      <c r="Q109" s="48">
        <f>VLOOKUP(Tabla15[[#This Row],[N° 
Evento]],'Eventos de riesgos'!B:E,4,0)</f>
        <v>45108.513888888891</v>
      </c>
      <c r="R109" s="48">
        <f>VLOOKUP(Tabla15[[#This Row],[N° 
Evento]],'Eventos de riesgos'!B:F,5,0)</f>
        <v>45108.513888888891</v>
      </c>
      <c r="S109" s="48">
        <f>VLOOKUP(Tabla15[[#This Row],[N° 
Evento]],'Eventos de riesgos'!B:G,6,0)</f>
        <v>45108.513888888891</v>
      </c>
      <c r="T109" s="62" t="str">
        <f>VLOOKUP(Tabla15[[#This Row],[N° 
Evento]],'Eventos de riesgos'!B:H,7,0)</f>
        <v>Caso
Se efectuaron envíos de mensajes de texto inexactos a los asociados, con el propósito de brindar detalles sobre el estado de sus compromisos. El inconveniente radicó en que los mensajes fueron enviados a números de teléfono celular que no coincidían con los receptores previstos. El origen de este problema fue una deficiencia en el manejo de la base de datos de afiliados, que quedó incorrectamente configurada por la persona encargada de su actualización mensual. Varias áreas utilizan frecuentemente esta base de datos para llevar a cabo la comunicación con los asociados.
Conclusión en comité de gerencia 10 julio 2023
Es crucial evitar una completa dependencia de la persona que envía la base de datos de afiliados mensualmente. Todas las personas deben contar con la capacidad de familiarizarse con las bases de datos del sistema, ser capaces de descargarlas y utilizar la información para sus propias tareas de gestión.
Acciones
Se continuará enviando la base social de manera mensual. - Jefe de Control Interno y Calidad
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
Se realizará una capacitación sobre la importancia en el manejo adecuado de la información y de las bases de datos de la Cooperativa. - Dir Riesgos</v>
      </c>
      <c r="U109" s="49">
        <f>VLOOKUP(Tabla15[[#This Row],[N° 
Evento]],'Eventos de riesgos'!B:I,8,0)</f>
        <v>0</v>
      </c>
      <c r="V109" s="49">
        <f>VLOOKUP(Tabla15[[#This Row],[N° 
Evento]],'Eventos de riesgos'!B:J,9,0)</f>
        <v>0</v>
      </c>
      <c r="W109" s="49">
        <f>VLOOKUP(Tabla15[[#This Row],[N° 
Evento]],'Eventos de riesgos'!B:K,10,0)</f>
        <v>0</v>
      </c>
      <c r="X109" s="44" t="str">
        <f>VLOOKUP(Tabla15[[#This Row],[N° 
Evento]],'Eventos de riesgos'!B:L,11,0)</f>
        <v>4 - Asociados o Clientes</v>
      </c>
      <c r="Y109" s="44" t="str">
        <f>VLOOKUP(Tabla15[[#This Row],[N° 
Evento]],'Eventos de riesgos'!B:M,12,0)</f>
        <v>41 - Adecuación, Divulgación de Información y Confianza</v>
      </c>
      <c r="Z109" s="44" t="str">
        <f>VLOOKUP(Tabla15[[#This Row],[N° 
Evento]],'Eventos de riesgos'!B:N,13,0)</f>
        <v>412 - Aspectos de Adecuación, Divulgación de la Información</v>
      </c>
      <c r="AA109" s="44" t="str">
        <f>+VLOOKUP(Tabla15[[#This Row],[N° 
Evento]],'Eventos de riesgos'!$B$1:$AA$87,23,0)</f>
        <v>Error mensajes masivos</v>
      </c>
      <c r="AB109" s="43" t="str">
        <f>VLOOKUP(Tabla15[[#This Row],[N° 
Evento]],'Eventos de riesgos'!B:O,14,0)</f>
        <v>Ninguna</v>
      </c>
      <c r="AC109" s="48">
        <f>VLOOKUP(Tabla15[[#This Row],[N° 
Evento]],'Eventos de riesgos'!B:P,15,0)</f>
        <v>45138.512499999997</v>
      </c>
      <c r="AD109" s="43" t="str">
        <f>VLOOKUP(Tabla15[[#This Row],[N° 
Evento]],'Eventos de riesgos'!B:Q,16,0)</f>
        <v>Ninguno</v>
      </c>
      <c r="AE109" s="43" t="str">
        <f>VLOOKUP(Tabla15[[#This Row],[N° 
Evento]],'Eventos de riesgos'!B:R,17,0)</f>
        <v>Mensajería de texto (SMS)</v>
      </c>
      <c r="AF109" s="45" t="str">
        <f>VLOOKUP(Tabla15[[#This Row],[N° 
Evento]],'Eventos de riesgos'!B:V,21,0)</f>
        <v>Aprobado</v>
      </c>
      <c r="AG109" s="44" t="str">
        <f>VLOOKUP(Tabla15[[#This Row],[N° 
Evento]],'Eventos de riesgos'!B:W,22,0)</f>
        <v>08/08/2023 13:29:34: Aprobación del caso
08/08/2023 13:29:42: .
08/08/2023 15:19:28: Actualización de acciones</v>
      </c>
    </row>
    <row r="110" spans="3:33" ht="59" customHeight="1" x14ac:dyDescent="0.55000000000000004">
      <c r="C110" s="43" t="str">
        <f>+Tabla15[[#This Row],[N° 
Evento]]&amp;"-"&amp;Tabla15[[#This Row],[N° Tarea]]</f>
        <v>46-2</v>
      </c>
      <c r="D110" s="43">
        <v>46</v>
      </c>
      <c r="E110" s="43">
        <v>2</v>
      </c>
      <c r="F110" s="44" t="s">
        <v>855</v>
      </c>
      <c r="G110" s="44" t="s">
        <v>1053</v>
      </c>
      <c r="H110" s="44" t="s">
        <v>367</v>
      </c>
      <c r="I110" s="45" t="s">
        <v>368</v>
      </c>
      <c r="J110" s="46">
        <v>45117</v>
      </c>
      <c r="K110" s="46">
        <v>45117</v>
      </c>
      <c r="L110" s="47" t="str">
        <f>IF(Tabla15[[#This Row],[Fecha de Finalización]]&gt;0,"Cerrada","En Proceso")</f>
        <v>Cerrada</v>
      </c>
      <c r="M110" s="43">
        <f t="shared" si="2"/>
        <v>0</v>
      </c>
      <c r="N110" s="44" t="s">
        <v>854</v>
      </c>
      <c r="O110" s="43">
        <f>VLOOKUP(Tabla15[[#This Row],[N° 
Evento]],'Eventos de riesgos'!B:C,2,0)</f>
        <v>2023</v>
      </c>
      <c r="P110" s="43" t="str">
        <f>VLOOKUP(Tabla15[[#This Row],[N° 
Evento]],'Eventos de riesgos'!B:D,3,0)</f>
        <v>Jul</v>
      </c>
      <c r="Q110" s="48">
        <f>VLOOKUP(Tabla15[[#This Row],[N° 
Evento]],'Eventos de riesgos'!B:E,4,0)</f>
        <v>45108.513888888891</v>
      </c>
      <c r="R110" s="48">
        <f>VLOOKUP(Tabla15[[#This Row],[N° 
Evento]],'Eventos de riesgos'!B:F,5,0)</f>
        <v>45108.513888888891</v>
      </c>
      <c r="S110" s="48">
        <f>VLOOKUP(Tabla15[[#This Row],[N° 
Evento]],'Eventos de riesgos'!B:G,6,0)</f>
        <v>45108.513888888891</v>
      </c>
      <c r="T110" s="62" t="str">
        <f>VLOOKUP(Tabla15[[#This Row],[N° 
Evento]],'Eventos de riesgos'!B:H,7,0)</f>
        <v>Caso
Se efectuaron envíos de mensajes de texto inexactos a los asociados, con el propósito de brindar detalles sobre el estado de sus compromisos. El inconveniente radicó en que los mensajes fueron enviados a números de teléfono celular que no coincidían con los receptores previstos. El origen de este problema fue una deficiencia en el manejo de la base de datos de afiliados, que quedó incorrectamente configurada por la persona encargada de su actualización mensual. Varias áreas utilizan frecuentemente esta base de datos para llevar a cabo la comunicación con los asociados.
Conclusión en comité de gerencia 10 julio 2023
Es crucial evitar una completa dependencia de la persona que envía la base de datos de afiliados mensualmente. Todas las personas deben contar con la capacidad de familiarizarse con las bases de datos del sistema, ser capaces de descargarlas y utilizar la información para sus propias tareas de gestión.
Acciones
Se continuará enviando la base social de manera mensual. - Jefe de Control Interno y Calidad
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
Se realizará una capacitación sobre la importancia en el manejo adecuado de la información y de las bases de datos de la Cooperativa. - Dir Riesgos</v>
      </c>
      <c r="U110" s="49">
        <f>VLOOKUP(Tabla15[[#This Row],[N° 
Evento]],'Eventos de riesgos'!B:I,8,0)</f>
        <v>0</v>
      </c>
      <c r="V110" s="49">
        <f>VLOOKUP(Tabla15[[#This Row],[N° 
Evento]],'Eventos de riesgos'!B:J,9,0)</f>
        <v>0</v>
      </c>
      <c r="W110" s="49">
        <f>VLOOKUP(Tabla15[[#This Row],[N° 
Evento]],'Eventos de riesgos'!B:K,10,0)</f>
        <v>0</v>
      </c>
      <c r="X110" s="44" t="str">
        <f>VLOOKUP(Tabla15[[#This Row],[N° 
Evento]],'Eventos de riesgos'!B:L,11,0)</f>
        <v>4 - Asociados o Clientes</v>
      </c>
      <c r="Y110" s="44" t="str">
        <f>VLOOKUP(Tabla15[[#This Row],[N° 
Evento]],'Eventos de riesgos'!B:M,12,0)</f>
        <v>41 - Adecuación, Divulgación de Información y Confianza</v>
      </c>
      <c r="Z110" s="44" t="str">
        <f>VLOOKUP(Tabla15[[#This Row],[N° 
Evento]],'Eventos de riesgos'!B:N,13,0)</f>
        <v>412 - Aspectos de Adecuación, Divulgación de la Información</v>
      </c>
      <c r="AA110" s="44" t="str">
        <f>+VLOOKUP(Tabla15[[#This Row],[N° 
Evento]],'Eventos de riesgos'!$B$1:$AA$87,23,0)</f>
        <v>Error mensajes masivos</v>
      </c>
      <c r="AB110" s="43" t="str">
        <f>VLOOKUP(Tabla15[[#This Row],[N° 
Evento]],'Eventos de riesgos'!B:O,14,0)</f>
        <v>Ninguna</v>
      </c>
      <c r="AC110" s="48">
        <f>VLOOKUP(Tabla15[[#This Row],[N° 
Evento]],'Eventos de riesgos'!B:P,15,0)</f>
        <v>45138.512499999997</v>
      </c>
      <c r="AD110" s="43" t="str">
        <f>VLOOKUP(Tabla15[[#This Row],[N° 
Evento]],'Eventos de riesgos'!B:Q,16,0)</f>
        <v>Ninguno</v>
      </c>
      <c r="AE110" s="43" t="str">
        <f>VLOOKUP(Tabla15[[#This Row],[N° 
Evento]],'Eventos de riesgos'!B:R,17,0)</f>
        <v>Mensajería de texto (SMS)</v>
      </c>
      <c r="AF110" s="45" t="str">
        <f>VLOOKUP(Tabla15[[#This Row],[N° 
Evento]],'Eventos de riesgos'!B:V,21,0)</f>
        <v>Aprobado</v>
      </c>
      <c r="AG110" s="44" t="str">
        <f>VLOOKUP(Tabla15[[#This Row],[N° 
Evento]],'Eventos de riesgos'!B:W,22,0)</f>
        <v>08/08/2023 13:29:34: Aprobación del caso
08/08/2023 13:29:42: .
08/08/2023 15:19:28: Actualización de acciones</v>
      </c>
    </row>
    <row r="111" spans="3:33" ht="59" customHeight="1" x14ac:dyDescent="0.55000000000000004">
      <c r="C111" s="43" t="str">
        <f>+Tabla15[[#This Row],[N° 
Evento]]&amp;"-"&amp;Tabla15[[#This Row],[N° Tarea]]</f>
        <v>47-1</v>
      </c>
      <c r="D111" s="43">
        <v>47</v>
      </c>
      <c r="E111" s="43">
        <v>1</v>
      </c>
      <c r="F111" s="44" t="s">
        <v>369</v>
      </c>
      <c r="G111" s="44" t="s">
        <v>1052</v>
      </c>
      <c r="H111" s="44" t="s">
        <v>771</v>
      </c>
      <c r="I111" s="45" t="s">
        <v>370</v>
      </c>
      <c r="J111" s="46">
        <v>45156</v>
      </c>
      <c r="K111" s="46">
        <v>45156</v>
      </c>
      <c r="L111" s="47" t="str">
        <f>IF(Tabla15[[#This Row],[Fecha de Finalización]]&gt;0,"Cerrada","En Proceso")</f>
        <v>Cerrada</v>
      </c>
      <c r="M111" s="43">
        <f t="shared" si="2"/>
        <v>0</v>
      </c>
      <c r="N111" s="44" t="s">
        <v>856</v>
      </c>
      <c r="O111" s="43">
        <f>VLOOKUP(Tabla15[[#This Row],[N° 
Evento]],'Eventos de riesgos'!B:C,2,0)</f>
        <v>2023</v>
      </c>
      <c r="P111" s="43" t="str">
        <f>VLOOKUP(Tabla15[[#This Row],[N° 
Evento]],'Eventos de riesgos'!B:D,3,0)</f>
        <v>Ago</v>
      </c>
      <c r="Q111" s="48">
        <f>VLOOKUP(Tabla15[[#This Row],[N° 
Evento]],'Eventos de riesgos'!B:E,4,0)</f>
        <v>45156.676388888889</v>
      </c>
      <c r="R111" s="48">
        <f>VLOOKUP(Tabla15[[#This Row],[N° 
Evento]],'Eventos de riesgos'!B:F,5,0)</f>
        <v>45156.676388888889</v>
      </c>
      <c r="S111" s="48">
        <f>VLOOKUP(Tabla15[[#This Row],[N° 
Evento]],'Eventos de riesgos'!B:G,6,0)</f>
        <v>45156.676388888889</v>
      </c>
      <c r="T111" s="62" t="str">
        <f>VLOOKUP(Tabla15[[#This Row],[N° 
Evento]],'Eventos de riesgos'!B:H,7,0)</f>
        <v>Caso
El funcionario Andrés Forero, jefe jurídico de Febor fue victima de atraco en el barrio Hayuelos de Bogotá cuando salía de su residencia para tomar el taxi para la oficina.  Varios delincuentes lo asaltaron y le robaron la maleta en la que tenia guardado el portátil de uso laboral.
Acciones
Disponer otro equipo para el funcionario con los accesos a los sistemas y el respaldo de backup para que pueda continuar con su labores - Dirección TI.
Tramitar con la aseguradora la cobertura de la póliza para el hurto de portátiles - Jefe jurídico</v>
      </c>
      <c r="U111" s="49">
        <f>VLOOKUP(Tabla15[[#This Row],[N° 
Evento]],'Eventos de riesgos'!B:I,8,0)</f>
        <v>4000000</v>
      </c>
      <c r="V111" s="49">
        <f>VLOOKUP(Tabla15[[#This Row],[N° 
Evento]],'Eventos de riesgos'!B:J,9,0)</f>
        <v>2320000</v>
      </c>
      <c r="W111" s="49">
        <f>VLOOKUP(Tabla15[[#This Row],[N° 
Evento]],'Eventos de riesgos'!B:K,10,0)</f>
        <v>0</v>
      </c>
      <c r="X111" s="44" t="str">
        <f>VLOOKUP(Tabla15[[#This Row],[N° 
Evento]],'Eventos de riesgos'!B:L,11,0)</f>
        <v>5 - Daños a Activos Fisicos</v>
      </c>
      <c r="Y111" s="44" t="str">
        <f>VLOOKUP(Tabla15[[#This Row],[N° 
Evento]],'Eventos de riesgos'!B:M,12,0)</f>
        <v>51 - Desastres y Otros Acontecimientos</v>
      </c>
      <c r="Z111" s="44" t="str">
        <f>VLOOKUP(Tabla15[[#This Row],[N° 
Evento]],'Eventos de riesgos'!B:N,13,0)</f>
        <v>512 - Pérdida por Causas Externas: Vandalismo, Terrorismo, Etc.</v>
      </c>
      <c r="AA111" s="44" t="str">
        <f>+VLOOKUP(Tabla15[[#This Row],[N° 
Evento]],'Eventos de riesgos'!$B$1:$AA$87,23,0)</f>
        <v>Robo de equipo de computo</v>
      </c>
      <c r="AB111" s="43" t="str">
        <f>VLOOKUP(Tabla15[[#This Row],[N° 
Evento]],'Eventos de riesgos'!B:O,14,0)</f>
        <v>Ninguna</v>
      </c>
      <c r="AC111" s="48">
        <f>VLOOKUP(Tabla15[[#This Row],[N° 
Evento]],'Eventos de riesgos'!B:P,15,0)</f>
        <v>45169.684027777781</v>
      </c>
      <c r="AD111" s="43" t="str">
        <f>VLOOKUP(Tabla15[[#This Row],[N° 
Evento]],'Eventos de riesgos'!B:Q,16,0)</f>
        <v>Ninguno</v>
      </c>
      <c r="AE111" s="43" t="str">
        <f>VLOOKUP(Tabla15[[#This Row],[N° 
Evento]],'Eventos de riesgos'!B:R,17,0)</f>
        <v>Ninguno</v>
      </c>
      <c r="AF111" s="45" t="str">
        <f>VLOOKUP(Tabla15[[#This Row],[N° 
Evento]],'Eventos de riesgos'!B:V,21,0)</f>
        <v>Aprobado</v>
      </c>
      <c r="AG111" s="44" t="str">
        <f>VLOOKUP(Tabla15[[#This Row],[N° 
Evento]],'Eventos de riesgos'!B:W,22,0)</f>
        <v>19/08/2023 16:26:35: Costos aproximados (falta validar valor comercial y cobertura de la aseguradora)</v>
      </c>
    </row>
    <row r="112" spans="3:33" ht="59" customHeight="1" x14ac:dyDescent="0.55000000000000004">
      <c r="C112" s="43" t="str">
        <f>+Tabla15[[#This Row],[N° 
Evento]]&amp;"-"&amp;Tabla15[[#This Row],[N° Tarea]]</f>
        <v>47-2</v>
      </c>
      <c r="D112" s="43">
        <v>47</v>
      </c>
      <c r="E112" s="43">
        <v>2</v>
      </c>
      <c r="F112" s="44" t="s">
        <v>371</v>
      </c>
      <c r="G112" s="44" t="s">
        <v>1052</v>
      </c>
      <c r="H112" s="44" t="s">
        <v>233</v>
      </c>
      <c r="I112" s="45" t="s">
        <v>240</v>
      </c>
      <c r="J112" s="46">
        <v>45156</v>
      </c>
      <c r="K112" s="46">
        <v>45253</v>
      </c>
      <c r="L112" s="47" t="str">
        <f>IF(Tabla15[[#This Row],[Fecha de Finalización]]&gt;0,"Cerrada","En Proceso")</f>
        <v>Cerrada</v>
      </c>
      <c r="M112" s="43">
        <f t="shared" si="2"/>
        <v>97</v>
      </c>
      <c r="N112" s="44" t="s">
        <v>857</v>
      </c>
      <c r="O112" s="43">
        <f>VLOOKUP(Tabla15[[#This Row],[N° 
Evento]],'Eventos de riesgos'!B:C,2,0)</f>
        <v>2023</v>
      </c>
      <c r="P112" s="43" t="str">
        <f>VLOOKUP(Tabla15[[#This Row],[N° 
Evento]],'Eventos de riesgos'!B:D,3,0)</f>
        <v>Ago</v>
      </c>
      <c r="Q112" s="48">
        <f>VLOOKUP(Tabla15[[#This Row],[N° 
Evento]],'Eventos de riesgos'!B:E,4,0)</f>
        <v>45156.676388888889</v>
      </c>
      <c r="R112" s="48">
        <f>VLOOKUP(Tabla15[[#This Row],[N° 
Evento]],'Eventos de riesgos'!B:F,5,0)</f>
        <v>45156.676388888889</v>
      </c>
      <c r="S112" s="48">
        <f>VLOOKUP(Tabla15[[#This Row],[N° 
Evento]],'Eventos de riesgos'!B:G,6,0)</f>
        <v>45156.676388888889</v>
      </c>
      <c r="T112" s="62" t="str">
        <f>VLOOKUP(Tabla15[[#This Row],[N° 
Evento]],'Eventos de riesgos'!B:H,7,0)</f>
        <v>Caso
El funcionario Andrés Forero, jefe jurídico de Febor fue victima de atraco en el barrio Hayuelos de Bogotá cuando salía de su residencia para tomar el taxi para la oficina.  Varios delincuentes lo asaltaron y le robaron la maleta en la que tenia guardado el portátil de uso laboral.
Acciones
Disponer otro equipo para el funcionario con los accesos a los sistemas y el respaldo de backup para que pueda continuar con su labores - Dirección TI.
Tramitar con la aseguradora la cobertura de la póliza para el hurto de portátiles - Jefe jurídico</v>
      </c>
      <c r="U112" s="49">
        <f>VLOOKUP(Tabla15[[#This Row],[N° 
Evento]],'Eventos de riesgos'!B:I,8,0)</f>
        <v>4000000</v>
      </c>
      <c r="V112" s="49">
        <f>VLOOKUP(Tabla15[[#This Row],[N° 
Evento]],'Eventos de riesgos'!B:J,9,0)</f>
        <v>2320000</v>
      </c>
      <c r="W112" s="49">
        <f>VLOOKUP(Tabla15[[#This Row],[N° 
Evento]],'Eventos de riesgos'!B:K,10,0)</f>
        <v>0</v>
      </c>
      <c r="X112" s="44" t="str">
        <f>VLOOKUP(Tabla15[[#This Row],[N° 
Evento]],'Eventos de riesgos'!B:L,11,0)</f>
        <v>5 - Daños a Activos Fisicos</v>
      </c>
      <c r="Y112" s="44" t="str">
        <f>VLOOKUP(Tabla15[[#This Row],[N° 
Evento]],'Eventos de riesgos'!B:M,12,0)</f>
        <v>51 - Desastres y Otros Acontecimientos</v>
      </c>
      <c r="Z112" s="44" t="str">
        <f>VLOOKUP(Tabla15[[#This Row],[N° 
Evento]],'Eventos de riesgos'!B:N,13,0)</f>
        <v>512 - Pérdida por Causas Externas: Vandalismo, Terrorismo, Etc.</v>
      </c>
      <c r="AA112" s="44" t="str">
        <f>+VLOOKUP(Tabla15[[#This Row],[N° 
Evento]],'Eventos de riesgos'!$B$1:$AA$87,23,0)</f>
        <v>Robo de equipo de computo</v>
      </c>
      <c r="AB112" s="43" t="str">
        <f>VLOOKUP(Tabla15[[#This Row],[N° 
Evento]],'Eventos de riesgos'!B:O,14,0)</f>
        <v>Ninguna</v>
      </c>
      <c r="AC112" s="48">
        <f>VLOOKUP(Tabla15[[#This Row],[N° 
Evento]],'Eventos de riesgos'!B:P,15,0)</f>
        <v>45169.684027777781</v>
      </c>
      <c r="AD112" s="43" t="str">
        <f>VLOOKUP(Tabla15[[#This Row],[N° 
Evento]],'Eventos de riesgos'!B:Q,16,0)</f>
        <v>Ninguno</v>
      </c>
      <c r="AE112" s="43" t="str">
        <f>VLOOKUP(Tabla15[[#This Row],[N° 
Evento]],'Eventos de riesgos'!B:R,17,0)</f>
        <v>Ninguno</v>
      </c>
      <c r="AF112" s="45" t="str">
        <f>VLOOKUP(Tabla15[[#This Row],[N° 
Evento]],'Eventos de riesgos'!B:V,21,0)</f>
        <v>Aprobado</v>
      </c>
      <c r="AG112" s="44" t="str">
        <f>VLOOKUP(Tabla15[[#This Row],[N° 
Evento]],'Eventos de riesgos'!B:W,22,0)</f>
        <v>19/08/2023 16:26:35: Costos aproximados (falta validar valor comercial y cobertura de la aseguradora)</v>
      </c>
    </row>
    <row r="113" spans="3:33" ht="59" customHeight="1" x14ac:dyDescent="0.55000000000000004">
      <c r="C113" s="43" t="str">
        <f>+Tabla15[[#This Row],[N° 
Evento]]&amp;"-"&amp;Tabla15[[#This Row],[N° Tarea]]</f>
        <v>48-1</v>
      </c>
      <c r="D113" s="43">
        <v>48</v>
      </c>
      <c r="E113" s="43">
        <v>1</v>
      </c>
      <c r="F113" s="44" t="s">
        <v>858</v>
      </c>
      <c r="G113" s="44" t="s">
        <v>1052</v>
      </c>
      <c r="H113" s="44" t="s">
        <v>215</v>
      </c>
      <c r="I113" s="45" t="s">
        <v>91</v>
      </c>
      <c r="J113" s="46">
        <v>45157</v>
      </c>
      <c r="K113" s="46">
        <v>45184</v>
      </c>
      <c r="L113" s="47" t="str">
        <f>IF(Tabla15[[#This Row],[Fecha de Finalización]]&gt;0,"Cerrada","En Proceso")</f>
        <v>Cerrada</v>
      </c>
      <c r="M113" s="43">
        <f t="shared" si="2"/>
        <v>27</v>
      </c>
      <c r="N113" s="44" t="s">
        <v>372</v>
      </c>
      <c r="O113" s="43">
        <f>VLOOKUP(Tabla15[[#This Row],[N° 
Evento]],'Eventos de riesgos'!B:C,2,0)</f>
        <v>2023</v>
      </c>
      <c r="P113" s="43" t="str">
        <f>VLOOKUP(Tabla15[[#This Row],[N° 
Evento]],'Eventos de riesgos'!B:D,3,0)</f>
        <v>Ago</v>
      </c>
      <c r="Q113" s="48">
        <f>VLOOKUP(Tabla15[[#This Row],[N° 
Evento]],'Eventos de riesgos'!B:E,4,0)</f>
        <v>45157.76458333333</v>
      </c>
      <c r="R113" s="48">
        <f>VLOOKUP(Tabla15[[#This Row],[N° 
Evento]],'Eventos de riesgos'!B:F,5,0)</f>
        <v>45161.76458333333</v>
      </c>
      <c r="S113" s="48">
        <f>VLOOKUP(Tabla15[[#This Row],[N° 
Evento]],'Eventos de riesgos'!B:G,6,0)</f>
        <v>45161.76458333333</v>
      </c>
      <c r="T113"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3" s="49">
        <f>VLOOKUP(Tabla15[[#This Row],[N° 
Evento]],'Eventos de riesgos'!B:I,8,0)</f>
        <v>0</v>
      </c>
      <c r="V113" s="49">
        <f>VLOOKUP(Tabla15[[#This Row],[N° 
Evento]],'Eventos de riesgos'!B:J,9,0)</f>
        <v>0</v>
      </c>
      <c r="W113" s="49">
        <f>VLOOKUP(Tabla15[[#This Row],[N° 
Evento]],'Eventos de riesgos'!B:K,10,0)</f>
        <v>0</v>
      </c>
      <c r="X113" s="44" t="str">
        <f>VLOOKUP(Tabla15[[#This Row],[N° 
Evento]],'Eventos de riesgos'!B:L,11,0)</f>
        <v>2 - Fraude Externo</v>
      </c>
      <c r="Y113" s="44" t="str">
        <f>VLOOKUP(Tabla15[[#This Row],[N° 
Evento]],'Eventos de riesgos'!B:M,12,0)</f>
        <v>22 - Hurto y Fraude</v>
      </c>
      <c r="Z113" s="44" t="str">
        <f>VLOOKUP(Tabla15[[#This Row],[N° 
Evento]],'Eventos de riesgos'!B:N,13,0)</f>
        <v>221 - Robo o Hurto</v>
      </c>
      <c r="AA113" s="44" t="str">
        <f>+VLOOKUP(Tabla15[[#This Row],[N° 
Evento]],'Eventos de riesgos'!$B$1:$AA$87,23,0)</f>
        <v>Suplantacion de Identidad y robo a asociados</v>
      </c>
      <c r="AB113" s="43" t="str">
        <f>VLOOKUP(Tabla15[[#This Row],[N° 
Evento]],'Eventos de riesgos'!B:O,14,0)</f>
        <v>Ninguna</v>
      </c>
      <c r="AC113" s="48">
        <f>VLOOKUP(Tabla15[[#This Row],[N° 
Evento]],'Eventos de riesgos'!B:P,15,0)</f>
        <v>45169.765277777777</v>
      </c>
      <c r="AD113" s="43" t="str">
        <f>VLOOKUP(Tabla15[[#This Row],[N° 
Evento]],'Eventos de riesgos'!B:Q,16,0)</f>
        <v>Ahorros voluntarios</v>
      </c>
      <c r="AE113" s="43" t="str">
        <f>VLOOKUP(Tabla15[[#This Row],[N° 
Evento]],'Eventos de riesgos'!B:R,17,0)</f>
        <v>Cooperativa Digital</v>
      </c>
      <c r="AF113" s="45" t="str">
        <f>VLOOKUP(Tabla15[[#This Row],[N° 
Evento]],'Eventos de riesgos'!B:V,21,0)</f>
        <v>Aprobado</v>
      </c>
      <c r="AG113" s="44" t="str">
        <f>VLOOKUP(Tabla15[[#This Row],[N° 
Evento]],'Eventos de riesgos'!B:W,22,0)</f>
        <v>23/08/2023 18:23:41: Primera información del caso</v>
      </c>
    </row>
    <row r="114" spans="3:33" ht="59" customHeight="1" x14ac:dyDescent="0.55000000000000004">
      <c r="C114" s="43" t="str">
        <f>+Tabla15[[#This Row],[N° 
Evento]]&amp;"-"&amp;Tabla15[[#This Row],[N° Tarea]]</f>
        <v>48-2</v>
      </c>
      <c r="D114" s="43">
        <v>48</v>
      </c>
      <c r="E114" s="43">
        <v>2</v>
      </c>
      <c r="F114" s="44" t="s">
        <v>373</v>
      </c>
      <c r="G114" s="44" t="s">
        <v>1052</v>
      </c>
      <c r="H114" s="44" t="s">
        <v>233</v>
      </c>
      <c r="I114" s="45" t="s">
        <v>240</v>
      </c>
      <c r="J114" s="46">
        <v>45157</v>
      </c>
      <c r="K114" s="46">
        <v>45183</v>
      </c>
      <c r="L114" s="47" t="str">
        <f>IF(Tabla15[[#This Row],[Fecha de Finalización]]&gt;0,"Cerrada","En Proceso")</f>
        <v>Cerrada</v>
      </c>
      <c r="M114" s="43">
        <f t="shared" si="2"/>
        <v>26</v>
      </c>
      <c r="N114" s="44" t="s">
        <v>374</v>
      </c>
      <c r="O114" s="43">
        <f>VLOOKUP(Tabla15[[#This Row],[N° 
Evento]],'Eventos de riesgos'!B:C,2,0)</f>
        <v>2023</v>
      </c>
      <c r="P114" s="43" t="str">
        <f>VLOOKUP(Tabla15[[#This Row],[N° 
Evento]],'Eventos de riesgos'!B:D,3,0)</f>
        <v>Ago</v>
      </c>
      <c r="Q114" s="48">
        <f>VLOOKUP(Tabla15[[#This Row],[N° 
Evento]],'Eventos de riesgos'!B:E,4,0)</f>
        <v>45157.76458333333</v>
      </c>
      <c r="R114" s="48">
        <f>VLOOKUP(Tabla15[[#This Row],[N° 
Evento]],'Eventos de riesgos'!B:F,5,0)</f>
        <v>45161.76458333333</v>
      </c>
      <c r="S114" s="48">
        <f>VLOOKUP(Tabla15[[#This Row],[N° 
Evento]],'Eventos de riesgos'!B:G,6,0)</f>
        <v>45161.76458333333</v>
      </c>
      <c r="T114"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4" s="49">
        <f>VLOOKUP(Tabla15[[#This Row],[N° 
Evento]],'Eventos de riesgos'!B:I,8,0)</f>
        <v>0</v>
      </c>
      <c r="V114" s="49">
        <f>VLOOKUP(Tabla15[[#This Row],[N° 
Evento]],'Eventos de riesgos'!B:J,9,0)</f>
        <v>0</v>
      </c>
      <c r="W114" s="49">
        <f>VLOOKUP(Tabla15[[#This Row],[N° 
Evento]],'Eventos de riesgos'!B:K,10,0)</f>
        <v>0</v>
      </c>
      <c r="X114" s="44" t="str">
        <f>VLOOKUP(Tabla15[[#This Row],[N° 
Evento]],'Eventos de riesgos'!B:L,11,0)</f>
        <v>2 - Fraude Externo</v>
      </c>
      <c r="Y114" s="44" t="str">
        <f>VLOOKUP(Tabla15[[#This Row],[N° 
Evento]],'Eventos de riesgos'!B:M,12,0)</f>
        <v>22 - Hurto y Fraude</v>
      </c>
      <c r="Z114" s="44" t="str">
        <f>VLOOKUP(Tabla15[[#This Row],[N° 
Evento]],'Eventos de riesgos'!B:N,13,0)</f>
        <v>221 - Robo o Hurto</v>
      </c>
      <c r="AA114" s="44" t="str">
        <f>+VLOOKUP(Tabla15[[#This Row],[N° 
Evento]],'Eventos de riesgos'!$B$1:$AA$87,23,0)</f>
        <v>Suplantacion de Identidad y robo a asociados</v>
      </c>
      <c r="AB114" s="43" t="str">
        <f>VLOOKUP(Tabla15[[#This Row],[N° 
Evento]],'Eventos de riesgos'!B:O,14,0)</f>
        <v>Ninguna</v>
      </c>
      <c r="AC114" s="48">
        <f>VLOOKUP(Tabla15[[#This Row],[N° 
Evento]],'Eventos de riesgos'!B:P,15,0)</f>
        <v>45169.765277777777</v>
      </c>
      <c r="AD114" s="43" t="str">
        <f>VLOOKUP(Tabla15[[#This Row],[N° 
Evento]],'Eventos de riesgos'!B:Q,16,0)</f>
        <v>Ahorros voluntarios</v>
      </c>
      <c r="AE114" s="43" t="str">
        <f>VLOOKUP(Tabla15[[#This Row],[N° 
Evento]],'Eventos de riesgos'!B:R,17,0)</f>
        <v>Cooperativa Digital</v>
      </c>
      <c r="AF114" s="45" t="str">
        <f>VLOOKUP(Tabla15[[#This Row],[N° 
Evento]],'Eventos de riesgos'!B:V,21,0)</f>
        <v>Aprobado</v>
      </c>
      <c r="AG114" s="44" t="str">
        <f>VLOOKUP(Tabla15[[#This Row],[N° 
Evento]],'Eventos de riesgos'!B:W,22,0)</f>
        <v>23/08/2023 18:23:41: Primera información del caso</v>
      </c>
    </row>
    <row r="115" spans="3:33" ht="59" customHeight="1" x14ac:dyDescent="0.55000000000000004">
      <c r="C115" s="43" t="str">
        <f>+Tabla15[[#This Row],[N° 
Evento]]&amp;"-"&amp;Tabla15[[#This Row],[N° Tarea]]</f>
        <v>48-3</v>
      </c>
      <c r="D115" s="43">
        <v>48</v>
      </c>
      <c r="E115" s="43">
        <v>3</v>
      </c>
      <c r="F115" s="44" t="s">
        <v>375</v>
      </c>
      <c r="G115" s="44" t="s">
        <v>1052</v>
      </c>
      <c r="H115" s="44" t="s">
        <v>771</v>
      </c>
      <c r="I115" s="45" t="s">
        <v>273</v>
      </c>
      <c r="J115" s="46">
        <v>45157</v>
      </c>
      <c r="K115" s="46">
        <v>45157</v>
      </c>
      <c r="L115" s="47" t="str">
        <f>IF(Tabla15[[#This Row],[Fecha de Finalización]]&gt;0,"Cerrada","En Proceso")</f>
        <v>Cerrada</v>
      </c>
      <c r="M115" s="43">
        <f t="shared" si="2"/>
        <v>0</v>
      </c>
      <c r="N115" s="44" t="s">
        <v>376</v>
      </c>
      <c r="O115" s="43">
        <f>VLOOKUP(Tabla15[[#This Row],[N° 
Evento]],'Eventos de riesgos'!B:C,2,0)</f>
        <v>2023</v>
      </c>
      <c r="P115" s="43" t="str">
        <f>VLOOKUP(Tabla15[[#This Row],[N° 
Evento]],'Eventos de riesgos'!B:D,3,0)</f>
        <v>Ago</v>
      </c>
      <c r="Q115" s="48">
        <f>VLOOKUP(Tabla15[[#This Row],[N° 
Evento]],'Eventos de riesgos'!B:E,4,0)</f>
        <v>45157.76458333333</v>
      </c>
      <c r="R115" s="48">
        <f>VLOOKUP(Tabla15[[#This Row],[N° 
Evento]],'Eventos de riesgos'!B:F,5,0)</f>
        <v>45161.76458333333</v>
      </c>
      <c r="S115" s="48">
        <f>VLOOKUP(Tabla15[[#This Row],[N° 
Evento]],'Eventos de riesgos'!B:G,6,0)</f>
        <v>45161.76458333333</v>
      </c>
      <c r="T115"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5" s="49">
        <f>VLOOKUP(Tabla15[[#This Row],[N° 
Evento]],'Eventos de riesgos'!B:I,8,0)</f>
        <v>0</v>
      </c>
      <c r="V115" s="49">
        <f>VLOOKUP(Tabla15[[#This Row],[N° 
Evento]],'Eventos de riesgos'!B:J,9,0)</f>
        <v>0</v>
      </c>
      <c r="W115" s="49">
        <f>VLOOKUP(Tabla15[[#This Row],[N° 
Evento]],'Eventos de riesgos'!B:K,10,0)</f>
        <v>0</v>
      </c>
      <c r="X115" s="44" t="str">
        <f>VLOOKUP(Tabla15[[#This Row],[N° 
Evento]],'Eventos de riesgos'!B:L,11,0)</f>
        <v>2 - Fraude Externo</v>
      </c>
      <c r="Y115" s="44" t="str">
        <f>VLOOKUP(Tabla15[[#This Row],[N° 
Evento]],'Eventos de riesgos'!B:M,12,0)</f>
        <v>22 - Hurto y Fraude</v>
      </c>
      <c r="Z115" s="44" t="str">
        <f>VLOOKUP(Tabla15[[#This Row],[N° 
Evento]],'Eventos de riesgos'!B:N,13,0)</f>
        <v>221 - Robo o Hurto</v>
      </c>
      <c r="AA115" s="44" t="str">
        <f>+VLOOKUP(Tabla15[[#This Row],[N° 
Evento]],'Eventos de riesgos'!$B$1:$AA$87,23,0)</f>
        <v>Suplantacion de Identidad y robo a asociados</v>
      </c>
      <c r="AB115" s="43" t="str">
        <f>VLOOKUP(Tabla15[[#This Row],[N° 
Evento]],'Eventos de riesgos'!B:O,14,0)</f>
        <v>Ninguna</v>
      </c>
      <c r="AC115" s="48">
        <f>VLOOKUP(Tabla15[[#This Row],[N° 
Evento]],'Eventos de riesgos'!B:P,15,0)</f>
        <v>45169.765277777777</v>
      </c>
      <c r="AD115" s="43" t="str">
        <f>VLOOKUP(Tabla15[[#This Row],[N° 
Evento]],'Eventos de riesgos'!B:Q,16,0)</f>
        <v>Ahorros voluntarios</v>
      </c>
      <c r="AE115" s="43" t="str">
        <f>VLOOKUP(Tabla15[[#This Row],[N° 
Evento]],'Eventos de riesgos'!B:R,17,0)</f>
        <v>Cooperativa Digital</v>
      </c>
      <c r="AF115" s="45" t="str">
        <f>VLOOKUP(Tabla15[[#This Row],[N° 
Evento]],'Eventos de riesgos'!B:V,21,0)</f>
        <v>Aprobado</v>
      </c>
      <c r="AG115" s="44" t="str">
        <f>VLOOKUP(Tabla15[[#This Row],[N° 
Evento]],'Eventos de riesgos'!B:W,22,0)</f>
        <v>23/08/2023 18:23:41: Primera información del caso</v>
      </c>
    </row>
    <row r="116" spans="3:33" ht="59" customHeight="1" x14ac:dyDescent="0.55000000000000004">
      <c r="C116" s="43" t="str">
        <f>+Tabla15[[#This Row],[N° 
Evento]]&amp;"-"&amp;Tabla15[[#This Row],[N° Tarea]]</f>
        <v>48-4</v>
      </c>
      <c r="D116" s="43">
        <v>48</v>
      </c>
      <c r="E116" s="43">
        <v>4</v>
      </c>
      <c r="F116" s="44" t="s">
        <v>859</v>
      </c>
      <c r="G116" s="44" t="s">
        <v>1052</v>
      </c>
      <c r="H116" s="44" t="s">
        <v>773</v>
      </c>
      <c r="I116" s="45" t="s">
        <v>259</v>
      </c>
      <c r="J116" s="46">
        <v>45183</v>
      </c>
      <c r="K116" s="46">
        <v>45233</v>
      </c>
      <c r="L116" s="47" t="str">
        <f>IF(Tabla15[[#This Row],[Fecha de Finalización]]&gt;0,"Cerrada","En Proceso")</f>
        <v>Cerrada</v>
      </c>
      <c r="M116" s="43"/>
      <c r="N116" s="44" t="s">
        <v>860</v>
      </c>
      <c r="O116" s="43">
        <f>VLOOKUP(Tabla15[[#This Row],[N° 
Evento]],'Eventos de riesgos'!B:C,2,0)</f>
        <v>2023</v>
      </c>
      <c r="P116" s="43" t="str">
        <f>VLOOKUP(Tabla15[[#This Row],[N° 
Evento]],'Eventos de riesgos'!B:D,3,0)</f>
        <v>Ago</v>
      </c>
      <c r="Q116" s="48">
        <f>VLOOKUP(Tabla15[[#This Row],[N° 
Evento]],'Eventos de riesgos'!B:E,4,0)</f>
        <v>45157.76458333333</v>
      </c>
      <c r="R116" s="48">
        <f>VLOOKUP(Tabla15[[#This Row],[N° 
Evento]],'Eventos de riesgos'!B:F,5,0)</f>
        <v>45161.76458333333</v>
      </c>
      <c r="S116" s="48">
        <f>VLOOKUP(Tabla15[[#This Row],[N° 
Evento]],'Eventos de riesgos'!B:G,6,0)</f>
        <v>45161.76458333333</v>
      </c>
      <c r="T116"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6" s="49">
        <f>VLOOKUP(Tabla15[[#This Row],[N° 
Evento]],'Eventos de riesgos'!B:I,8,0)</f>
        <v>0</v>
      </c>
      <c r="V116" s="49">
        <f>VLOOKUP(Tabla15[[#This Row],[N° 
Evento]],'Eventos de riesgos'!B:J,9,0)</f>
        <v>0</v>
      </c>
      <c r="W116" s="49">
        <f>VLOOKUP(Tabla15[[#This Row],[N° 
Evento]],'Eventos de riesgos'!B:K,10,0)</f>
        <v>0</v>
      </c>
      <c r="X116" s="44" t="str">
        <f>VLOOKUP(Tabla15[[#This Row],[N° 
Evento]],'Eventos de riesgos'!B:L,11,0)</f>
        <v>2 - Fraude Externo</v>
      </c>
      <c r="Y116" s="44" t="str">
        <f>VLOOKUP(Tabla15[[#This Row],[N° 
Evento]],'Eventos de riesgos'!B:M,12,0)</f>
        <v>22 - Hurto y Fraude</v>
      </c>
      <c r="Z116" s="44" t="str">
        <f>VLOOKUP(Tabla15[[#This Row],[N° 
Evento]],'Eventos de riesgos'!B:N,13,0)</f>
        <v>221 - Robo o Hurto</v>
      </c>
      <c r="AA116" s="44" t="str">
        <f>+VLOOKUP(Tabla15[[#This Row],[N° 
Evento]],'Eventos de riesgos'!$B$1:$AA$87,23,0)</f>
        <v>Suplantacion de Identidad y robo a asociados</v>
      </c>
      <c r="AB116" s="43" t="str">
        <f>VLOOKUP(Tabla15[[#This Row],[N° 
Evento]],'Eventos de riesgos'!B:O,14,0)</f>
        <v>Ninguna</v>
      </c>
      <c r="AC116" s="48">
        <f>VLOOKUP(Tabla15[[#This Row],[N° 
Evento]],'Eventos de riesgos'!B:P,15,0)</f>
        <v>45169.765277777777</v>
      </c>
      <c r="AD116" s="43" t="str">
        <f>VLOOKUP(Tabla15[[#This Row],[N° 
Evento]],'Eventos de riesgos'!B:Q,16,0)</f>
        <v>Ahorros voluntarios</v>
      </c>
      <c r="AE116" s="43" t="str">
        <f>VLOOKUP(Tabla15[[#This Row],[N° 
Evento]],'Eventos de riesgos'!B:R,17,0)</f>
        <v>Cooperativa Digital</v>
      </c>
      <c r="AF116" s="45" t="str">
        <f>VLOOKUP(Tabla15[[#This Row],[N° 
Evento]],'Eventos de riesgos'!B:V,21,0)</f>
        <v>Aprobado</v>
      </c>
      <c r="AG116" s="44" t="str">
        <f>VLOOKUP(Tabla15[[#This Row],[N° 
Evento]],'Eventos de riesgos'!B:W,22,0)</f>
        <v>23/08/2023 18:23:41: Primera información del caso</v>
      </c>
    </row>
    <row r="117" spans="3:33" ht="59" customHeight="1" x14ac:dyDescent="0.55000000000000004">
      <c r="C117" s="43" t="str">
        <f>+Tabla15[[#This Row],[N° 
Evento]]&amp;"-"&amp;Tabla15[[#This Row],[N° Tarea]]</f>
        <v>49-1</v>
      </c>
      <c r="D117" s="43">
        <v>49</v>
      </c>
      <c r="E117" s="43">
        <v>1</v>
      </c>
      <c r="F117" s="44" t="s">
        <v>377</v>
      </c>
      <c r="G117" s="44" t="s">
        <v>1052</v>
      </c>
      <c r="H117" s="44" t="s">
        <v>771</v>
      </c>
      <c r="I117" s="45" t="s">
        <v>378</v>
      </c>
      <c r="J117" s="46">
        <v>45239</v>
      </c>
      <c r="K117" s="46">
        <v>45239</v>
      </c>
      <c r="L117" s="47" t="str">
        <f>IF(Tabla15[[#This Row],[Fecha de Finalización]]&gt;0,"Cerrada","En Proceso")</f>
        <v>Cerrada</v>
      </c>
      <c r="M117" s="43">
        <f t="shared" ref="M117:M149" si="3">+K117-J117</f>
        <v>0</v>
      </c>
      <c r="N117" s="44"/>
      <c r="O117" s="43">
        <f>VLOOKUP(Tabla15[[#This Row],[N° 
Evento]],'Eventos de riesgos'!B:C,2,0)</f>
        <v>2023</v>
      </c>
      <c r="P117" s="43" t="str">
        <f>VLOOKUP(Tabla15[[#This Row],[N° 
Evento]],'Eventos de riesgos'!B:D,3,0)</f>
        <v>Nov</v>
      </c>
      <c r="Q117" s="48">
        <f>VLOOKUP(Tabla15[[#This Row],[N° 
Evento]],'Eventos de riesgos'!B:E,4,0)</f>
        <v>45239.746527777781</v>
      </c>
      <c r="R117" s="48">
        <f>VLOOKUP(Tabla15[[#This Row],[N° 
Evento]],'Eventos de riesgos'!B:F,5,0)</f>
        <v>45239.746527777781</v>
      </c>
      <c r="S117" s="48">
        <f>VLOOKUP(Tabla15[[#This Row],[N° 
Evento]],'Eventos de riesgos'!B:G,6,0)</f>
        <v>45239.746527777781</v>
      </c>
      <c r="T117" s="62" t="str">
        <f>VLOOKUP(Tabla15[[#This Row],[N° 
Evento]],'Eventos de riesgos'!B:H,7,0)</f>
        <v xml:space="preserve">Caso
Reporte de caída del sitio web de Febor, refleja errores que interrumpen el acceso a la página causado por operaciones dirigidas desde la dirección de informática en la que no se contempló los posibles daños al realizar dichas actividades.
Dir de Informática :'por mejorar la seguridad del sitio, el proxi lo hace el firewall, y se debe cambiar la IP, esto se demoró más de lo estimado, y necesitaba en horario de oficina para tener soporte en caso que falle algo, error mío, pensé que era mas rápido y se demoró más de lo esperado, ya ha repicado en algunos ISP, espero que esta noche se normalice, estoy muy pendiente del proceso'
Acciones
Corregir el error inmediatamente para reanudar la activación de la pagina web.Realizar una estrategia de comunicación y planeación de las actividades del área, analizando las posibles consecuencias de interrupción al servicio. Esta estrategia debe contener los programas de mantenimiento preventivos y/o correctivos , cuando se van a ejecutar y por cuanto tiempo, para que las demás áreas estén preparadas.
</v>
      </c>
      <c r="U117" s="49">
        <f>VLOOKUP(Tabla15[[#This Row],[N° 
Evento]],'Eventos de riesgos'!B:I,8,0)</f>
        <v>0</v>
      </c>
      <c r="V117" s="49">
        <f>VLOOKUP(Tabla15[[#This Row],[N° 
Evento]],'Eventos de riesgos'!B:J,9,0)</f>
        <v>0</v>
      </c>
      <c r="W117" s="49">
        <f>VLOOKUP(Tabla15[[#This Row],[N° 
Evento]],'Eventos de riesgos'!B:K,10,0)</f>
        <v>0</v>
      </c>
      <c r="X117" s="44" t="str">
        <f>VLOOKUP(Tabla15[[#This Row],[N° 
Evento]],'Eventos de riesgos'!B:L,11,0)</f>
        <v>6 - Fallas Tecnologicas</v>
      </c>
      <c r="Y117" s="44" t="str">
        <f>VLOOKUP(Tabla15[[#This Row],[N° 
Evento]],'Eventos de riesgos'!B:M,12,0)</f>
        <v>61 - Sistemas</v>
      </c>
      <c r="Z117" s="44" t="str">
        <f>VLOOKUP(Tabla15[[#This Row],[N° 
Evento]],'Eventos de riesgos'!B:N,13,0)</f>
        <v>611 - Pérdida por Problemas en Software</v>
      </c>
      <c r="AA117" s="44" t="str">
        <f>+VLOOKUP(Tabla15[[#This Row],[N° 
Evento]],'Eventos de riesgos'!$B$1:$AA$87,23,0)</f>
        <v xml:space="preserve">Fallas sitio web </v>
      </c>
      <c r="AB117" s="43" t="str">
        <f>VLOOKUP(Tabla15[[#This Row],[N° 
Evento]],'Eventos de riesgos'!B:O,14,0)</f>
        <v>Ninguna</v>
      </c>
      <c r="AC117" s="48">
        <f>VLOOKUP(Tabla15[[#This Row],[N° 
Evento]],'Eventos de riesgos'!B:P,15,0)</f>
        <v>45260.753472222219</v>
      </c>
      <c r="AD117" s="43" t="str">
        <f>VLOOKUP(Tabla15[[#This Row],[N° 
Evento]],'Eventos de riesgos'!B:Q,16,0)</f>
        <v>Ninguno</v>
      </c>
      <c r="AE117" s="43" t="str">
        <f>VLOOKUP(Tabla15[[#This Row],[N° 
Evento]],'Eventos de riesgos'!B:R,17,0)</f>
        <v>Ninguno</v>
      </c>
      <c r="AF117" s="45" t="str">
        <f>VLOOKUP(Tabla15[[#This Row],[N° 
Evento]],'Eventos de riesgos'!B:V,21,0)</f>
        <v>Aprobado</v>
      </c>
      <c r="AG117" s="44" t="str">
        <f>VLOOKUP(Tabla15[[#This Row],[N° 
Evento]],'Eventos de riesgos'!B:W,22,0)</f>
        <v>13/11/2023 18:06:31: Creado
04/12/2023 20:00:57: .</v>
      </c>
    </row>
    <row r="118" spans="3:33" ht="59" customHeight="1" x14ac:dyDescent="0.55000000000000004">
      <c r="C118" s="43" t="str">
        <f>+Tabla15[[#This Row],[N° 
Evento]]&amp;"-"&amp;Tabla15[[#This Row],[N° Tarea]]</f>
        <v>49-1</v>
      </c>
      <c r="D118" s="43">
        <v>49</v>
      </c>
      <c r="E118" s="43">
        <v>1</v>
      </c>
      <c r="F118" s="44" t="s">
        <v>379</v>
      </c>
      <c r="G118" s="44" t="s">
        <v>1052</v>
      </c>
      <c r="H118" s="44" t="s">
        <v>771</v>
      </c>
      <c r="I118" s="45" t="s">
        <v>378</v>
      </c>
      <c r="J118" s="46">
        <v>45239</v>
      </c>
      <c r="K118" s="46">
        <v>45316</v>
      </c>
      <c r="L118" s="47" t="str">
        <f>IF(Tabla15[[#This Row],[Fecha de Finalización]]&gt;0,"Cerrada","En Proceso")</f>
        <v>Cerrada</v>
      </c>
      <c r="M118" s="43">
        <f t="shared" si="3"/>
        <v>77</v>
      </c>
      <c r="N118" s="50" t="s">
        <v>416</v>
      </c>
      <c r="O118" s="43">
        <f>VLOOKUP(Tabla15[[#This Row],[N° 
Evento]],'Eventos de riesgos'!B:C,2,0)</f>
        <v>2023</v>
      </c>
      <c r="P118" s="43" t="str">
        <f>VLOOKUP(Tabla15[[#This Row],[N° 
Evento]],'Eventos de riesgos'!B:D,3,0)</f>
        <v>Nov</v>
      </c>
      <c r="Q118" s="48">
        <f>VLOOKUP(Tabla15[[#This Row],[N° 
Evento]],'Eventos de riesgos'!B:E,4,0)</f>
        <v>45239.746527777781</v>
      </c>
      <c r="R118" s="48">
        <f>VLOOKUP(Tabla15[[#This Row],[N° 
Evento]],'Eventos de riesgos'!B:F,5,0)</f>
        <v>45239.746527777781</v>
      </c>
      <c r="S118" s="48">
        <f>VLOOKUP(Tabla15[[#This Row],[N° 
Evento]],'Eventos de riesgos'!B:G,6,0)</f>
        <v>45239.746527777781</v>
      </c>
      <c r="T118" s="62" t="str">
        <f>VLOOKUP(Tabla15[[#This Row],[N° 
Evento]],'Eventos de riesgos'!B:H,7,0)</f>
        <v xml:space="preserve">Caso
Reporte de caída del sitio web de Febor, refleja errores que interrumpen el acceso a la página causado por operaciones dirigidas desde la dirección de informática en la que no se contempló los posibles daños al realizar dichas actividades.
Dir de Informática :'por mejorar la seguridad del sitio, el proxi lo hace el firewall, y se debe cambiar la IP, esto se demoró más de lo estimado, y necesitaba en horario de oficina para tener soporte en caso que falle algo, error mío, pensé que era mas rápido y se demoró más de lo esperado, ya ha repicado en algunos ISP, espero que esta noche se normalice, estoy muy pendiente del proceso'
Acciones
Corregir el error inmediatamente para reanudar la activación de la pagina web.Realizar una estrategia de comunicación y planeación de las actividades del área, analizando las posibles consecuencias de interrupción al servicio. Esta estrategia debe contener los programas de mantenimiento preventivos y/o correctivos , cuando se van a ejecutar y por cuanto tiempo, para que las demás áreas estén preparadas.
</v>
      </c>
      <c r="U118" s="49">
        <f>VLOOKUP(Tabla15[[#This Row],[N° 
Evento]],'Eventos de riesgos'!B:I,8,0)</f>
        <v>0</v>
      </c>
      <c r="V118" s="49">
        <f>VLOOKUP(Tabla15[[#This Row],[N° 
Evento]],'Eventos de riesgos'!B:J,9,0)</f>
        <v>0</v>
      </c>
      <c r="W118" s="49">
        <f>VLOOKUP(Tabla15[[#This Row],[N° 
Evento]],'Eventos de riesgos'!B:K,10,0)</f>
        <v>0</v>
      </c>
      <c r="X118" s="44" t="str">
        <f>VLOOKUP(Tabla15[[#This Row],[N° 
Evento]],'Eventos de riesgos'!B:L,11,0)</f>
        <v>6 - Fallas Tecnologicas</v>
      </c>
      <c r="Y118" s="44" t="str">
        <f>VLOOKUP(Tabla15[[#This Row],[N° 
Evento]],'Eventos de riesgos'!B:M,12,0)</f>
        <v>61 - Sistemas</v>
      </c>
      <c r="Z118" s="44" t="str">
        <f>VLOOKUP(Tabla15[[#This Row],[N° 
Evento]],'Eventos de riesgos'!B:N,13,0)</f>
        <v>611 - Pérdida por Problemas en Software</v>
      </c>
      <c r="AA118" s="44" t="str">
        <f>+VLOOKUP(Tabla15[[#This Row],[N° 
Evento]],'Eventos de riesgos'!$B$1:$AA$87,23,0)</f>
        <v xml:space="preserve">Fallas sitio web </v>
      </c>
      <c r="AB118" s="43" t="str">
        <f>VLOOKUP(Tabla15[[#This Row],[N° 
Evento]],'Eventos de riesgos'!B:O,14,0)</f>
        <v>Ninguna</v>
      </c>
      <c r="AC118" s="48">
        <f>VLOOKUP(Tabla15[[#This Row],[N° 
Evento]],'Eventos de riesgos'!B:P,15,0)</f>
        <v>45260.753472222219</v>
      </c>
      <c r="AD118" s="43" t="str">
        <f>VLOOKUP(Tabla15[[#This Row],[N° 
Evento]],'Eventos de riesgos'!B:Q,16,0)</f>
        <v>Ninguno</v>
      </c>
      <c r="AE118" s="43" t="str">
        <f>VLOOKUP(Tabla15[[#This Row],[N° 
Evento]],'Eventos de riesgos'!B:R,17,0)</f>
        <v>Ninguno</v>
      </c>
      <c r="AF118" s="45" t="str">
        <f>VLOOKUP(Tabla15[[#This Row],[N° 
Evento]],'Eventos de riesgos'!B:V,21,0)</f>
        <v>Aprobado</v>
      </c>
      <c r="AG118" s="44" t="str">
        <f>VLOOKUP(Tabla15[[#This Row],[N° 
Evento]],'Eventos de riesgos'!B:W,22,0)</f>
        <v>13/11/2023 18:06:31: Creado
04/12/2023 20:00:57: .</v>
      </c>
    </row>
    <row r="119" spans="3:33" ht="59" customHeight="1" x14ac:dyDescent="0.55000000000000004">
      <c r="C119" s="43" t="str">
        <f>+Tabla15[[#This Row],[N° 
Evento]]&amp;"-"&amp;Tabla15[[#This Row],[N° Tarea]]</f>
        <v>50-1</v>
      </c>
      <c r="D119" s="43">
        <v>50</v>
      </c>
      <c r="E119" s="43">
        <v>1</v>
      </c>
      <c r="F119" s="44" t="s">
        <v>861</v>
      </c>
      <c r="G119" s="44" t="s">
        <v>1052</v>
      </c>
      <c r="H119" s="44" t="s">
        <v>215</v>
      </c>
      <c r="I119" s="45" t="s">
        <v>91</v>
      </c>
      <c r="J119" s="46">
        <v>45267</v>
      </c>
      <c r="K119" s="46">
        <v>45267</v>
      </c>
      <c r="L119" s="47" t="str">
        <f>IF(Tabla15[[#This Row],[Fecha de Finalización]]&gt;0,"Cerrada","En Proceso")</f>
        <v>Cerrada</v>
      </c>
      <c r="M119" s="43">
        <f t="shared" si="3"/>
        <v>0</v>
      </c>
      <c r="N119" s="44" t="s">
        <v>380</v>
      </c>
      <c r="O119" s="43">
        <f>VLOOKUP(Tabla15[[#This Row],[N° 
Evento]],'Eventos de riesgos'!B:C,2,0)</f>
        <v>2023</v>
      </c>
      <c r="P119" s="43" t="str">
        <f>VLOOKUP(Tabla15[[#This Row],[N° 
Evento]],'Eventos de riesgos'!B:D,3,0)</f>
        <v xml:space="preserve">Dic  </v>
      </c>
      <c r="Q119" s="48">
        <f>VLOOKUP(Tabla15[[#This Row],[N° 
Evento]],'Eventos de riesgos'!B:E,4,0)</f>
        <v>45267.638194444444</v>
      </c>
      <c r="R119" s="48">
        <f>VLOOKUP(Tabla15[[#This Row],[N° 
Evento]],'Eventos de riesgos'!B:F,5,0)</f>
        <v>45272.638194444444</v>
      </c>
      <c r="S119" s="48">
        <f>VLOOKUP(Tabla15[[#This Row],[N° 
Evento]],'Eventos de riesgos'!B:G,6,0)</f>
        <v>45267.638194444444</v>
      </c>
      <c r="T119" s="62" t="str">
        <f>VLOOKUP(Tabla15[[#This Row],[N° 
Evento]],'Eventos de riesgos'!B:H,7,0)</f>
        <v xml:space="preserve">Caso
Luego de la actualización de versión de Wog el pasado 26 de noviembre, se detectó una irregularidad en los cupos de los créditos rotativos, debido a que varios cupos que se cancelaron después de que el asociado realizara el pago total.
Esta inconsistencia que se presento después de la instalación de la nueva versión, ocasionó inconformidad de algunos asociados que han estado llamando porque necesitan realizar avances desde su cupo y no lo tienen activo.
Acciones
Incidencia 61118 reportada. Jefe Operaciones
Seguimiento a la incidencia - Activación de productos urgente (Wog- Operaciones)Diseño y programación de pruebas básicas de funcionalidad del sistema posterior a las actualizaciones, desde el área de tecnología solicitar apoyo para la realización de pruebas del sistema.
</v>
      </c>
      <c r="U119" s="49">
        <f>VLOOKUP(Tabla15[[#This Row],[N° 
Evento]],'Eventos de riesgos'!B:I,8,0)</f>
        <v>0</v>
      </c>
      <c r="V119" s="49">
        <f>VLOOKUP(Tabla15[[#This Row],[N° 
Evento]],'Eventos de riesgos'!B:J,9,0)</f>
        <v>0</v>
      </c>
      <c r="W119" s="49">
        <f>VLOOKUP(Tabla15[[#This Row],[N° 
Evento]],'Eventos de riesgos'!B:K,10,0)</f>
        <v>0</v>
      </c>
      <c r="X119" s="44" t="str">
        <f>VLOOKUP(Tabla15[[#This Row],[N° 
Evento]],'Eventos de riesgos'!B:L,11,0)</f>
        <v>6 - Fallas Tecnologicas</v>
      </c>
      <c r="Y119" s="44" t="str">
        <f>VLOOKUP(Tabla15[[#This Row],[N° 
Evento]],'Eventos de riesgos'!B:M,12,0)</f>
        <v>61 - Sistemas</v>
      </c>
      <c r="Z119" s="44" t="str">
        <f>VLOOKUP(Tabla15[[#This Row],[N° 
Evento]],'Eventos de riesgos'!B:N,13,0)</f>
        <v>611 - Pérdida por Problemas en Software</v>
      </c>
      <c r="AA119" s="44" t="str">
        <f>+VLOOKUP(Tabla15[[#This Row],[N° 
Evento]],'Eventos de riesgos'!$B$1:$AA$87,23,0)</f>
        <v>Errores por actualizoción Wog</v>
      </c>
      <c r="AB119" s="43" t="str">
        <f>VLOOKUP(Tabla15[[#This Row],[N° 
Evento]],'Eventos de riesgos'!B:O,14,0)</f>
        <v>Ninguna</v>
      </c>
      <c r="AC119" s="48">
        <f>VLOOKUP(Tabla15[[#This Row],[N° 
Evento]],'Eventos de riesgos'!B:P,15,0)</f>
        <v>45291.636805555558</v>
      </c>
      <c r="AD119" s="43" t="str">
        <f>VLOOKUP(Tabla15[[#This Row],[N° 
Evento]],'Eventos de riesgos'!B:Q,16,0)</f>
        <v>Crédito rotativo</v>
      </c>
      <c r="AE119" s="43" t="str">
        <f>VLOOKUP(Tabla15[[#This Row],[N° 
Evento]],'Eventos de riesgos'!B:R,17,0)</f>
        <v>Ninguno</v>
      </c>
      <c r="AF119" s="45" t="str">
        <f>VLOOKUP(Tabla15[[#This Row],[N° 
Evento]],'Eventos de riesgos'!B:V,21,0)</f>
        <v>Aprobado</v>
      </c>
      <c r="AG119" s="44" t="str">
        <f>VLOOKUP(Tabla15[[#This Row],[N° 
Evento]],'Eventos de riesgos'!B:W,22,0)</f>
        <v xml:space="preserve">
10/01/2024 12:02:45: Aprobada la creación</v>
      </c>
    </row>
    <row r="120" spans="3:33" ht="59" customHeight="1" x14ac:dyDescent="0.55000000000000004">
      <c r="C120" s="43" t="str">
        <f>+Tabla15[[#This Row],[N° 
Evento]]&amp;"-"&amp;Tabla15[[#This Row],[N° Tarea]]</f>
        <v>50-2</v>
      </c>
      <c r="D120" s="43">
        <v>50</v>
      </c>
      <c r="E120" s="43">
        <v>2</v>
      </c>
      <c r="F120" s="44" t="s">
        <v>381</v>
      </c>
      <c r="G120" s="44" t="s">
        <v>1052</v>
      </c>
      <c r="H120" s="44" t="s">
        <v>215</v>
      </c>
      <c r="I120" s="45" t="s">
        <v>91</v>
      </c>
      <c r="J120" s="46">
        <v>45267</v>
      </c>
      <c r="K120" s="46">
        <v>45302</v>
      </c>
      <c r="L120" s="47" t="str">
        <f>IF(Tabla15[[#This Row],[Fecha de Finalización]]&gt;0,"Cerrada","En Proceso")</f>
        <v>Cerrada</v>
      </c>
      <c r="M120" s="43">
        <f t="shared" si="3"/>
        <v>35</v>
      </c>
      <c r="N120" s="44" t="s">
        <v>382</v>
      </c>
      <c r="O120" s="43">
        <f>VLOOKUP(Tabla15[[#This Row],[N° 
Evento]],'Eventos de riesgos'!B:C,2,0)</f>
        <v>2023</v>
      </c>
      <c r="P120" s="43" t="str">
        <f>VLOOKUP(Tabla15[[#This Row],[N° 
Evento]],'Eventos de riesgos'!B:D,3,0)</f>
        <v xml:space="preserve">Dic  </v>
      </c>
      <c r="Q120" s="48">
        <f>VLOOKUP(Tabla15[[#This Row],[N° 
Evento]],'Eventos de riesgos'!B:E,4,0)</f>
        <v>45267.638194444444</v>
      </c>
      <c r="R120" s="48">
        <f>VLOOKUP(Tabla15[[#This Row],[N° 
Evento]],'Eventos de riesgos'!B:F,5,0)</f>
        <v>45272.638194444444</v>
      </c>
      <c r="S120" s="48">
        <f>VLOOKUP(Tabla15[[#This Row],[N° 
Evento]],'Eventos de riesgos'!B:G,6,0)</f>
        <v>45267.638194444444</v>
      </c>
      <c r="T120" s="62" t="str">
        <f>VLOOKUP(Tabla15[[#This Row],[N° 
Evento]],'Eventos de riesgos'!B:H,7,0)</f>
        <v xml:space="preserve">Caso
Luego de la actualización de versión de Wog el pasado 26 de noviembre, se detectó una irregularidad en los cupos de los créditos rotativos, debido a que varios cupos que se cancelaron después de que el asociado realizara el pago total.
Esta inconsistencia que se presento después de la instalación de la nueva versión, ocasionó inconformidad de algunos asociados que han estado llamando porque necesitan realizar avances desde su cupo y no lo tienen activo.
Acciones
Incidencia 61118 reportada. Jefe Operaciones
Seguimiento a la incidencia - Activación de productos urgente (Wog- Operaciones)Diseño y programación de pruebas básicas de funcionalidad del sistema posterior a las actualizaciones, desde el área de tecnología solicitar apoyo para la realización de pruebas del sistema.
</v>
      </c>
      <c r="U120" s="49">
        <f>VLOOKUP(Tabla15[[#This Row],[N° 
Evento]],'Eventos de riesgos'!B:I,8,0)</f>
        <v>0</v>
      </c>
      <c r="V120" s="49">
        <f>VLOOKUP(Tabla15[[#This Row],[N° 
Evento]],'Eventos de riesgos'!B:J,9,0)</f>
        <v>0</v>
      </c>
      <c r="W120" s="49">
        <f>VLOOKUP(Tabla15[[#This Row],[N° 
Evento]],'Eventos de riesgos'!B:K,10,0)</f>
        <v>0</v>
      </c>
      <c r="X120" s="44" t="str">
        <f>VLOOKUP(Tabla15[[#This Row],[N° 
Evento]],'Eventos de riesgos'!B:L,11,0)</f>
        <v>6 - Fallas Tecnologicas</v>
      </c>
      <c r="Y120" s="44" t="str">
        <f>VLOOKUP(Tabla15[[#This Row],[N° 
Evento]],'Eventos de riesgos'!B:M,12,0)</f>
        <v>61 - Sistemas</v>
      </c>
      <c r="Z120" s="44" t="str">
        <f>VLOOKUP(Tabla15[[#This Row],[N° 
Evento]],'Eventos de riesgos'!B:N,13,0)</f>
        <v>611 - Pérdida por Problemas en Software</v>
      </c>
      <c r="AA120" s="44" t="str">
        <f>+VLOOKUP(Tabla15[[#This Row],[N° 
Evento]],'Eventos de riesgos'!$B$1:$AA$87,23,0)</f>
        <v>Errores por actualizoción Wog</v>
      </c>
      <c r="AB120" s="43" t="str">
        <f>VLOOKUP(Tabla15[[#This Row],[N° 
Evento]],'Eventos de riesgos'!B:O,14,0)</f>
        <v>Ninguna</v>
      </c>
      <c r="AC120" s="48">
        <f>VLOOKUP(Tabla15[[#This Row],[N° 
Evento]],'Eventos de riesgos'!B:P,15,0)</f>
        <v>45291.636805555558</v>
      </c>
      <c r="AD120" s="43" t="str">
        <f>VLOOKUP(Tabla15[[#This Row],[N° 
Evento]],'Eventos de riesgos'!B:Q,16,0)</f>
        <v>Crédito rotativo</v>
      </c>
      <c r="AE120" s="43" t="str">
        <f>VLOOKUP(Tabla15[[#This Row],[N° 
Evento]],'Eventos de riesgos'!B:R,17,0)</f>
        <v>Ninguno</v>
      </c>
      <c r="AF120" s="45" t="str">
        <f>VLOOKUP(Tabla15[[#This Row],[N° 
Evento]],'Eventos de riesgos'!B:V,21,0)</f>
        <v>Aprobado</v>
      </c>
      <c r="AG120" s="44" t="str">
        <f>VLOOKUP(Tabla15[[#This Row],[N° 
Evento]],'Eventos de riesgos'!B:W,22,0)</f>
        <v xml:space="preserve">
10/01/2024 12:02:45: Aprobada la creación</v>
      </c>
    </row>
    <row r="121" spans="3:33" ht="59" customHeight="1" x14ac:dyDescent="0.55000000000000004">
      <c r="C121" s="43" t="str">
        <f>+Tabla15[[#This Row],[N° 
Evento]]&amp;"-"&amp;Tabla15[[#This Row],[N° Tarea]]</f>
        <v>51-1</v>
      </c>
      <c r="D121" s="43">
        <v>51</v>
      </c>
      <c r="E121" s="43">
        <v>1</v>
      </c>
      <c r="F121" s="44" t="s">
        <v>383</v>
      </c>
      <c r="G121" s="44" t="s">
        <v>1053</v>
      </c>
      <c r="H121" s="44" t="s">
        <v>771</v>
      </c>
      <c r="I121" s="45" t="s">
        <v>378</v>
      </c>
      <c r="J121" s="46">
        <v>45279</v>
      </c>
      <c r="K121" s="46">
        <v>45279</v>
      </c>
      <c r="L121" s="47" t="str">
        <f>IF(Tabla15[[#This Row],[Fecha de Finalización]]&gt;0,"Cerrada","En Proceso")</f>
        <v>Cerrada</v>
      </c>
      <c r="M121" s="43">
        <f t="shared" si="3"/>
        <v>0</v>
      </c>
      <c r="N121" s="44" t="s">
        <v>384</v>
      </c>
      <c r="O121" s="43">
        <f>VLOOKUP(Tabla15[[#This Row],[N° 
Evento]],'Eventos de riesgos'!B:C,2,0)</f>
        <v>2023</v>
      </c>
      <c r="P121" s="43" t="str">
        <f>VLOOKUP(Tabla15[[#This Row],[N° 
Evento]],'Eventos de riesgos'!B:D,3,0)</f>
        <v xml:space="preserve">Dic  </v>
      </c>
      <c r="Q121" s="48">
        <f>VLOOKUP(Tabla15[[#This Row],[N° 
Evento]],'Eventos de riesgos'!B:E,4,0)</f>
        <v>45279.510416666664</v>
      </c>
      <c r="R121" s="48">
        <f>VLOOKUP(Tabla15[[#This Row],[N° 
Evento]],'Eventos de riesgos'!B:F,5,0)</f>
        <v>45318.510416666664</v>
      </c>
      <c r="S121" s="48">
        <f>VLOOKUP(Tabla15[[#This Row],[N° 
Evento]],'Eventos de riesgos'!B:G,6,0)</f>
        <v>45279.511111111111</v>
      </c>
      <c r="T121" s="62" t="str">
        <f>VLOOKUP(Tabla15[[#This Row],[N° 
Evento]],'Eventos de riesgos'!B:H,7,0)</f>
        <v xml:space="preserve">Caso
La Gerencia, la Dirección de SAS y Jefe de operaciones reportan errores en la App de Febor y la Cooperativa Digital, no deja ver algunos productos y muestra avisos de error al momento de efectuar transacciones.
Dir SAS: 'D Fernando dice q esta cuenta la inscribió hoy sobre las 2 pm… y lo dejo sin inconveniente inscribirla, al tratar de hacer la transacción se presento el error del cual les compartí pantallazo (…)'
Jefe operaciones: 'Nosotros inscribimos el tercero para hacer la transferencia pero eso no se refleja en la coop'Jefe operaciones:' Ya informe a wog que al parecer el problema continua en app se soluciono en coop digital. estoy atenta si alguien reporta que el problema continua en coop digital'
Gerencia: informa que el daño puede deberse al consumo de la plataforma BI, según lo conversado con William de Wog.
Acciones
Solicitar la desconexión de BI a Wog. Responsable Dir TI
Monitorear el funcionamiento de la App y Coop Digital. Responsable Dir TI
</v>
      </c>
      <c r="U121" s="49">
        <f>VLOOKUP(Tabla15[[#This Row],[N° 
Evento]],'Eventos de riesgos'!B:I,8,0)</f>
        <v>0</v>
      </c>
      <c r="V121" s="49">
        <f>VLOOKUP(Tabla15[[#This Row],[N° 
Evento]],'Eventos de riesgos'!B:J,9,0)</f>
        <v>0</v>
      </c>
      <c r="W121" s="49">
        <f>VLOOKUP(Tabla15[[#This Row],[N° 
Evento]],'Eventos de riesgos'!B:K,10,0)</f>
        <v>0</v>
      </c>
      <c r="X121" s="44" t="str">
        <f>VLOOKUP(Tabla15[[#This Row],[N° 
Evento]],'Eventos de riesgos'!B:L,11,0)</f>
        <v>6 - Fallas Tecnologicas</v>
      </c>
      <c r="Y121" s="44" t="str">
        <f>VLOOKUP(Tabla15[[#This Row],[N° 
Evento]],'Eventos de riesgos'!B:M,12,0)</f>
        <v>61 - Sistemas</v>
      </c>
      <c r="Z121" s="44" t="str">
        <f>VLOOKUP(Tabla15[[#This Row],[N° 
Evento]],'Eventos de riesgos'!B:N,13,0)</f>
        <v>611 - Pérdida por Problemas en Software</v>
      </c>
      <c r="AA121" s="44" t="str">
        <f>+VLOOKUP(Tabla15[[#This Row],[N° 
Evento]],'Eventos de riesgos'!$B$1:$AA$87,23,0)</f>
        <v>Fallas Cooperativa Digital</v>
      </c>
      <c r="AB121" s="43" t="str">
        <f>VLOOKUP(Tabla15[[#This Row],[N° 
Evento]],'Eventos de riesgos'!B:O,14,0)</f>
        <v>Ninguna</v>
      </c>
      <c r="AC121" s="48">
        <f>VLOOKUP(Tabla15[[#This Row],[N° 
Evento]],'Eventos de riesgos'!B:P,15,0)</f>
        <v>44957.525694444441</v>
      </c>
      <c r="AD121" s="43" t="str">
        <f>VLOOKUP(Tabla15[[#This Row],[N° 
Evento]],'Eventos de riesgos'!B:Q,16,0)</f>
        <v>Varios tipos de crédito</v>
      </c>
      <c r="AE121" s="43" t="str">
        <f>VLOOKUP(Tabla15[[#This Row],[N° 
Evento]],'Eventos de riesgos'!B:R,17,0)</f>
        <v>Aplicación móvil (App Febor) / Cooperativa Digital</v>
      </c>
      <c r="AF121" s="45" t="str">
        <f>VLOOKUP(Tabla15[[#This Row],[N° 
Evento]],'Eventos de riesgos'!B:V,21,0)</f>
        <v>Aprobado</v>
      </c>
      <c r="AG121" s="44" t="str">
        <f>VLOOKUP(Tabla15[[#This Row],[N° 
Evento]],'Eventos de riesgos'!B:W,22,0)</f>
        <v>10/01/2024 12:38:39: Creado</v>
      </c>
    </row>
    <row r="122" spans="3:33" ht="59" customHeight="1" x14ac:dyDescent="0.55000000000000004">
      <c r="C122" s="43" t="str">
        <f>+Tabla15[[#This Row],[N° 
Evento]]&amp;"-"&amp;Tabla15[[#This Row],[N° Tarea]]</f>
        <v>51-2</v>
      </c>
      <c r="D122" s="43">
        <v>51</v>
      </c>
      <c r="E122" s="43">
        <v>2</v>
      </c>
      <c r="F122" s="44" t="s">
        <v>385</v>
      </c>
      <c r="G122" s="44" t="s">
        <v>1053</v>
      </c>
      <c r="H122" s="44" t="s">
        <v>771</v>
      </c>
      <c r="I122" s="45" t="s">
        <v>378</v>
      </c>
      <c r="J122" s="46">
        <v>45279</v>
      </c>
      <c r="K122" s="46">
        <v>45316</v>
      </c>
      <c r="L122" s="47" t="str">
        <f>IF(Tabla15[[#This Row],[Fecha de Finalización]]&gt;0,"Cerrada","En Proceso")</f>
        <v>Cerrada</v>
      </c>
      <c r="M122" s="43">
        <f t="shared" si="3"/>
        <v>37</v>
      </c>
      <c r="N122" s="50" t="s">
        <v>862</v>
      </c>
      <c r="O122" s="43">
        <f>VLOOKUP(Tabla15[[#This Row],[N° 
Evento]],'Eventos de riesgos'!B:C,2,0)</f>
        <v>2023</v>
      </c>
      <c r="P122" s="43" t="str">
        <f>VLOOKUP(Tabla15[[#This Row],[N° 
Evento]],'Eventos de riesgos'!B:D,3,0)</f>
        <v xml:space="preserve">Dic  </v>
      </c>
      <c r="Q122" s="48">
        <f>VLOOKUP(Tabla15[[#This Row],[N° 
Evento]],'Eventos de riesgos'!B:E,4,0)</f>
        <v>45279.510416666664</v>
      </c>
      <c r="R122" s="48">
        <f>VLOOKUP(Tabla15[[#This Row],[N° 
Evento]],'Eventos de riesgos'!B:F,5,0)</f>
        <v>45318.510416666664</v>
      </c>
      <c r="S122" s="48">
        <f>VLOOKUP(Tabla15[[#This Row],[N° 
Evento]],'Eventos de riesgos'!B:G,6,0)</f>
        <v>45279.511111111111</v>
      </c>
      <c r="T122" s="62" t="str">
        <f>VLOOKUP(Tabla15[[#This Row],[N° 
Evento]],'Eventos de riesgos'!B:H,7,0)</f>
        <v xml:space="preserve">Caso
La Gerencia, la Dirección de SAS y Jefe de operaciones reportan errores en la App de Febor y la Cooperativa Digital, no deja ver algunos productos y muestra avisos de error al momento de efectuar transacciones.
Dir SAS: 'D Fernando dice q esta cuenta la inscribió hoy sobre las 2 pm… y lo dejo sin inconveniente inscribirla, al tratar de hacer la transacción se presento el error del cual les compartí pantallazo (…)'
Jefe operaciones: 'Nosotros inscribimos el tercero para hacer la transferencia pero eso no se refleja en la coop'Jefe operaciones:' Ya informe a wog que al parecer el problema continua en app se soluciono en coop digital. estoy atenta si alguien reporta que el problema continua en coop digital'
Gerencia: informa que el daño puede deberse al consumo de la plataforma BI, según lo conversado con William de Wog.
Acciones
Solicitar la desconexión de BI a Wog. Responsable Dir TI
Monitorear el funcionamiento de la App y Coop Digital. Responsable Dir TI
</v>
      </c>
      <c r="U122" s="49">
        <f>VLOOKUP(Tabla15[[#This Row],[N° 
Evento]],'Eventos de riesgos'!B:I,8,0)</f>
        <v>0</v>
      </c>
      <c r="V122" s="49">
        <f>VLOOKUP(Tabla15[[#This Row],[N° 
Evento]],'Eventos de riesgos'!B:J,9,0)</f>
        <v>0</v>
      </c>
      <c r="W122" s="49">
        <f>VLOOKUP(Tabla15[[#This Row],[N° 
Evento]],'Eventos de riesgos'!B:K,10,0)</f>
        <v>0</v>
      </c>
      <c r="X122" s="44" t="str">
        <f>VLOOKUP(Tabla15[[#This Row],[N° 
Evento]],'Eventos de riesgos'!B:L,11,0)</f>
        <v>6 - Fallas Tecnologicas</v>
      </c>
      <c r="Y122" s="44" t="str">
        <f>VLOOKUP(Tabla15[[#This Row],[N° 
Evento]],'Eventos de riesgos'!B:M,12,0)</f>
        <v>61 - Sistemas</v>
      </c>
      <c r="Z122" s="44" t="str">
        <f>VLOOKUP(Tabla15[[#This Row],[N° 
Evento]],'Eventos de riesgos'!B:N,13,0)</f>
        <v>611 - Pérdida por Problemas en Software</v>
      </c>
      <c r="AA122" s="44" t="str">
        <f>+VLOOKUP(Tabla15[[#This Row],[N° 
Evento]],'Eventos de riesgos'!$B$1:$AA$87,23,0)</f>
        <v>Fallas Cooperativa Digital</v>
      </c>
      <c r="AB122" s="43" t="str">
        <f>VLOOKUP(Tabla15[[#This Row],[N° 
Evento]],'Eventos de riesgos'!B:O,14,0)</f>
        <v>Ninguna</v>
      </c>
      <c r="AC122" s="48">
        <f>VLOOKUP(Tabla15[[#This Row],[N° 
Evento]],'Eventos de riesgos'!B:P,15,0)</f>
        <v>44957.525694444441</v>
      </c>
      <c r="AD122" s="43" t="str">
        <f>VLOOKUP(Tabla15[[#This Row],[N° 
Evento]],'Eventos de riesgos'!B:Q,16,0)</f>
        <v>Varios tipos de crédito</v>
      </c>
      <c r="AE122" s="43" t="str">
        <f>VLOOKUP(Tabla15[[#This Row],[N° 
Evento]],'Eventos de riesgos'!B:R,17,0)</f>
        <v>Aplicación móvil (App Febor) / Cooperativa Digital</v>
      </c>
      <c r="AF122" s="45" t="str">
        <f>VLOOKUP(Tabla15[[#This Row],[N° 
Evento]],'Eventos de riesgos'!B:V,21,0)</f>
        <v>Aprobado</v>
      </c>
      <c r="AG122" s="44" t="str">
        <f>VLOOKUP(Tabla15[[#This Row],[N° 
Evento]],'Eventos de riesgos'!B:W,22,0)</f>
        <v>10/01/2024 12:38:39: Creado</v>
      </c>
    </row>
    <row r="123" spans="3:33" ht="59" customHeight="1" x14ac:dyDescent="0.55000000000000004">
      <c r="C123" s="43" t="str">
        <f>+Tabla15[[#This Row],[N° 
Evento]]&amp;"-"&amp;Tabla15[[#This Row],[N° Tarea]]</f>
        <v>52-1</v>
      </c>
      <c r="D123" s="43">
        <v>52</v>
      </c>
      <c r="E123" s="43">
        <v>1</v>
      </c>
      <c r="F123" s="44" t="s">
        <v>386</v>
      </c>
      <c r="G123" s="44" t="s">
        <v>1053</v>
      </c>
      <c r="H123" s="44" t="s">
        <v>215</v>
      </c>
      <c r="I123" s="45" t="s">
        <v>91</v>
      </c>
      <c r="J123" s="46">
        <v>45282</v>
      </c>
      <c r="K123" s="46">
        <v>45302</v>
      </c>
      <c r="L123" s="47" t="str">
        <f>IF(Tabla15[[#This Row],[Fecha de Finalización]]&gt;0,"Cerrada","En Proceso")</f>
        <v>Cerrada</v>
      </c>
      <c r="M123" s="43">
        <f t="shared" si="3"/>
        <v>20</v>
      </c>
      <c r="N123" s="44" t="s">
        <v>387</v>
      </c>
      <c r="O123" s="43">
        <f>VLOOKUP(Tabla15[[#This Row],[N° 
Evento]],'Eventos de riesgos'!B:C,2,0)</f>
        <v>2023</v>
      </c>
      <c r="P123" s="43" t="str">
        <f>VLOOKUP(Tabla15[[#This Row],[N° 
Evento]],'Eventos de riesgos'!B:D,3,0)</f>
        <v xml:space="preserve">Dic  </v>
      </c>
      <c r="Q123" s="48">
        <f>VLOOKUP(Tabla15[[#This Row],[N° 
Evento]],'Eventos de riesgos'!B:E,4,0)</f>
        <v>45282.582638888889</v>
      </c>
      <c r="R123" s="48">
        <f>VLOOKUP(Tabla15[[#This Row],[N° 
Evento]],'Eventos de riesgos'!B:F,5,0)</f>
        <v>45286.582638888889</v>
      </c>
      <c r="S123" s="48">
        <f>VLOOKUP(Tabla15[[#This Row],[N° 
Evento]],'Eventos de riesgos'!B:G,6,0)</f>
        <v>45282.582638888889</v>
      </c>
      <c r="T123" s="62" t="str">
        <f>VLOOKUP(Tabla15[[#This Row],[N° 
Evento]],'Eventos de riesgos'!B:H,7,0)</f>
        <v xml:space="preserve">Caso
El Consejo Walter Idárraga solicitó aclaración a la Gerencia sobre la admisión del señor Alfonso Serrano Parra indicando lo siguiente:
'Juan Pablo en relación con las afiliaciones a Febor de esta semana aparece la solicitud del pensionado Alfonso Serrano Parra y en su formato de vinculación indica asociado nuevo, hasta donde recuerdo este señor es uno de los deudores morosos a los que no se le pudo cobrar nada'.
Luego de investigar la situación particular, se concluye a que obedece a la omisión de un control desde el área de operaciones por parte del analista que debe verificar la totalidad de requisitos para la admisión de asociados.
Jefe de operaciones: 'Buenos días si señor, en la verificación que hizo Andrea la realizó con la información de Orfeo y no le salía nada, pero al validar en wog, el sábado se dio cuenta que si era reingreso. Tiene fecha de retiro 2018-03-28 y el motivo es expulsado.
'Jefe Jurídico: 'Alfonso Serrano fue excluido mediante Resolución 053 del 19 de enero del 2018'
Acciones
Verificar y corregir (si aplica) el procedimiento de afiliaciones. Responsable Jefe de Operaciones 
Auditar y verificar que no se hayan filtrado antes más asociados con alguna exclusión. En caso de existir, se debe iniciar proceso de retiro. Responsable Jefe Jurídico y Jefe de Control Interno
</v>
      </c>
      <c r="U123" s="49">
        <f>VLOOKUP(Tabla15[[#This Row],[N° 
Evento]],'Eventos de riesgos'!B:I,8,0)</f>
        <v>0</v>
      </c>
      <c r="V123" s="49">
        <f>VLOOKUP(Tabla15[[#This Row],[N° 
Evento]],'Eventos de riesgos'!B:J,9,0)</f>
        <v>0</v>
      </c>
      <c r="W123" s="49">
        <f>VLOOKUP(Tabla15[[#This Row],[N° 
Evento]],'Eventos de riesgos'!B:K,10,0)</f>
        <v>0</v>
      </c>
      <c r="X123" s="44" t="str">
        <f>VLOOKUP(Tabla15[[#This Row],[N° 
Evento]],'Eventos de riesgos'!B:L,11,0)</f>
        <v>7 - Ejecución y Administración de Procesos</v>
      </c>
      <c r="Y123" s="44" t="str">
        <f>VLOOKUP(Tabla15[[#This Row],[N° 
Evento]],'Eventos de riesgos'!B:M,12,0)</f>
        <v>73 - Aceptación de Clientes y Documentación en Contratación</v>
      </c>
      <c r="Z123" s="44" t="str">
        <f>VLOOKUP(Tabla15[[#This Row],[N° 
Evento]],'Eventos de riesgos'!B:N,13,0)</f>
        <v>731 - Inexistencia de Autorizaciones, Rechazos de Clientes</v>
      </c>
      <c r="AA123" s="44" t="str">
        <f>+VLOOKUP(Tabla15[[#This Row],[N° 
Evento]],'Eventos de riesgos'!$B$1:$AA$87,23,0)</f>
        <v>Reingreso no permitido por Estatuto</v>
      </c>
      <c r="AB123" s="43" t="str">
        <f>VLOOKUP(Tabla15[[#This Row],[N° 
Evento]],'Eventos de riesgos'!B:O,14,0)</f>
        <v>Ninguna</v>
      </c>
      <c r="AC123" s="48">
        <f>VLOOKUP(Tabla15[[#This Row],[N° 
Evento]],'Eventos de riesgos'!B:P,15,0)</f>
        <v>45291.582638888889</v>
      </c>
      <c r="AD123" s="43" t="str">
        <f>VLOOKUP(Tabla15[[#This Row],[N° 
Evento]],'Eventos de riesgos'!B:Q,16,0)</f>
        <v>Ninguno</v>
      </c>
      <c r="AE123" s="43" t="str">
        <f>VLOOKUP(Tabla15[[#This Row],[N° 
Evento]],'Eventos de riesgos'!B:R,17,0)</f>
        <v>Ninguno</v>
      </c>
      <c r="AF123" s="45" t="str">
        <f>VLOOKUP(Tabla15[[#This Row],[N° 
Evento]],'Eventos de riesgos'!B:V,21,0)</f>
        <v>Aprobado</v>
      </c>
      <c r="AG123" s="44" t="str">
        <f>VLOOKUP(Tabla15[[#This Row],[N° 
Evento]],'Eventos de riesgos'!B:W,22,0)</f>
        <v>10/01/2024 14:03:04: Creado</v>
      </c>
    </row>
    <row r="124" spans="3:33" ht="59" customHeight="1" x14ac:dyDescent="0.55000000000000004">
      <c r="C124" s="43" t="str">
        <f>+Tabla15[[#This Row],[N° 
Evento]]&amp;"-"&amp;Tabla15[[#This Row],[N° Tarea]]</f>
        <v>52-2</v>
      </c>
      <c r="D124" s="43">
        <v>52</v>
      </c>
      <c r="E124" s="43">
        <v>2</v>
      </c>
      <c r="F124" s="44" t="s">
        <v>388</v>
      </c>
      <c r="G124" s="44" t="s">
        <v>1052</v>
      </c>
      <c r="H124" s="44" t="s">
        <v>233</v>
      </c>
      <c r="I124" s="45" t="s">
        <v>240</v>
      </c>
      <c r="J124" s="46">
        <v>45287</v>
      </c>
      <c r="K124" s="46">
        <v>45287</v>
      </c>
      <c r="L124" s="47" t="str">
        <f>IF(Tabla15[[#This Row],[Fecha de Finalización]]&gt;0,"Cerrada","En Proceso")</f>
        <v>Cerrada</v>
      </c>
      <c r="M124" s="43">
        <f t="shared" si="3"/>
        <v>0</v>
      </c>
      <c r="N124" s="44" t="s">
        <v>863</v>
      </c>
      <c r="O124" s="43">
        <f>VLOOKUP(Tabla15[[#This Row],[N° 
Evento]],'Eventos de riesgos'!B:C,2,0)</f>
        <v>2023</v>
      </c>
      <c r="P124" s="43" t="str">
        <f>VLOOKUP(Tabla15[[#This Row],[N° 
Evento]],'Eventos de riesgos'!B:D,3,0)</f>
        <v xml:space="preserve">Dic  </v>
      </c>
      <c r="Q124" s="48">
        <f>VLOOKUP(Tabla15[[#This Row],[N° 
Evento]],'Eventos de riesgos'!B:E,4,0)</f>
        <v>45282.582638888889</v>
      </c>
      <c r="R124" s="48">
        <f>VLOOKUP(Tabla15[[#This Row],[N° 
Evento]],'Eventos de riesgos'!B:F,5,0)</f>
        <v>45286.582638888889</v>
      </c>
      <c r="S124" s="48">
        <f>VLOOKUP(Tabla15[[#This Row],[N° 
Evento]],'Eventos de riesgos'!B:G,6,0)</f>
        <v>45282.582638888889</v>
      </c>
      <c r="T124" s="62" t="str">
        <f>VLOOKUP(Tabla15[[#This Row],[N° 
Evento]],'Eventos de riesgos'!B:H,7,0)</f>
        <v xml:space="preserve">Caso
El Consejo Walter Idárraga solicitó aclaración a la Gerencia sobre la admisión del señor Alfonso Serrano Parra indicando lo siguiente:
'Juan Pablo en relación con las afiliaciones a Febor de esta semana aparece la solicitud del pensionado Alfonso Serrano Parra y en su formato de vinculación indica asociado nuevo, hasta donde recuerdo este señor es uno de los deudores morosos a los que no se le pudo cobrar nada'.
Luego de investigar la situación particular, se concluye a que obedece a la omisión de un control desde el área de operaciones por parte del analista que debe verificar la totalidad de requisitos para la admisión de asociados.
Jefe de operaciones: 'Buenos días si señor, en la verificación que hizo Andrea la realizó con la información de Orfeo y no le salía nada, pero al validar en wog, el sábado se dio cuenta que si era reingreso. Tiene fecha de retiro 2018-03-28 y el motivo es expulsado.
'Jefe Jurídico: 'Alfonso Serrano fue excluido mediante Resolución 053 del 19 de enero del 2018'
Acciones
Verificar y corregir (si aplica) el procedimiento de afiliaciones. Responsable Jefe de Operaciones 
Auditar y verificar que no se hayan filtrado antes más asociados con alguna exclusión. En caso de existir, se debe iniciar proceso de retiro. Responsable Jefe Jurídico y Jefe de Control Interno
</v>
      </c>
      <c r="U124" s="49">
        <f>VLOOKUP(Tabla15[[#This Row],[N° 
Evento]],'Eventos de riesgos'!B:I,8,0)</f>
        <v>0</v>
      </c>
      <c r="V124" s="49">
        <f>VLOOKUP(Tabla15[[#This Row],[N° 
Evento]],'Eventos de riesgos'!B:J,9,0)</f>
        <v>0</v>
      </c>
      <c r="W124" s="49">
        <f>VLOOKUP(Tabla15[[#This Row],[N° 
Evento]],'Eventos de riesgos'!B:K,10,0)</f>
        <v>0</v>
      </c>
      <c r="X124" s="44" t="str">
        <f>VLOOKUP(Tabla15[[#This Row],[N° 
Evento]],'Eventos de riesgos'!B:L,11,0)</f>
        <v>7 - Ejecución y Administración de Procesos</v>
      </c>
      <c r="Y124" s="44" t="str">
        <f>VLOOKUP(Tabla15[[#This Row],[N° 
Evento]],'Eventos de riesgos'!B:M,12,0)</f>
        <v>73 - Aceptación de Clientes y Documentación en Contratación</v>
      </c>
      <c r="Z124" s="44" t="str">
        <f>VLOOKUP(Tabla15[[#This Row],[N° 
Evento]],'Eventos de riesgos'!B:N,13,0)</f>
        <v>731 - Inexistencia de Autorizaciones, Rechazos de Clientes</v>
      </c>
      <c r="AA124" s="44" t="str">
        <f>+VLOOKUP(Tabla15[[#This Row],[N° 
Evento]],'Eventos de riesgos'!$B$1:$AA$87,23,0)</f>
        <v>Reingreso no permitido por Estatuto</v>
      </c>
      <c r="AB124" s="43" t="str">
        <f>VLOOKUP(Tabla15[[#This Row],[N° 
Evento]],'Eventos de riesgos'!B:O,14,0)</f>
        <v>Ninguna</v>
      </c>
      <c r="AC124" s="48">
        <f>VLOOKUP(Tabla15[[#This Row],[N° 
Evento]],'Eventos de riesgos'!B:P,15,0)</f>
        <v>45291.582638888889</v>
      </c>
      <c r="AD124" s="43" t="str">
        <f>VLOOKUP(Tabla15[[#This Row],[N° 
Evento]],'Eventos de riesgos'!B:Q,16,0)</f>
        <v>Ninguno</v>
      </c>
      <c r="AE124" s="43" t="str">
        <f>VLOOKUP(Tabla15[[#This Row],[N° 
Evento]],'Eventos de riesgos'!B:R,17,0)</f>
        <v>Ninguno</v>
      </c>
      <c r="AF124" s="45" t="str">
        <f>VLOOKUP(Tabla15[[#This Row],[N° 
Evento]],'Eventos de riesgos'!B:V,21,0)</f>
        <v>Aprobado</v>
      </c>
      <c r="AG124" s="44" t="str">
        <f>VLOOKUP(Tabla15[[#This Row],[N° 
Evento]],'Eventos de riesgos'!B:W,22,0)</f>
        <v>10/01/2024 14:03:04: Creado</v>
      </c>
    </row>
    <row r="125" spans="3:33" ht="59" customHeight="1" x14ac:dyDescent="0.55000000000000004">
      <c r="C125" s="43" t="str">
        <f>+Tabla15[[#This Row],[N° 
Evento]]&amp;"-"&amp;Tabla15[[#This Row],[N° Tarea]]</f>
        <v>53-1</v>
      </c>
      <c r="D125" s="43">
        <v>53</v>
      </c>
      <c r="E125" s="43">
        <v>1</v>
      </c>
      <c r="F125" s="51" t="s">
        <v>419</v>
      </c>
      <c r="G125" s="44" t="s">
        <v>1052</v>
      </c>
      <c r="H125" s="44" t="s">
        <v>224</v>
      </c>
      <c r="I125" s="45" t="s">
        <v>420</v>
      </c>
      <c r="J125" s="46">
        <v>45331</v>
      </c>
      <c r="K125" s="46">
        <v>44966</v>
      </c>
      <c r="L125" s="47" t="str">
        <f>IF(Tabla15[[#This Row],[Fecha de Finalización]]&gt;0,"Cerrada","En Proceso")</f>
        <v>Cerrada</v>
      </c>
      <c r="M125" s="52">
        <f t="shared" si="3"/>
        <v>-365</v>
      </c>
      <c r="N125" s="44" t="s">
        <v>421</v>
      </c>
      <c r="O125" s="43">
        <f>VLOOKUP(Tabla15[[#This Row],[N° 
Evento]],'Eventos de riesgos'!B:C,2,0)</f>
        <v>2024</v>
      </c>
      <c r="P125" s="43" t="str">
        <f>VLOOKUP(Tabla15[[#This Row],[N° 
Evento]],'Eventos de riesgos'!B:D,3,0)</f>
        <v xml:space="preserve">Feb </v>
      </c>
      <c r="Q125" s="48">
        <f>VLOOKUP(Tabla15[[#This Row],[N° 
Evento]],'Eventos de riesgos'!B:E,4,0)</f>
        <v>45331.989583333336</v>
      </c>
      <c r="R125" s="48">
        <f>VLOOKUP(Tabla15[[#This Row],[N° 
Evento]],'Eventos de riesgos'!B:F,5,0)</f>
        <v>45331.989583333336</v>
      </c>
      <c r="S125" s="48">
        <f>VLOOKUP(Tabla15[[#This Row],[N° 
Evento]],'Eventos de riesgos'!B:G,6,0)</f>
        <v>45331.989583333336</v>
      </c>
      <c r="T125" s="62" t="str">
        <f>VLOOKUP(Tabla15[[#This Row],[N° 
Evento]],'Eventos de riesgos'!B:H,7,0)</f>
        <v xml:space="preserve">CasoLa imagen de la Cooperativa se vio afectada al distribuir los calendarios del 2024, los cuales presentaban defectos de calidad provenientes del proveedor, tanto para los calendarios de escritorio como los de pared. El defecto fue detectado por integrantes del Consejo, quienes alertaron a la Gerencia, es decir, no fueron previamente identificados por el área responsable.Acciones
Comunicar al proveedor inmediatamente sobre el defecto del producto entregado.El proveedor se compromete a reemplazar los calendarios defectuosos.La muestra de verificación de calidad del producto fue mínima, por lo cual se requiere que en adelante, todos los productos recibidos tengan un proceso de verificación de calidad con una muestra acorde a la cantidad comprada.
</v>
      </c>
      <c r="U125" s="49">
        <f>VLOOKUP(Tabla15[[#This Row],[N° 
Evento]],'Eventos de riesgos'!B:I,8,0)</f>
        <v>0</v>
      </c>
      <c r="V125" s="49">
        <f>VLOOKUP(Tabla15[[#This Row],[N° 
Evento]],'Eventos de riesgos'!B:J,9,0)</f>
        <v>0</v>
      </c>
      <c r="W125" s="49">
        <f>VLOOKUP(Tabla15[[#This Row],[N° 
Evento]],'Eventos de riesgos'!B:K,10,0)</f>
        <v>0</v>
      </c>
      <c r="X125" s="44" t="str">
        <f>VLOOKUP(Tabla15[[#This Row],[N° 
Evento]],'Eventos de riesgos'!B:L,11,0)</f>
        <v>7 - Ejecución y Administración de Procesos</v>
      </c>
      <c r="Y125" s="44" t="str">
        <f>VLOOKUP(Tabla15[[#This Row],[N° 
Evento]],'Eventos de riesgos'!B:M,12,0)</f>
        <v>76 - Proveedores</v>
      </c>
      <c r="Z125" s="44" t="str">
        <f>VLOOKUP(Tabla15[[#This Row],[N° 
Evento]],'Eventos de riesgos'!B:N,13,0)</f>
        <v>763 - Incumplimiento de las Actividades Contratadas</v>
      </c>
      <c r="AA125" s="44" t="str">
        <f>+VLOOKUP(Tabla15[[#This Row],[N° 
Evento]],'Eventos de riesgos'!$B$1:$AA$87,23,0)</f>
        <v>Compra de productos defectuosos</v>
      </c>
      <c r="AB125" s="43" t="str">
        <f>VLOOKUP(Tabla15[[#This Row],[N° 
Evento]],'Eventos de riesgos'!B:O,14,0)</f>
        <v>Ninguna</v>
      </c>
      <c r="AC125" s="48">
        <f>VLOOKUP(Tabla15[[#This Row],[N° 
Evento]],'Eventos de riesgos'!B:P,15,0)</f>
        <v>45351.002083333333</v>
      </c>
      <c r="AD125" s="43" t="str">
        <f>VLOOKUP(Tabla15[[#This Row],[N° 
Evento]],'Eventos de riesgos'!B:Q,16,0)</f>
        <v>Ninguno</v>
      </c>
      <c r="AE125" s="43" t="str">
        <f>VLOOKUP(Tabla15[[#This Row],[N° 
Evento]],'Eventos de riesgos'!B:R,17,0)</f>
        <v>Ninguno</v>
      </c>
      <c r="AF125" s="45" t="str">
        <f>VLOOKUP(Tabla15[[#This Row],[N° 
Evento]],'Eventos de riesgos'!B:V,21,0)</f>
        <v>Aprobado</v>
      </c>
      <c r="AG125" s="44" t="str">
        <f>VLOOKUP(Tabla15[[#This Row],[N° 
Evento]],'Eventos de riesgos'!B:W,22,0)</f>
        <v>14/02/2024 00:04:41: Generada</v>
      </c>
    </row>
    <row r="126" spans="3:33" ht="59" customHeight="1" x14ac:dyDescent="0.55000000000000004">
      <c r="C126" s="43" t="str">
        <f>+Tabla15[[#This Row],[N° 
Evento]]&amp;"-"&amp;Tabla15[[#This Row],[N° Tarea]]</f>
        <v>53-2</v>
      </c>
      <c r="D126" s="43">
        <v>53</v>
      </c>
      <c r="E126" s="43">
        <v>2</v>
      </c>
      <c r="F126" s="51" t="s">
        <v>494</v>
      </c>
      <c r="G126" s="44" t="s">
        <v>1053</v>
      </c>
      <c r="H126" s="53" t="s">
        <v>424</v>
      </c>
      <c r="I126" s="44" t="s">
        <v>425</v>
      </c>
      <c r="J126" s="46">
        <v>45331</v>
      </c>
      <c r="K126" s="46">
        <v>45470</v>
      </c>
      <c r="L126" s="47" t="str">
        <f>IF(Tabla15[[#This Row],[Fecha de Finalización]]&gt;0,"Cerrada","En Proceso")</f>
        <v>Cerrada</v>
      </c>
      <c r="M126" s="52">
        <f t="shared" si="3"/>
        <v>139</v>
      </c>
      <c r="N126" s="44" t="s">
        <v>864</v>
      </c>
      <c r="O126" s="43">
        <f>VLOOKUP(Tabla15[[#This Row],[N° 
Evento]],'Eventos de riesgos'!B:C,2,0)</f>
        <v>2024</v>
      </c>
      <c r="P126" s="43" t="str">
        <f>VLOOKUP(Tabla15[[#This Row],[N° 
Evento]],'Eventos de riesgos'!B:D,3,0)</f>
        <v xml:space="preserve">Feb </v>
      </c>
      <c r="Q126" s="48">
        <f>VLOOKUP(Tabla15[[#This Row],[N° 
Evento]],'Eventos de riesgos'!B:E,4,0)</f>
        <v>45331.989583333336</v>
      </c>
      <c r="R126" s="48">
        <f>VLOOKUP(Tabla15[[#This Row],[N° 
Evento]],'Eventos de riesgos'!B:F,5,0)</f>
        <v>45331.989583333336</v>
      </c>
      <c r="S126" s="48">
        <f>VLOOKUP(Tabla15[[#This Row],[N° 
Evento]],'Eventos de riesgos'!B:G,6,0)</f>
        <v>45331.989583333336</v>
      </c>
      <c r="T126" s="62" t="str">
        <f>VLOOKUP(Tabla15[[#This Row],[N° 
Evento]],'Eventos de riesgos'!B:H,7,0)</f>
        <v xml:space="preserve">CasoLa imagen de la Cooperativa se vio afectada al distribuir los calendarios del 2024, los cuales presentaban defectos de calidad provenientes del proveedor, tanto para los calendarios de escritorio como los de pared. El defecto fue detectado por integrantes del Consejo, quienes alertaron a la Gerencia, es decir, no fueron previamente identificados por el área responsable.Acciones
Comunicar al proveedor inmediatamente sobre el defecto del producto entregado.El proveedor se compromete a reemplazar los calendarios defectuosos.La muestra de verificación de calidad del producto fue mínima, por lo cual se requiere que en adelante, todos los productos recibidos tengan un proceso de verificación de calidad con una muestra acorde a la cantidad comprada.
</v>
      </c>
      <c r="U126" s="49">
        <f>VLOOKUP(Tabla15[[#This Row],[N° 
Evento]],'Eventos de riesgos'!B:I,8,0)</f>
        <v>0</v>
      </c>
      <c r="V126" s="49">
        <f>VLOOKUP(Tabla15[[#This Row],[N° 
Evento]],'Eventos de riesgos'!B:J,9,0)</f>
        <v>0</v>
      </c>
      <c r="W126" s="49">
        <f>VLOOKUP(Tabla15[[#This Row],[N° 
Evento]],'Eventos de riesgos'!B:K,10,0)</f>
        <v>0</v>
      </c>
      <c r="X126" s="44" t="str">
        <f>VLOOKUP(Tabla15[[#This Row],[N° 
Evento]],'Eventos de riesgos'!B:L,11,0)</f>
        <v>7 - Ejecución y Administración de Procesos</v>
      </c>
      <c r="Y126" s="44" t="str">
        <f>VLOOKUP(Tabla15[[#This Row],[N° 
Evento]],'Eventos de riesgos'!B:M,12,0)</f>
        <v>76 - Proveedores</v>
      </c>
      <c r="Z126" s="44" t="str">
        <f>VLOOKUP(Tabla15[[#This Row],[N° 
Evento]],'Eventos de riesgos'!B:N,13,0)</f>
        <v>763 - Incumplimiento de las Actividades Contratadas</v>
      </c>
      <c r="AA126" s="44" t="str">
        <f>+VLOOKUP(Tabla15[[#This Row],[N° 
Evento]],'Eventos de riesgos'!$B$1:$AA$87,23,0)</f>
        <v>Compra de productos defectuosos</v>
      </c>
      <c r="AB126" s="43" t="str">
        <f>VLOOKUP(Tabla15[[#This Row],[N° 
Evento]],'Eventos de riesgos'!B:O,14,0)</f>
        <v>Ninguna</v>
      </c>
      <c r="AC126" s="48">
        <f>VLOOKUP(Tabla15[[#This Row],[N° 
Evento]],'Eventos de riesgos'!B:P,15,0)</f>
        <v>45351.002083333333</v>
      </c>
      <c r="AD126" s="43" t="str">
        <f>VLOOKUP(Tabla15[[#This Row],[N° 
Evento]],'Eventos de riesgos'!B:Q,16,0)</f>
        <v>Ninguno</v>
      </c>
      <c r="AE126" s="43" t="str">
        <f>VLOOKUP(Tabla15[[#This Row],[N° 
Evento]],'Eventos de riesgos'!B:R,17,0)</f>
        <v>Ninguno</v>
      </c>
      <c r="AF126" s="45" t="str">
        <f>VLOOKUP(Tabla15[[#This Row],[N° 
Evento]],'Eventos de riesgos'!B:V,21,0)</f>
        <v>Aprobado</v>
      </c>
      <c r="AG126" s="44" t="str">
        <f>VLOOKUP(Tabla15[[#This Row],[N° 
Evento]],'Eventos de riesgos'!B:W,22,0)</f>
        <v>14/02/2024 00:04:41: Generada</v>
      </c>
    </row>
    <row r="127" spans="3:33" ht="59" customHeight="1" x14ac:dyDescent="0.55000000000000004">
      <c r="C127" s="54" t="str">
        <f>+Tabla15[[#This Row],[N° 
Evento]]&amp;"-"&amp;Tabla15[[#This Row],[N° Tarea]]</f>
        <v>54-1</v>
      </c>
      <c r="D127" s="54">
        <v>54</v>
      </c>
      <c r="E127" s="54">
        <v>1</v>
      </c>
      <c r="F127" s="55" t="s">
        <v>433</v>
      </c>
      <c r="G127" s="44" t="s">
        <v>1052</v>
      </c>
      <c r="H127" s="53" t="s">
        <v>424</v>
      </c>
      <c r="I127" s="44" t="s">
        <v>425</v>
      </c>
      <c r="J127" s="57">
        <v>45348</v>
      </c>
      <c r="K127" s="57">
        <v>45348</v>
      </c>
      <c r="L127" s="47" t="str">
        <f>IF(Tabla15[[#This Row],[Fecha de Finalización]]&gt;0,"Cerrada","En Proceso")</f>
        <v>Cerrada</v>
      </c>
      <c r="M127" s="58">
        <f t="shared" si="3"/>
        <v>0</v>
      </c>
      <c r="N127" s="59"/>
      <c r="O127" s="54">
        <f>VLOOKUP(Tabla15[[#This Row],[N° 
Evento]],'Eventos de riesgos'!B:C,2,0)</f>
        <v>2024</v>
      </c>
      <c r="P127" s="54" t="str">
        <f>VLOOKUP(Tabla15[[#This Row],[N° 
Evento]],'Eventos de riesgos'!B:D,3,0)</f>
        <v xml:space="preserve">Feb </v>
      </c>
      <c r="Q127" s="60">
        <f>VLOOKUP(Tabla15[[#This Row],[N° 
Evento]],'Eventos de riesgos'!B:E,4,0)</f>
        <v>45323.651388888888</v>
      </c>
      <c r="R127" s="60">
        <f>VLOOKUP(Tabla15[[#This Row],[N° 
Evento]],'Eventos de riesgos'!B:F,5,0)</f>
        <v>45360.65347222222</v>
      </c>
      <c r="S127" s="60">
        <f>VLOOKUP(Tabla15[[#This Row],[N° 
Evento]],'Eventos de riesgos'!B:G,6,0)</f>
        <v>45334.652083333334</v>
      </c>
      <c r="T127" s="63" t="str">
        <f>VLOOKUP(Tabla15[[#This Row],[N° 
Evento]],'Eventos de riesgos'!B:H,7,0)</f>
        <v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v>
      </c>
      <c r="U127" s="61">
        <f>VLOOKUP(Tabla15[[#This Row],[N° 
Evento]],'Eventos de riesgos'!B:I,8,0)</f>
        <v>0</v>
      </c>
      <c r="V127" s="61">
        <f>VLOOKUP(Tabla15[[#This Row],[N° 
Evento]],'Eventos de riesgos'!B:J,9,0)</f>
        <v>0</v>
      </c>
      <c r="W127" s="61">
        <f>VLOOKUP(Tabla15[[#This Row],[N° 
Evento]],'Eventos de riesgos'!B:K,10,0)</f>
        <v>0</v>
      </c>
      <c r="X127" s="59" t="str">
        <f>VLOOKUP(Tabla15[[#This Row],[N° 
Evento]],'Eventos de riesgos'!B:L,11,0)</f>
        <v>4 - Asociados o Clientes</v>
      </c>
      <c r="Y127" s="59" t="str">
        <f>VLOOKUP(Tabla15[[#This Row],[N° 
Evento]],'Eventos de riesgos'!B:M,12,0)</f>
        <v>42 - Prácticas Empresariales o de Mercadeo Improcedentes</v>
      </c>
      <c r="Z127" s="59" t="str">
        <f>VLOOKUP(Tabla15[[#This Row],[N° 
Evento]],'Eventos de riesgos'!B:N,13,0)</f>
        <v>425 - Actividades No Autorizadas</v>
      </c>
      <c r="AA127" s="59" t="str">
        <f>+VLOOKUP(Tabla15[[#This Row],[N° 
Evento]],'Eventos de riesgos'!$B$1:$AA$87,23,0)</f>
        <v>Error tasa CDAT</v>
      </c>
      <c r="AB127" s="54" t="str">
        <f>VLOOKUP(Tabla15[[#This Row],[N° 
Evento]],'Eventos de riesgos'!B:O,14,0)</f>
        <v>Ninguna</v>
      </c>
      <c r="AC127" s="60">
        <f>VLOOKUP(Tabla15[[#This Row],[N° 
Evento]],'Eventos de riesgos'!B:P,15,0)</f>
        <v>45351.693055555559</v>
      </c>
      <c r="AD127" s="54" t="str">
        <f>VLOOKUP(Tabla15[[#This Row],[N° 
Evento]],'Eventos de riesgos'!B:Q,16,0)</f>
        <v>CDAT</v>
      </c>
      <c r="AE127" s="54" t="str">
        <f>VLOOKUP(Tabla15[[#This Row],[N° 
Evento]],'Eventos de riesgos'!B:R,17,0)</f>
        <v>Ninguno</v>
      </c>
      <c r="AF127" s="56" t="str">
        <f>VLOOKUP(Tabla15[[#This Row],[N° 
Evento]],'Eventos de riesgos'!B:V,21,0)</f>
        <v>Aprobado</v>
      </c>
      <c r="AG127" s="59" t="str">
        <f>VLOOKUP(Tabla15[[#This Row],[N° 
Evento]],'Eventos de riesgos'!B:W,22,0)</f>
        <v>06/03/2024 16:39:47: Creado
06/03/2024 16:42:23: .</v>
      </c>
    </row>
    <row r="128" spans="3:33" ht="59" customHeight="1" x14ac:dyDescent="0.55000000000000004">
      <c r="C128" s="54" t="str">
        <f>+Tabla15[[#This Row],[N° 
Evento]]&amp;"-"&amp;Tabla15[[#This Row],[N° Tarea]]</f>
        <v>54-2</v>
      </c>
      <c r="D128" s="54">
        <v>54</v>
      </c>
      <c r="E128" s="54">
        <v>2</v>
      </c>
      <c r="F128" s="55" t="s">
        <v>865</v>
      </c>
      <c r="G128" s="44" t="s">
        <v>1053</v>
      </c>
      <c r="H128" s="59" t="s">
        <v>367</v>
      </c>
      <c r="I128" s="56" t="s">
        <v>432</v>
      </c>
      <c r="J128" s="57">
        <v>45348</v>
      </c>
      <c r="K128" s="57">
        <v>45348</v>
      </c>
      <c r="L128" s="47" t="str">
        <f>IF(Tabla15[[#This Row],[Fecha de Finalización]]&gt;0,"Cerrada","En Proceso")</f>
        <v>Cerrada</v>
      </c>
      <c r="M128" s="58">
        <f t="shared" si="3"/>
        <v>0</v>
      </c>
      <c r="N128" s="59"/>
      <c r="O128" s="54">
        <f>VLOOKUP(Tabla15[[#This Row],[N° 
Evento]],'Eventos de riesgos'!B:C,2,0)</f>
        <v>2024</v>
      </c>
      <c r="P128" s="54" t="str">
        <f>VLOOKUP(Tabla15[[#This Row],[N° 
Evento]],'Eventos de riesgos'!B:D,3,0)</f>
        <v xml:space="preserve">Feb </v>
      </c>
      <c r="Q128" s="60">
        <f>VLOOKUP(Tabla15[[#This Row],[N° 
Evento]],'Eventos de riesgos'!B:E,4,0)</f>
        <v>45323.651388888888</v>
      </c>
      <c r="R128" s="60">
        <f>VLOOKUP(Tabla15[[#This Row],[N° 
Evento]],'Eventos de riesgos'!B:F,5,0)</f>
        <v>45360.65347222222</v>
      </c>
      <c r="S128" s="60">
        <f>VLOOKUP(Tabla15[[#This Row],[N° 
Evento]],'Eventos de riesgos'!B:G,6,0)</f>
        <v>45334.652083333334</v>
      </c>
      <c r="T128" s="63" t="str">
        <f>VLOOKUP(Tabla15[[#This Row],[N° 
Evento]],'Eventos de riesgos'!B:H,7,0)</f>
        <v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v>
      </c>
      <c r="U128" s="61">
        <f>VLOOKUP(Tabla15[[#This Row],[N° 
Evento]],'Eventos de riesgos'!B:I,8,0)</f>
        <v>0</v>
      </c>
      <c r="V128" s="61">
        <f>VLOOKUP(Tabla15[[#This Row],[N° 
Evento]],'Eventos de riesgos'!B:J,9,0)</f>
        <v>0</v>
      </c>
      <c r="W128" s="61">
        <f>VLOOKUP(Tabla15[[#This Row],[N° 
Evento]],'Eventos de riesgos'!B:K,10,0)</f>
        <v>0</v>
      </c>
      <c r="X128" s="59" t="str">
        <f>VLOOKUP(Tabla15[[#This Row],[N° 
Evento]],'Eventos de riesgos'!B:L,11,0)</f>
        <v>4 - Asociados o Clientes</v>
      </c>
      <c r="Y128" s="59" t="str">
        <f>VLOOKUP(Tabla15[[#This Row],[N° 
Evento]],'Eventos de riesgos'!B:M,12,0)</f>
        <v>42 - Prácticas Empresariales o de Mercadeo Improcedentes</v>
      </c>
      <c r="Z128" s="59" t="str">
        <f>VLOOKUP(Tabla15[[#This Row],[N° 
Evento]],'Eventos de riesgos'!B:N,13,0)</f>
        <v>425 - Actividades No Autorizadas</v>
      </c>
      <c r="AA128" s="59" t="str">
        <f>+VLOOKUP(Tabla15[[#This Row],[N° 
Evento]],'Eventos de riesgos'!$B$1:$AA$87,23,0)</f>
        <v>Error tasa CDAT</v>
      </c>
      <c r="AB128" s="54" t="str">
        <f>VLOOKUP(Tabla15[[#This Row],[N° 
Evento]],'Eventos de riesgos'!B:O,14,0)</f>
        <v>Ninguna</v>
      </c>
      <c r="AC128" s="60">
        <f>VLOOKUP(Tabla15[[#This Row],[N° 
Evento]],'Eventos de riesgos'!B:P,15,0)</f>
        <v>45351.693055555559</v>
      </c>
      <c r="AD128" s="54" t="str">
        <f>VLOOKUP(Tabla15[[#This Row],[N° 
Evento]],'Eventos de riesgos'!B:Q,16,0)</f>
        <v>CDAT</v>
      </c>
      <c r="AE128" s="54" t="str">
        <f>VLOOKUP(Tabla15[[#This Row],[N° 
Evento]],'Eventos de riesgos'!B:R,17,0)</f>
        <v>Ninguno</v>
      </c>
      <c r="AF128" s="56" t="str">
        <f>VLOOKUP(Tabla15[[#This Row],[N° 
Evento]],'Eventos de riesgos'!B:V,21,0)</f>
        <v>Aprobado</v>
      </c>
      <c r="AG128" s="59" t="str">
        <f>VLOOKUP(Tabla15[[#This Row],[N° 
Evento]],'Eventos de riesgos'!B:W,22,0)</f>
        <v>06/03/2024 16:39:47: Creado
06/03/2024 16:42:23: .</v>
      </c>
    </row>
    <row r="129" spans="3:33" ht="59" customHeight="1" x14ac:dyDescent="0.55000000000000004">
      <c r="C129" s="54" t="str">
        <f>+Tabla15[[#This Row],[N° 
Evento]]&amp;"-"&amp;Tabla15[[#This Row],[N° Tarea]]</f>
        <v>54-3</v>
      </c>
      <c r="D129" s="54">
        <v>54</v>
      </c>
      <c r="E129" s="54">
        <v>3</v>
      </c>
      <c r="F129" s="55" t="s">
        <v>434</v>
      </c>
      <c r="G129" s="44" t="s">
        <v>1053</v>
      </c>
      <c r="H129" s="74" t="s">
        <v>942</v>
      </c>
      <c r="I129" s="44" t="s">
        <v>423</v>
      </c>
      <c r="J129" s="57">
        <v>45348</v>
      </c>
      <c r="K129" s="57">
        <v>45535</v>
      </c>
      <c r="L129" s="47" t="str">
        <f>IF(Tabla15[[#This Row],[Fecha de Finalización]]&gt;0,"Cerrada","En Proceso")</f>
        <v>Cerrada</v>
      </c>
      <c r="M129" s="58">
        <f t="shared" si="3"/>
        <v>187</v>
      </c>
      <c r="N129" s="59" t="s">
        <v>518</v>
      </c>
      <c r="O129" s="54">
        <f>VLOOKUP(Tabla15[[#This Row],[N° 
Evento]],'Eventos de riesgos'!B:C,2,0)</f>
        <v>2024</v>
      </c>
      <c r="P129" s="54" t="str">
        <f>VLOOKUP(Tabla15[[#This Row],[N° 
Evento]],'Eventos de riesgos'!B:D,3,0)</f>
        <v xml:space="preserve">Feb </v>
      </c>
      <c r="Q129" s="60">
        <f>VLOOKUP(Tabla15[[#This Row],[N° 
Evento]],'Eventos de riesgos'!B:E,4,0)</f>
        <v>45323.651388888888</v>
      </c>
      <c r="R129" s="60">
        <f>VLOOKUP(Tabla15[[#This Row],[N° 
Evento]],'Eventos de riesgos'!B:F,5,0)</f>
        <v>45360.65347222222</v>
      </c>
      <c r="S129" s="60">
        <f>VLOOKUP(Tabla15[[#This Row],[N° 
Evento]],'Eventos de riesgos'!B:G,6,0)</f>
        <v>45334.652083333334</v>
      </c>
      <c r="T129" s="63" t="str">
        <f>VLOOKUP(Tabla15[[#This Row],[N° 
Evento]],'Eventos de riesgos'!B:H,7,0)</f>
        <v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v>
      </c>
      <c r="U129" s="61">
        <f>VLOOKUP(Tabla15[[#This Row],[N° 
Evento]],'Eventos de riesgos'!B:I,8,0)</f>
        <v>0</v>
      </c>
      <c r="V129" s="61">
        <f>VLOOKUP(Tabla15[[#This Row],[N° 
Evento]],'Eventos de riesgos'!B:J,9,0)</f>
        <v>0</v>
      </c>
      <c r="W129" s="61">
        <f>VLOOKUP(Tabla15[[#This Row],[N° 
Evento]],'Eventos de riesgos'!B:K,10,0)</f>
        <v>0</v>
      </c>
      <c r="X129" s="59" t="str">
        <f>VLOOKUP(Tabla15[[#This Row],[N° 
Evento]],'Eventos de riesgos'!B:L,11,0)</f>
        <v>4 - Asociados o Clientes</v>
      </c>
      <c r="Y129" s="59" t="str">
        <f>VLOOKUP(Tabla15[[#This Row],[N° 
Evento]],'Eventos de riesgos'!B:M,12,0)</f>
        <v>42 - Prácticas Empresariales o de Mercadeo Improcedentes</v>
      </c>
      <c r="Z129" s="59" t="str">
        <f>VLOOKUP(Tabla15[[#This Row],[N° 
Evento]],'Eventos de riesgos'!B:N,13,0)</f>
        <v>425 - Actividades No Autorizadas</v>
      </c>
      <c r="AA129" s="59" t="str">
        <f>+VLOOKUP(Tabla15[[#This Row],[N° 
Evento]],'Eventos de riesgos'!$B$1:$AA$87,23,0)</f>
        <v>Error tasa CDAT</v>
      </c>
      <c r="AB129" s="54" t="str">
        <f>VLOOKUP(Tabla15[[#This Row],[N° 
Evento]],'Eventos de riesgos'!B:O,14,0)</f>
        <v>Ninguna</v>
      </c>
      <c r="AC129" s="60">
        <f>VLOOKUP(Tabla15[[#This Row],[N° 
Evento]],'Eventos de riesgos'!B:P,15,0)</f>
        <v>45351.693055555559</v>
      </c>
      <c r="AD129" s="54" t="str">
        <f>VLOOKUP(Tabla15[[#This Row],[N° 
Evento]],'Eventos de riesgos'!B:Q,16,0)</f>
        <v>CDAT</v>
      </c>
      <c r="AE129" s="54" t="str">
        <f>VLOOKUP(Tabla15[[#This Row],[N° 
Evento]],'Eventos de riesgos'!B:R,17,0)</f>
        <v>Ninguno</v>
      </c>
      <c r="AF129" s="56" t="str">
        <f>VLOOKUP(Tabla15[[#This Row],[N° 
Evento]],'Eventos de riesgos'!B:V,21,0)</f>
        <v>Aprobado</v>
      </c>
      <c r="AG129" s="59" t="str">
        <f>VLOOKUP(Tabla15[[#This Row],[N° 
Evento]],'Eventos de riesgos'!B:W,22,0)</f>
        <v>06/03/2024 16:39:47: Creado
06/03/2024 16:42:23: .</v>
      </c>
    </row>
    <row r="130" spans="3:33" ht="59" customHeight="1" x14ac:dyDescent="0.55000000000000004">
      <c r="C130" s="54" t="str">
        <f>+Tabla15[[#This Row],[N° 
Evento]]&amp;"-"&amp;Tabla15[[#This Row],[N° Tarea]]</f>
        <v>55-1</v>
      </c>
      <c r="D130" s="54">
        <v>55</v>
      </c>
      <c r="E130" s="54">
        <v>1</v>
      </c>
      <c r="F130" s="55" t="s">
        <v>440</v>
      </c>
      <c r="G130" s="44" t="s">
        <v>1052</v>
      </c>
      <c r="H130" s="59" t="s">
        <v>441</v>
      </c>
      <c r="I130" s="56" t="s">
        <v>240</v>
      </c>
      <c r="J130" s="57">
        <v>45359</v>
      </c>
      <c r="K130" s="57">
        <v>45366</v>
      </c>
      <c r="L130" s="47" t="str">
        <f>IF(Tabla15[[#This Row],[Fecha de Finalización]]&gt;0,"Cerrada","En Proceso")</f>
        <v>Cerrada</v>
      </c>
      <c r="M130" s="58">
        <f t="shared" si="3"/>
        <v>7</v>
      </c>
      <c r="N130" s="59" t="s">
        <v>442</v>
      </c>
      <c r="O130" s="54">
        <f>VLOOKUP(Tabla15[[#This Row],[N° 
Evento]],'Eventos de riesgos'!B:C,2,0)</f>
        <v>2024</v>
      </c>
      <c r="P130" s="54" t="str">
        <f>VLOOKUP(Tabla15[[#This Row],[N° 
Evento]],'Eventos de riesgos'!B:D,3,0)</f>
        <v>Mar</v>
      </c>
      <c r="Q130" s="60">
        <f>VLOOKUP(Tabla15[[#This Row],[N° 
Evento]],'Eventos de riesgos'!B:E,4,0)</f>
        <v>45359.447916666664</v>
      </c>
      <c r="R130" s="60">
        <f>VLOOKUP(Tabla15[[#This Row],[N° 
Evento]],'Eventos de riesgos'!B:F,5,0)</f>
        <v>45359.447916666664</v>
      </c>
      <c r="S130" s="60">
        <f>VLOOKUP(Tabla15[[#This Row],[N° 
Evento]],'Eventos de riesgos'!B:G,6,0)</f>
        <v>45369.447916666664</v>
      </c>
      <c r="T130" s="63" t="str">
        <f>VLOOKUP(Tabla15[[#This Row],[N° 
Evento]],'Eventos de riesgos'!B:H,7,0)</f>
        <v>CasoDurante el proceso de verificación de documentos para la declaración de origen de fondos de las operaciones en efectivo en las instalaciones de la Cooperativa, se identificaron (2) declaraciones inusuales en febrero de 2024. Estas presentaban una aparente falsificación de firma y huella, al detectar recuadros que indicaban que dichas autenticaciones habían sido cortadas y pegadas de otros documentos. Las declaraciones correspondían a los asociados Gonzalo Sánchez Hurtado identificado con CC 87.430.991 y Félix Alfredo Cortés Rincón identificado con CC 10.518479, quienes realizaron la operación presencialmente en la caja los días 6 y 9 de febrero de 2024. La funcionaria encargada y responsable era la Sra. Mary Gisell Pinzón Manrique.
AccionesSe expuso el caso al equipo directivo en comité de gerenciaLa Sra Mary Pinzon fue citada a descargos el 14 de marzo, aceptó haber realizado falsificacion defirmas y huellas sin fines fraudelentos, sólo por cubrir fallas operativas indicando que no pudo hacer firrmar oportunamente los formatos en caja y procedio a formalizarlos de esta manera.Debido al tipo de falta, la cual se considera grave, se procedió a la terminación de contrato de Sra Mary Pinzon con causa justificada.Los anexos del caso están en el expediente de la Sra Mary Pinzón - Reserva de Talento Humano. (Acta de descargos y termnación de contrato)</v>
      </c>
      <c r="U130" s="61">
        <f>VLOOKUP(Tabla15[[#This Row],[N° 
Evento]],'Eventos de riesgos'!B:I,8,0)</f>
        <v>0</v>
      </c>
      <c r="V130" s="61">
        <f>VLOOKUP(Tabla15[[#This Row],[N° 
Evento]],'Eventos de riesgos'!B:J,9,0)</f>
        <v>0</v>
      </c>
      <c r="W130" s="61">
        <f>VLOOKUP(Tabla15[[#This Row],[N° 
Evento]],'Eventos de riesgos'!B:K,10,0)</f>
        <v>0</v>
      </c>
      <c r="X130" s="59" t="str">
        <f>VLOOKUP(Tabla15[[#This Row],[N° 
Evento]],'Eventos de riesgos'!B:L,11,0)</f>
        <v>1 - Fraude Interno</v>
      </c>
      <c r="Y130" s="59" t="str">
        <f>VLOOKUP(Tabla15[[#This Row],[N° 
Evento]],'Eventos de riesgos'!B:M,12,0)</f>
        <v>11 - Actividades No Autorizadas</v>
      </c>
      <c r="Z130" s="59" t="str">
        <f>VLOOKUP(Tabla15[[#This Row],[N° 
Evento]],'Eventos de riesgos'!B:N,13,0)</f>
        <v>111 - Operaciones No Reveladas Intencionalmente</v>
      </c>
      <c r="AA130" s="59" t="str">
        <f>+VLOOKUP(Tabla15[[#This Row],[N° 
Evento]],'Eventos de riesgos'!$B$1:$AA$87,23,0)</f>
        <v xml:space="preserve">Falsificación de firmas y/o huellas </v>
      </c>
      <c r="AB130" s="54" t="str">
        <f>VLOOKUP(Tabla15[[#This Row],[N° 
Evento]],'Eventos de riesgos'!B:O,14,0)</f>
        <v>Ninguna</v>
      </c>
      <c r="AC130" s="60">
        <f>VLOOKUP(Tabla15[[#This Row],[N° 
Evento]],'Eventos de riesgos'!B:P,15,0)</f>
        <v>45382.449305555558</v>
      </c>
      <c r="AD130" s="54" t="str">
        <f>VLOOKUP(Tabla15[[#This Row],[N° 
Evento]],'Eventos de riesgos'!B:Q,16,0)</f>
        <v>Ninguno</v>
      </c>
      <c r="AE130" s="54" t="str">
        <f>VLOOKUP(Tabla15[[#This Row],[N° 
Evento]],'Eventos de riesgos'!B:R,17,0)</f>
        <v>Atención en oficina (caja)</v>
      </c>
      <c r="AF130" s="56" t="str">
        <f>VLOOKUP(Tabla15[[#This Row],[N° 
Evento]],'Eventos de riesgos'!B:V,21,0)</f>
        <v>Aprobado</v>
      </c>
      <c r="AG130" s="59" t="str">
        <f>VLOOKUP(Tabla15[[#This Row],[N° 
Evento]],'Eventos de riesgos'!B:W,22,0)</f>
        <v>22/03/2024 10:49:35: Creado.
12/04/2024 04:50:37: Complementado el caso</v>
      </c>
    </row>
    <row r="131" spans="3:33" ht="59" customHeight="1" x14ac:dyDescent="0.55000000000000004">
      <c r="C131" s="54" t="str">
        <f>+Tabla15[[#This Row],[N° 
Evento]]&amp;"-"&amp;Tabla15[[#This Row],[N° Tarea]]</f>
        <v>55-2</v>
      </c>
      <c r="D131" s="54">
        <v>55</v>
      </c>
      <c r="E131" s="54">
        <v>2</v>
      </c>
      <c r="F131" s="55" t="s">
        <v>455</v>
      </c>
      <c r="G131" s="44" t="s">
        <v>1053</v>
      </c>
      <c r="H131" s="59" t="s">
        <v>441</v>
      </c>
      <c r="I131" s="56" t="s">
        <v>240</v>
      </c>
      <c r="J131" s="57">
        <v>45359</v>
      </c>
      <c r="K131" s="57">
        <v>45463</v>
      </c>
      <c r="L131" s="47" t="str">
        <f>IF(Tabla15[[#This Row],[Fecha de Finalización]]&gt;0,"Cerrada","En Proceso")</f>
        <v>Cerrada</v>
      </c>
      <c r="M131" s="58">
        <f t="shared" ref="M131" si="4">+K131-J131</f>
        <v>104</v>
      </c>
      <c r="N131" s="59" t="s">
        <v>456</v>
      </c>
      <c r="O131" s="54">
        <f>VLOOKUP(Tabla15[[#This Row],[N° 
Evento]],'Eventos de riesgos'!B:C,2,0)</f>
        <v>2024</v>
      </c>
      <c r="P131" s="54" t="str">
        <f>VLOOKUP(Tabla15[[#This Row],[N° 
Evento]],'Eventos de riesgos'!B:D,3,0)</f>
        <v>Mar</v>
      </c>
      <c r="Q131" s="60">
        <f>VLOOKUP(Tabla15[[#This Row],[N° 
Evento]],'Eventos de riesgos'!B:E,4,0)</f>
        <v>45359.447916666664</v>
      </c>
      <c r="R131" s="60">
        <f>VLOOKUP(Tabla15[[#This Row],[N° 
Evento]],'Eventos de riesgos'!B:F,5,0)</f>
        <v>45359.447916666664</v>
      </c>
      <c r="S131" s="60">
        <f>VLOOKUP(Tabla15[[#This Row],[N° 
Evento]],'Eventos de riesgos'!B:G,6,0)</f>
        <v>45369.447916666664</v>
      </c>
      <c r="T131" s="63" t="str">
        <f>VLOOKUP(Tabla15[[#This Row],[N° 
Evento]],'Eventos de riesgos'!B:H,7,0)</f>
        <v>CasoDurante el proceso de verificación de documentos para la declaración de origen de fondos de las operaciones en efectivo en las instalaciones de la Cooperativa, se identificaron (2) declaraciones inusuales en febrero de 2024. Estas presentaban una aparente falsificación de firma y huella, al detectar recuadros que indicaban que dichas autenticaciones habían sido cortadas y pegadas de otros documentos. Las declaraciones correspondían a los asociados Gonzalo Sánchez Hurtado identificado con CC 87.430.991 y Félix Alfredo Cortés Rincón identificado con CC 10.518479, quienes realizaron la operación presencialmente en la caja los días 6 y 9 de febrero de 2024. La funcionaria encargada y responsable era la Sra. Mary Gisell Pinzón Manrique.
AccionesSe expuso el caso al equipo directivo en comité de gerenciaLa Sra Mary Pinzon fue citada a descargos el 14 de marzo, aceptó haber realizado falsificacion defirmas y huellas sin fines fraudelentos, sólo por cubrir fallas operativas indicando que no pudo hacer firrmar oportunamente los formatos en caja y procedio a formalizarlos de esta manera.Debido al tipo de falta, la cual se considera grave, se procedió a la terminación de contrato de Sra Mary Pinzon con causa justificada.Los anexos del caso están en el expediente de la Sra Mary Pinzón - Reserva de Talento Humano. (Acta de descargos y termnación de contrato)</v>
      </c>
      <c r="U131" s="61">
        <f>VLOOKUP(Tabla15[[#This Row],[N° 
Evento]],'Eventos de riesgos'!B:I,8,0)</f>
        <v>0</v>
      </c>
      <c r="V131" s="61">
        <f>VLOOKUP(Tabla15[[#This Row],[N° 
Evento]],'Eventos de riesgos'!B:J,9,0)</f>
        <v>0</v>
      </c>
      <c r="W131" s="61">
        <f>VLOOKUP(Tabla15[[#This Row],[N° 
Evento]],'Eventos de riesgos'!B:K,10,0)</f>
        <v>0</v>
      </c>
      <c r="X131" s="59" t="str">
        <f>VLOOKUP(Tabla15[[#This Row],[N° 
Evento]],'Eventos de riesgos'!B:L,11,0)</f>
        <v>1 - Fraude Interno</v>
      </c>
      <c r="Y131" s="59" t="str">
        <f>VLOOKUP(Tabla15[[#This Row],[N° 
Evento]],'Eventos de riesgos'!B:M,12,0)</f>
        <v>11 - Actividades No Autorizadas</v>
      </c>
      <c r="Z131" s="59" t="str">
        <f>VLOOKUP(Tabla15[[#This Row],[N° 
Evento]],'Eventos de riesgos'!B:N,13,0)</f>
        <v>111 - Operaciones No Reveladas Intencionalmente</v>
      </c>
      <c r="AA131" s="59" t="str">
        <f>+VLOOKUP(Tabla15[[#This Row],[N° 
Evento]],'Eventos de riesgos'!$B$1:$AA$87,23,0)</f>
        <v xml:space="preserve">Falsificación de firmas y/o huellas </v>
      </c>
      <c r="AB131" s="54" t="str">
        <f>VLOOKUP(Tabla15[[#This Row],[N° 
Evento]],'Eventos de riesgos'!B:O,14,0)</f>
        <v>Ninguna</v>
      </c>
      <c r="AC131" s="60">
        <f>VLOOKUP(Tabla15[[#This Row],[N° 
Evento]],'Eventos de riesgos'!B:P,15,0)</f>
        <v>45382.449305555558</v>
      </c>
      <c r="AD131" s="54" t="str">
        <f>VLOOKUP(Tabla15[[#This Row],[N° 
Evento]],'Eventos de riesgos'!B:Q,16,0)</f>
        <v>Ninguno</v>
      </c>
      <c r="AE131" s="54" t="str">
        <f>VLOOKUP(Tabla15[[#This Row],[N° 
Evento]],'Eventos de riesgos'!B:R,17,0)</f>
        <v>Atención en oficina (caja)</v>
      </c>
      <c r="AF131" s="56" t="str">
        <f>VLOOKUP(Tabla15[[#This Row],[N° 
Evento]],'Eventos de riesgos'!B:V,21,0)</f>
        <v>Aprobado</v>
      </c>
      <c r="AG131" s="59" t="str">
        <f>VLOOKUP(Tabla15[[#This Row],[N° 
Evento]],'Eventos de riesgos'!B:W,22,0)</f>
        <v>22/03/2024 10:49:35: Creado.
12/04/2024 04:50:37: Complementado el caso</v>
      </c>
    </row>
    <row r="132" spans="3:33" ht="59" customHeight="1" x14ac:dyDescent="0.55000000000000004">
      <c r="C132" s="54" t="str">
        <f>+Tabla15[[#This Row],[N° 
Evento]]&amp;"-"&amp;Tabla15[[#This Row],[N° Tarea]]</f>
        <v>56-1</v>
      </c>
      <c r="D132" s="54">
        <v>56</v>
      </c>
      <c r="E132" s="54">
        <v>1</v>
      </c>
      <c r="F132" s="55" t="s">
        <v>443</v>
      </c>
      <c r="G132" s="44" t="s">
        <v>1052</v>
      </c>
      <c r="H132" s="59" t="s">
        <v>936</v>
      </c>
      <c r="I132" s="59" t="s">
        <v>444</v>
      </c>
      <c r="J132" s="57">
        <v>45383</v>
      </c>
      <c r="K132" s="57">
        <v>45406</v>
      </c>
      <c r="L132" s="47" t="str">
        <f>IF(Tabla15[[#This Row],[Fecha de Finalización]]&gt;0,"Cerrada","En Proceso")</f>
        <v>Cerrada</v>
      </c>
      <c r="M132" s="58">
        <f t="shared" si="3"/>
        <v>23</v>
      </c>
      <c r="N132" s="59" t="s">
        <v>866</v>
      </c>
      <c r="O132" s="54">
        <f>VLOOKUP(Tabla15[[#This Row],[N° 
Evento]],'Eventos de riesgos'!B:C,2,0)</f>
        <v>2024</v>
      </c>
      <c r="P132" s="54" t="str">
        <f>VLOOKUP(Tabla15[[#This Row],[N° 
Evento]],'Eventos de riesgos'!B:D,3,0)</f>
        <v>Abr</v>
      </c>
      <c r="Q132" s="60">
        <f>VLOOKUP(Tabla15[[#This Row],[N° 
Evento]],'Eventos de riesgos'!B:E,4,0)</f>
        <v>45383.20416666667</v>
      </c>
      <c r="R132" s="60">
        <f>VLOOKUP(Tabla15[[#This Row],[N° 
Evento]],'Eventos de riesgos'!B:F,5,0)</f>
        <v>45383.20416666667</v>
      </c>
      <c r="S132" s="60">
        <f>VLOOKUP(Tabla15[[#This Row],[N° 
Evento]],'Eventos de riesgos'!B:G,6,0)</f>
        <v>45412.20416666667</v>
      </c>
      <c r="T132" s="63" t="str">
        <f>VLOOKUP(Tabla15[[#This Row],[N° 
Evento]],'Eventos de riesgos'!B:H,7,0)</f>
        <v>CasoEl 20 de marzo de 2024 el Consejo de Administracion aprobó la exclusión de 26 asociados, los cuales debian tener el debido proceso de cruce de cuentas de sus productos de aportes y Daes. Desde el área jurídica se envió la instrucción al área de operaciones, sin embargo, esta instrución no fue completa en cuanto a la forma de aplicacion del cruce de cuentas, ya que la exlución fue aprobada con la condición de condonar los intereses y reducir el capital de la deuda con los saldosAcciones
El área de operaciones y contabilidad deberá realizar el reproceso de la aplicación contable de dichos saldos para el cierre de abril de 2024.El área jurídica y de riesgos deben proponer acciones preventivas para mejorar los métodos de comunicación y asegurar su efectividad.</v>
      </c>
      <c r="U132" s="61">
        <f>VLOOKUP(Tabla15[[#This Row],[N° 
Evento]],'Eventos de riesgos'!B:I,8,0)</f>
        <v>0</v>
      </c>
      <c r="V132" s="61">
        <f>VLOOKUP(Tabla15[[#This Row],[N° 
Evento]],'Eventos de riesgos'!B:J,9,0)</f>
        <v>0</v>
      </c>
      <c r="W132" s="61">
        <f>VLOOKUP(Tabla15[[#This Row],[N° 
Evento]],'Eventos de riesgos'!B:K,10,0)</f>
        <v>0</v>
      </c>
      <c r="X132" s="59" t="str">
        <f>VLOOKUP(Tabla15[[#This Row],[N° 
Evento]],'Eventos de riesgos'!B:L,11,0)</f>
        <v>7 - Ejecución y Administración de Procesos</v>
      </c>
      <c r="Y132" s="59" t="str">
        <f>VLOOKUP(Tabla15[[#This Row],[N° 
Evento]],'Eventos de riesgos'!B:M,12,0)</f>
        <v>71 - Recepción, Ejecución y Mantenimiento de Operaciones</v>
      </c>
      <c r="Z132" s="59" t="str">
        <f>VLOOKUP(Tabla15[[#This Row],[N° 
Evento]],'Eventos de riesgos'!B:N,13,0)</f>
        <v>718 - Error en Otras Tareas, Falla en la Entrega</v>
      </c>
      <c r="AA132" s="59" t="str">
        <f>+VLOOKUP(Tabla15[[#This Row],[N° 
Evento]],'Eventos de riesgos'!$B$1:$AA$87,23,0)</f>
        <v xml:space="preserve">Falla en aplicación DAES </v>
      </c>
      <c r="AB132" s="54" t="str">
        <f>VLOOKUP(Tabla15[[#This Row],[N° 
Evento]],'Eventos de riesgos'!B:O,14,0)</f>
        <v>Ninguna</v>
      </c>
      <c r="AC132" s="60">
        <f>VLOOKUP(Tabla15[[#This Row],[N° 
Evento]],'Eventos de riesgos'!B:P,15,0)</f>
        <v>45382.202777777777</v>
      </c>
      <c r="AD132" s="54" t="str">
        <f>VLOOKUP(Tabla15[[#This Row],[N° 
Evento]],'Eventos de riesgos'!B:Q,16,0)</f>
        <v>Ninguno</v>
      </c>
      <c r="AE132" s="54" t="str">
        <f>VLOOKUP(Tabla15[[#This Row],[N° 
Evento]],'Eventos de riesgos'!B:R,17,0)</f>
        <v>Ninguno</v>
      </c>
      <c r="AF132" s="56" t="str">
        <f>VLOOKUP(Tabla15[[#This Row],[N° 
Evento]],'Eventos de riesgos'!B:V,21,0)</f>
        <v>Aprobado</v>
      </c>
      <c r="AG132" s="59" t="str">
        <f>VLOOKUP(Tabla15[[#This Row],[N° 
Evento]],'Eventos de riesgos'!B:W,22,0)</f>
        <v>12/04/2024 04:55:08: Aprobado
24/04/2024 17:45:38: Completar evento.</v>
      </c>
    </row>
    <row r="133" spans="3:33" ht="59" customHeight="1" x14ac:dyDescent="0.55000000000000004">
      <c r="C133" s="54" t="str">
        <f>+Tabla15[[#This Row],[N° 
Evento]]&amp;"-"&amp;Tabla15[[#This Row],[N° Tarea]]</f>
        <v>56-2</v>
      </c>
      <c r="D133" s="54">
        <v>56</v>
      </c>
      <c r="E133" s="54">
        <v>2</v>
      </c>
      <c r="F133" s="55" t="s">
        <v>448</v>
      </c>
      <c r="G133" s="44" t="s">
        <v>1053</v>
      </c>
      <c r="H133" s="59" t="s">
        <v>445</v>
      </c>
      <c r="I133" s="59" t="s">
        <v>446</v>
      </c>
      <c r="J133" s="57">
        <v>45383</v>
      </c>
      <c r="K133" s="57">
        <v>45407</v>
      </c>
      <c r="L133" s="47" t="str">
        <f>IF(Tabla15[[#This Row],[Fecha de Finalización]]&gt;0,"Cerrada","En Proceso")</f>
        <v>Cerrada</v>
      </c>
      <c r="M133" s="58">
        <f t="shared" si="3"/>
        <v>24</v>
      </c>
      <c r="N133" s="59" t="s">
        <v>447</v>
      </c>
      <c r="O133" s="54">
        <f>VLOOKUP(Tabla15[[#This Row],[N° 
Evento]],'Eventos de riesgos'!B:C,2,0)</f>
        <v>2024</v>
      </c>
      <c r="P133" s="54" t="str">
        <f>VLOOKUP(Tabla15[[#This Row],[N° 
Evento]],'Eventos de riesgos'!B:D,3,0)</f>
        <v>Abr</v>
      </c>
      <c r="Q133" s="60">
        <f>VLOOKUP(Tabla15[[#This Row],[N° 
Evento]],'Eventos de riesgos'!B:E,4,0)</f>
        <v>45383.20416666667</v>
      </c>
      <c r="R133" s="60">
        <f>VLOOKUP(Tabla15[[#This Row],[N° 
Evento]],'Eventos de riesgos'!B:F,5,0)</f>
        <v>45383.20416666667</v>
      </c>
      <c r="S133" s="60">
        <f>VLOOKUP(Tabla15[[#This Row],[N° 
Evento]],'Eventos de riesgos'!B:G,6,0)</f>
        <v>45412.20416666667</v>
      </c>
      <c r="T133" s="63" t="str">
        <f>VLOOKUP(Tabla15[[#This Row],[N° 
Evento]],'Eventos de riesgos'!B:H,7,0)</f>
        <v>CasoEl 20 de marzo de 2024 el Consejo de Administracion aprobó la exclusión de 26 asociados, los cuales debian tener el debido proceso de cruce de cuentas de sus productos de aportes y Daes. Desde el área jurídica se envió la instrucción al área de operaciones, sin embargo, esta instrución no fue completa en cuanto a la forma de aplicacion del cruce de cuentas, ya que la exlución fue aprobada con la condición de condonar los intereses y reducir el capital de la deuda con los saldosAcciones
El área de operaciones y contabilidad deberá realizar el reproceso de la aplicación contable de dichos saldos para el cierre de abril de 2024.El área jurídica y de riesgos deben proponer acciones preventivas para mejorar los métodos de comunicación y asegurar su efectividad.</v>
      </c>
      <c r="U133" s="61">
        <f>VLOOKUP(Tabla15[[#This Row],[N° 
Evento]],'Eventos de riesgos'!B:I,8,0)</f>
        <v>0</v>
      </c>
      <c r="V133" s="61">
        <f>VLOOKUP(Tabla15[[#This Row],[N° 
Evento]],'Eventos de riesgos'!B:J,9,0)</f>
        <v>0</v>
      </c>
      <c r="W133" s="61">
        <f>VLOOKUP(Tabla15[[#This Row],[N° 
Evento]],'Eventos de riesgos'!B:K,10,0)</f>
        <v>0</v>
      </c>
      <c r="X133" s="59" t="str">
        <f>VLOOKUP(Tabla15[[#This Row],[N° 
Evento]],'Eventos de riesgos'!B:L,11,0)</f>
        <v>7 - Ejecución y Administración de Procesos</v>
      </c>
      <c r="Y133" s="59" t="str">
        <f>VLOOKUP(Tabla15[[#This Row],[N° 
Evento]],'Eventos de riesgos'!B:M,12,0)</f>
        <v>71 - Recepción, Ejecución y Mantenimiento de Operaciones</v>
      </c>
      <c r="Z133" s="59" t="str">
        <f>VLOOKUP(Tabla15[[#This Row],[N° 
Evento]],'Eventos de riesgos'!B:N,13,0)</f>
        <v>718 - Error en Otras Tareas, Falla en la Entrega</v>
      </c>
      <c r="AA133" s="59" t="str">
        <f>+VLOOKUP(Tabla15[[#This Row],[N° 
Evento]],'Eventos de riesgos'!$B$1:$AA$87,23,0)</f>
        <v xml:space="preserve">Falla en aplicación DAES </v>
      </c>
      <c r="AB133" s="54" t="str">
        <f>VLOOKUP(Tabla15[[#This Row],[N° 
Evento]],'Eventos de riesgos'!B:O,14,0)</f>
        <v>Ninguna</v>
      </c>
      <c r="AC133" s="60">
        <f>VLOOKUP(Tabla15[[#This Row],[N° 
Evento]],'Eventos de riesgos'!B:P,15,0)</f>
        <v>45382.202777777777</v>
      </c>
      <c r="AD133" s="54" t="str">
        <f>VLOOKUP(Tabla15[[#This Row],[N° 
Evento]],'Eventos de riesgos'!B:Q,16,0)</f>
        <v>Ninguno</v>
      </c>
      <c r="AE133" s="54" t="str">
        <f>VLOOKUP(Tabla15[[#This Row],[N° 
Evento]],'Eventos de riesgos'!B:R,17,0)</f>
        <v>Ninguno</v>
      </c>
      <c r="AF133" s="56" t="str">
        <f>VLOOKUP(Tabla15[[#This Row],[N° 
Evento]],'Eventos de riesgos'!B:V,21,0)</f>
        <v>Aprobado</v>
      </c>
      <c r="AG133" s="59" t="str">
        <f>VLOOKUP(Tabla15[[#This Row],[N° 
Evento]],'Eventos de riesgos'!B:W,22,0)</f>
        <v>12/04/2024 04:55:08: Aprobado
24/04/2024 17:45:38: Completar evento.</v>
      </c>
    </row>
    <row r="134" spans="3:33" ht="59" customHeight="1" x14ac:dyDescent="0.55000000000000004">
      <c r="C134" s="54" t="str">
        <f>+Tabla15[[#This Row],[N° 
Evento]]&amp;"-"&amp;Tabla15[[#This Row],[N° Tarea]]</f>
        <v>57-1</v>
      </c>
      <c r="D134" s="54">
        <v>57</v>
      </c>
      <c r="E134" s="54">
        <v>1</v>
      </c>
      <c r="F134" s="55" t="s">
        <v>867</v>
      </c>
      <c r="G134" s="44" t="s">
        <v>1052</v>
      </c>
      <c r="H134" s="59" t="s">
        <v>441</v>
      </c>
      <c r="I134" s="56" t="s">
        <v>240</v>
      </c>
      <c r="J134" s="57">
        <v>45422</v>
      </c>
      <c r="K134" s="57">
        <v>45429</v>
      </c>
      <c r="L134" s="47" t="str">
        <f>IF(Tabla15[[#This Row],[Fecha de Finalización]]&gt;0,"Cerrada","En Proceso")</f>
        <v>Cerrada</v>
      </c>
      <c r="M134" s="58">
        <f t="shared" si="3"/>
        <v>7</v>
      </c>
      <c r="N134" s="59" t="s">
        <v>454</v>
      </c>
      <c r="O134" s="54">
        <f>VLOOKUP(Tabla15[[#This Row],[N° 
Evento]],'Eventos de riesgos'!B:C,2,0)</f>
        <v>2024</v>
      </c>
      <c r="P134" s="54" t="str">
        <f>VLOOKUP(Tabla15[[#This Row],[N° 
Evento]],'Eventos de riesgos'!B:D,3,0)</f>
        <v>May</v>
      </c>
      <c r="Q134" s="60">
        <f>VLOOKUP(Tabla15[[#This Row],[N° 
Evento]],'Eventos de riesgos'!B:E,4,0)</f>
        <v>45382.590277777781</v>
      </c>
      <c r="R134" s="60">
        <f>VLOOKUP(Tabla15[[#This Row],[N° 
Evento]],'Eventos de riesgos'!B:F,5,0)</f>
        <v>45429.589583333334</v>
      </c>
      <c r="S134" s="60">
        <f>VLOOKUP(Tabla15[[#This Row],[N° 
Evento]],'Eventos de riesgos'!B:G,6,0)</f>
        <v>45422.589583333334</v>
      </c>
      <c r="T134" s="63" t="str">
        <f>VLOOKUP(Tabla15[[#This Row],[N° 
Evento]],'Eventos de riesgos'!B:H,7,0)</f>
        <v xml:space="preserve">CasoEl comité de auditoría reveló un caso de fraude interno relacionado con la falsificación de un certificado de pensión necesario para el proceso de crédito del asociado José Agustín Martínez Cristancho, identificado con CC 17.140.819. La falsificación implicó alterar la fecha de recepción de la nómina del mes de enero de 2024, y fue realizada por la funcionaria Alejandra Rodríguez. Aunque ella admitió haber modificado el documento, aclaró que posteriormente solicitó al asociado que enviara el documento original y físico, pero este no fue el documento que quedó registrado en el sistema, sino el modificado.
Declaración de la funcionaria Alejandra Rodriguez:
'Lo que pasó con el señor, el señor me había traído los papeles, y cuándo yo radique el de enero no lo encontré y si, yo le cambié el mes, pero luego dije mejor con el señor mejor sacamos uno nuevo de enero, pero cuándo radiqué, radique el del documento malo'.La señorita Alejandra presentó dichos documentos físicos como evidencia de lo declarado, sin embargo, se llevó a cabo el correspondiente proceso disciplinario.AccionesProceso disciplinario a cargo del área jurídica, dirigido a la funcionaria Alejandra. Se concluyó el 17 de mayo de 2024 con la suspensión de 3 días.De igual manera se desarrolló una capacitación sobre delitos de fraude al personal el 20 de junio de 2024. Grabación Teams: Capacitación sobre delitos de fraude-20240620_090729-Grabación de la reunión.
Capacitación sobre delitos de fraude-20240620_090729-Grabación de la reunión.mp4
</v>
      </c>
      <c r="U134" s="61">
        <f>VLOOKUP(Tabla15[[#This Row],[N° 
Evento]],'Eventos de riesgos'!B:I,8,0)</f>
        <v>0</v>
      </c>
      <c r="V134" s="61">
        <f>VLOOKUP(Tabla15[[#This Row],[N° 
Evento]],'Eventos de riesgos'!B:J,9,0)</f>
        <v>0</v>
      </c>
      <c r="W134" s="61">
        <f>VLOOKUP(Tabla15[[#This Row],[N° 
Evento]],'Eventos de riesgos'!B:K,10,0)</f>
        <v>0</v>
      </c>
      <c r="X134" s="59" t="str">
        <f>VLOOKUP(Tabla15[[#This Row],[N° 
Evento]],'Eventos de riesgos'!B:L,11,0)</f>
        <v>1 - Fraude Interno</v>
      </c>
      <c r="Y134" s="59" t="str">
        <f>VLOOKUP(Tabla15[[#This Row],[N° 
Evento]],'Eventos de riesgos'!B:M,12,0)</f>
        <v>11 - Actividades No Autorizadas</v>
      </c>
      <c r="Z134" s="59" t="str">
        <f>VLOOKUP(Tabla15[[#This Row],[N° 
Evento]],'Eventos de riesgos'!B:N,13,0)</f>
        <v>111 - Operaciones No Reveladas Intencionalmente</v>
      </c>
      <c r="AA134" s="59" t="str">
        <f>+VLOOKUP(Tabla15[[#This Row],[N° 
Evento]],'Eventos de riesgos'!$B$1:$AA$87,23,0)</f>
        <v>Modificación de documentos</v>
      </c>
      <c r="AB134" s="54" t="str">
        <f>VLOOKUP(Tabla15[[#This Row],[N° 
Evento]],'Eventos de riesgos'!B:O,14,0)</f>
        <v>Ninguna</v>
      </c>
      <c r="AC134" s="60">
        <f>VLOOKUP(Tabla15[[#This Row],[N° 
Evento]],'Eventos de riesgos'!B:P,15,0)</f>
        <v>45427.604166666664</v>
      </c>
      <c r="AD134" s="54" t="str">
        <f>VLOOKUP(Tabla15[[#This Row],[N° 
Evento]],'Eventos de riesgos'!B:Q,16,0)</f>
        <v>Crédito de consumo</v>
      </c>
      <c r="AE134" s="54" t="str">
        <f>VLOOKUP(Tabla15[[#This Row],[N° 
Evento]],'Eventos de riesgos'!B:R,17,0)</f>
        <v>Ninguno</v>
      </c>
      <c r="AF134" s="56" t="str">
        <f>VLOOKUP(Tabla15[[#This Row],[N° 
Evento]],'Eventos de riesgos'!B:V,21,0)</f>
        <v>Aprobado</v>
      </c>
      <c r="AG134" s="59" t="str">
        <f>VLOOKUP(Tabla15[[#This Row],[N° 
Evento]],'Eventos de riesgos'!B:W,22,0)</f>
        <v>15/05/2024 14:31:30: Creado
15/05/2024 14:33:22: .
02/07/2024 12:35:23: Complemento</v>
      </c>
    </row>
    <row r="135" spans="3:33" ht="59" customHeight="1" x14ac:dyDescent="0.55000000000000004">
      <c r="C135" s="54" t="str">
        <f>+Tabla15[[#This Row],[N° 
Evento]]&amp;"-"&amp;Tabla15[[#This Row],[N° Tarea]]</f>
        <v>57-2</v>
      </c>
      <c r="D135" s="54">
        <v>57</v>
      </c>
      <c r="E135" s="54">
        <v>2</v>
      </c>
      <c r="F135" s="55" t="s">
        <v>455</v>
      </c>
      <c r="G135" s="44" t="s">
        <v>1053</v>
      </c>
      <c r="H135" s="59" t="s">
        <v>441</v>
      </c>
      <c r="I135" s="56" t="s">
        <v>240</v>
      </c>
      <c r="J135" s="57">
        <v>45422</v>
      </c>
      <c r="K135" s="57">
        <v>45463</v>
      </c>
      <c r="L135" s="47" t="str">
        <f>IF(Tabla15[[#This Row],[Fecha de Finalización]]&gt;0,"Cerrada","En Proceso")</f>
        <v>Cerrada</v>
      </c>
      <c r="M135" s="58">
        <f t="shared" si="3"/>
        <v>41</v>
      </c>
      <c r="N135" s="59" t="s">
        <v>456</v>
      </c>
      <c r="O135" s="54">
        <f>VLOOKUP(Tabla15[[#This Row],[N° 
Evento]],'Eventos de riesgos'!B:C,2,0)</f>
        <v>2024</v>
      </c>
      <c r="P135" s="54" t="str">
        <f>VLOOKUP(Tabla15[[#This Row],[N° 
Evento]],'Eventos de riesgos'!B:D,3,0)</f>
        <v>May</v>
      </c>
      <c r="Q135" s="60">
        <f>VLOOKUP(Tabla15[[#This Row],[N° 
Evento]],'Eventos de riesgos'!B:E,4,0)</f>
        <v>45382.590277777781</v>
      </c>
      <c r="R135" s="60">
        <f>VLOOKUP(Tabla15[[#This Row],[N° 
Evento]],'Eventos de riesgos'!B:F,5,0)</f>
        <v>45429.589583333334</v>
      </c>
      <c r="S135" s="60">
        <f>VLOOKUP(Tabla15[[#This Row],[N° 
Evento]],'Eventos de riesgos'!B:G,6,0)</f>
        <v>45422.589583333334</v>
      </c>
      <c r="T135" s="63" t="str">
        <f>VLOOKUP(Tabla15[[#This Row],[N° 
Evento]],'Eventos de riesgos'!B:H,7,0)</f>
        <v xml:space="preserve">CasoEl comité de auditoría reveló un caso de fraude interno relacionado con la falsificación de un certificado de pensión necesario para el proceso de crédito del asociado José Agustín Martínez Cristancho, identificado con CC 17.140.819. La falsificación implicó alterar la fecha de recepción de la nómina del mes de enero de 2024, y fue realizada por la funcionaria Alejandra Rodríguez. Aunque ella admitió haber modificado el documento, aclaró que posteriormente solicitó al asociado que enviara el documento original y físico, pero este no fue el documento que quedó registrado en el sistema, sino el modificado.
Declaración de la funcionaria Alejandra Rodriguez:
'Lo que pasó con el señor, el señor me había traído los papeles, y cuándo yo radique el de enero no lo encontré y si, yo le cambié el mes, pero luego dije mejor con el señor mejor sacamos uno nuevo de enero, pero cuándo radiqué, radique el del documento malo'.La señorita Alejandra presentó dichos documentos físicos como evidencia de lo declarado, sin embargo, se llevó a cabo el correspondiente proceso disciplinario.AccionesProceso disciplinario a cargo del área jurídica, dirigido a la funcionaria Alejandra. Se concluyó el 17 de mayo de 2024 con la suspensión de 3 días.De igual manera se desarrolló una capacitación sobre delitos de fraude al personal el 20 de junio de 2024. Grabación Teams: Capacitación sobre delitos de fraude-20240620_090729-Grabación de la reunión.
Capacitación sobre delitos de fraude-20240620_090729-Grabación de la reunión.mp4
</v>
      </c>
      <c r="U135" s="61">
        <f>VLOOKUP(Tabla15[[#This Row],[N° 
Evento]],'Eventos de riesgos'!B:I,8,0)</f>
        <v>0</v>
      </c>
      <c r="V135" s="61">
        <f>VLOOKUP(Tabla15[[#This Row],[N° 
Evento]],'Eventos de riesgos'!B:J,9,0)</f>
        <v>0</v>
      </c>
      <c r="W135" s="61">
        <f>VLOOKUP(Tabla15[[#This Row],[N° 
Evento]],'Eventos de riesgos'!B:K,10,0)</f>
        <v>0</v>
      </c>
      <c r="X135" s="59" t="str">
        <f>VLOOKUP(Tabla15[[#This Row],[N° 
Evento]],'Eventos de riesgos'!B:L,11,0)</f>
        <v>1 - Fraude Interno</v>
      </c>
      <c r="Y135" s="59" t="str">
        <f>VLOOKUP(Tabla15[[#This Row],[N° 
Evento]],'Eventos de riesgos'!B:M,12,0)</f>
        <v>11 - Actividades No Autorizadas</v>
      </c>
      <c r="Z135" s="59" t="str">
        <f>VLOOKUP(Tabla15[[#This Row],[N° 
Evento]],'Eventos de riesgos'!B:N,13,0)</f>
        <v>111 - Operaciones No Reveladas Intencionalmente</v>
      </c>
      <c r="AA135" s="59" t="str">
        <f>+VLOOKUP(Tabla15[[#This Row],[N° 
Evento]],'Eventos de riesgos'!$B$1:$AA$87,23,0)</f>
        <v>Modificación de documentos</v>
      </c>
      <c r="AB135" s="54" t="str">
        <f>VLOOKUP(Tabla15[[#This Row],[N° 
Evento]],'Eventos de riesgos'!B:O,14,0)</f>
        <v>Ninguna</v>
      </c>
      <c r="AC135" s="60">
        <f>VLOOKUP(Tabla15[[#This Row],[N° 
Evento]],'Eventos de riesgos'!B:P,15,0)</f>
        <v>45427.604166666664</v>
      </c>
      <c r="AD135" s="54" t="str">
        <f>VLOOKUP(Tabla15[[#This Row],[N° 
Evento]],'Eventos de riesgos'!B:Q,16,0)</f>
        <v>Crédito de consumo</v>
      </c>
      <c r="AE135" s="54" t="str">
        <f>VLOOKUP(Tabla15[[#This Row],[N° 
Evento]],'Eventos de riesgos'!B:R,17,0)</f>
        <v>Ninguno</v>
      </c>
      <c r="AF135" s="56" t="str">
        <f>VLOOKUP(Tabla15[[#This Row],[N° 
Evento]],'Eventos de riesgos'!B:V,21,0)</f>
        <v>Aprobado</v>
      </c>
      <c r="AG135" s="59" t="str">
        <f>VLOOKUP(Tabla15[[#This Row],[N° 
Evento]],'Eventos de riesgos'!B:W,22,0)</f>
        <v>15/05/2024 14:31:30: Creado
15/05/2024 14:33:22: .
02/07/2024 12:35:23: Complemento</v>
      </c>
    </row>
    <row r="136" spans="3:33" ht="59" customHeight="1" x14ac:dyDescent="0.55000000000000004">
      <c r="C136" s="54" t="str">
        <f>+Tabla15[[#This Row],[N° 
Evento]]&amp;"-"&amp;Tabla15[[#This Row],[N° Tarea]]</f>
        <v>58-1</v>
      </c>
      <c r="D136" s="54">
        <v>58</v>
      </c>
      <c r="E136" s="54">
        <v>1</v>
      </c>
      <c r="F136" s="55" t="s">
        <v>457</v>
      </c>
      <c r="G136" s="44" t="s">
        <v>1052</v>
      </c>
      <c r="H136" s="59" t="s">
        <v>467</v>
      </c>
      <c r="I136" s="56" t="s">
        <v>292</v>
      </c>
      <c r="J136" s="57">
        <v>45447</v>
      </c>
      <c r="K136" s="57">
        <v>45450</v>
      </c>
      <c r="L136" s="47" t="str">
        <f>IF(Tabla15[[#This Row],[Fecha de Finalización]]&gt;0,"Cerrada","En Proceso")</f>
        <v>Cerrada</v>
      </c>
      <c r="M136" s="58">
        <f t="shared" si="3"/>
        <v>3</v>
      </c>
      <c r="N136" s="59"/>
      <c r="O136" s="54">
        <f>VLOOKUP(Tabla15[[#This Row],[N° 
Evento]],'Eventos de riesgos'!B:C,2,0)</f>
        <v>2024</v>
      </c>
      <c r="P136" s="54" t="str">
        <f>VLOOKUP(Tabla15[[#This Row],[N° 
Evento]],'Eventos de riesgos'!B:D,3,0)</f>
        <v>May</v>
      </c>
      <c r="Q136" s="60">
        <f>VLOOKUP(Tabla15[[#This Row],[N° 
Evento]],'Eventos de riesgos'!B:E,4,0)</f>
        <v>45442.568055555559</v>
      </c>
      <c r="R136" s="60">
        <f>VLOOKUP(Tabla15[[#This Row],[N° 
Evento]],'Eventos de riesgos'!B:F,5,0)</f>
        <v>45447.568749999999</v>
      </c>
      <c r="S136" s="60">
        <f>VLOOKUP(Tabla15[[#This Row],[N° 
Evento]],'Eventos de riesgos'!B:G,6,0)</f>
        <v>45447.568749999999</v>
      </c>
      <c r="T136"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6" s="61">
        <f>VLOOKUP(Tabla15[[#This Row],[N° 
Evento]],'Eventos de riesgos'!B:I,8,0)</f>
        <v>29100000</v>
      </c>
      <c r="V136" s="61">
        <f>VLOOKUP(Tabla15[[#This Row],[N° 
Evento]],'Eventos de riesgos'!B:J,9,0)</f>
        <v>0</v>
      </c>
      <c r="W136" s="61">
        <f>VLOOKUP(Tabla15[[#This Row],[N° 
Evento]],'Eventos de riesgos'!B:K,10,0)</f>
        <v>0</v>
      </c>
      <c r="X136" s="59" t="str">
        <f>VLOOKUP(Tabla15[[#This Row],[N° 
Evento]],'Eventos de riesgos'!B:L,11,0)</f>
        <v>2 - Fraude Externo</v>
      </c>
      <c r="Y136" s="59" t="str">
        <f>VLOOKUP(Tabla15[[#This Row],[N° 
Evento]],'Eventos de riesgos'!B:M,12,0)</f>
        <v>22 - Hurto y Fraude</v>
      </c>
      <c r="Z136" s="59" t="str">
        <f>VLOOKUP(Tabla15[[#This Row],[N° 
Evento]],'Eventos de riesgos'!B:N,13,0)</f>
        <v>221 - Robo o Hurto</v>
      </c>
      <c r="AA136" s="59" t="str">
        <f>+VLOOKUP(Tabla15[[#This Row],[N° 
Evento]],'Eventos de riesgos'!$B$1:$AA$87,23,0)</f>
        <v>Suplantacion de Identidad y robo a asociados</v>
      </c>
      <c r="AB136" s="54" t="str">
        <f>VLOOKUP(Tabla15[[#This Row],[N° 
Evento]],'Eventos de riesgos'!B:O,14,0)</f>
        <v>Ninguna</v>
      </c>
      <c r="AC136" s="60">
        <f>VLOOKUP(Tabla15[[#This Row],[N° 
Evento]],'Eventos de riesgos'!B:P,15,0)</f>
        <v>45473.622916666667</v>
      </c>
      <c r="AD136" s="54" t="str">
        <f>VLOOKUP(Tabla15[[#This Row],[N° 
Evento]],'Eventos de riesgos'!B:Q,16,0)</f>
        <v>Ahorros voluntarios</v>
      </c>
      <c r="AE136" s="54" t="str">
        <f>VLOOKUP(Tabla15[[#This Row],[N° 
Evento]],'Eventos de riesgos'!B:R,17,0)</f>
        <v>Cooperativa Digital</v>
      </c>
      <c r="AF136" s="56" t="str">
        <f>VLOOKUP(Tabla15[[#This Row],[N° 
Evento]],'Eventos de riesgos'!B:V,21,0)</f>
        <v>Aprobado</v>
      </c>
      <c r="AG136" s="59" t="str">
        <f>VLOOKUP(Tabla15[[#This Row],[N° 
Evento]],'Eventos de riesgos'!B:W,22,0)</f>
        <v>05/06/2024 15:04:09: Creado
02/07/2024 15:00:15: Registro completo</v>
      </c>
    </row>
    <row r="137" spans="3:33" ht="59" customHeight="1" x14ac:dyDescent="0.55000000000000004">
      <c r="C137" s="54" t="str">
        <f>+Tabla15[[#This Row],[N° 
Evento]]&amp;"-"&amp;Tabla15[[#This Row],[N° Tarea]]</f>
        <v>58-2</v>
      </c>
      <c r="D137" s="54">
        <v>58</v>
      </c>
      <c r="E137" s="54">
        <v>2</v>
      </c>
      <c r="F137" s="55" t="s">
        <v>458</v>
      </c>
      <c r="G137" s="44" t="s">
        <v>1052</v>
      </c>
      <c r="H137" s="59" t="s">
        <v>941</v>
      </c>
      <c r="I137" s="59" t="s">
        <v>468</v>
      </c>
      <c r="J137" s="57">
        <v>45447</v>
      </c>
      <c r="K137" s="57">
        <v>45448</v>
      </c>
      <c r="L137" s="47" t="str">
        <f>IF(Tabla15[[#This Row],[Fecha de Finalización]]&gt;0,"Cerrada","En Proceso")</f>
        <v>Cerrada</v>
      </c>
      <c r="M137" s="58">
        <f t="shared" si="3"/>
        <v>1</v>
      </c>
      <c r="N137" s="59"/>
      <c r="O137" s="54">
        <f>VLOOKUP(Tabla15[[#This Row],[N° 
Evento]],'Eventos de riesgos'!B:C,2,0)</f>
        <v>2024</v>
      </c>
      <c r="P137" s="54" t="str">
        <f>VLOOKUP(Tabla15[[#This Row],[N° 
Evento]],'Eventos de riesgos'!B:D,3,0)</f>
        <v>May</v>
      </c>
      <c r="Q137" s="60">
        <f>VLOOKUP(Tabla15[[#This Row],[N° 
Evento]],'Eventos de riesgos'!B:E,4,0)</f>
        <v>45442.568055555559</v>
      </c>
      <c r="R137" s="60">
        <f>VLOOKUP(Tabla15[[#This Row],[N° 
Evento]],'Eventos de riesgos'!B:F,5,0)</f>
        <v>45447.568749999999</v>
      </c>
      <c r="S137" s="60">
        <f>VLOOKUP(Tabla15[[#This Row],[N° 
Evento]],'Eventos de riesgos'!B:G,6,0)</f>
        <v>45447.568749999999</v>
      </c>
      <c r="T137"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7" s="61">
        <f>VLOOKUP(Tabla15[[#This Row],[N° 
Evento]],'Eventos de riesgos'!B:I,8,0)</f>
        <v>29100000</v>
      </c>
      <c r="V137" s="61">
        <f>VLOOKUP(Tabla15[[#This Row],[N° 
Evento]],'Eventos de riesgos'!B:J,9,0)</f>
        <v>0</v>
      </c>
      <c r="W137" s="61">
        <f>VLOOKUP(Tabla15[[#This Row],[N° 
Evento]],'Eventos de riesgos'!B:K,10,0)</f>
        <v>0</v>
      </c>
      <c r="X137" s="59" t="str">
        <f>VLOOKUP(Tabla15[[#This Row],[N° 
Evento]],'Eventos de riesgos'!B:L,11,0)</f>
        <v>2 - Fraude Externo</v>
      </c>
      <c r="Y137" s="59" t="str">
        <f>VLOOKUP(Tabla15[[#This Row],[N° 
Evento]],'Eventos de riesgos'!B:M,12,0)</f>
        <v>22 - Hurto y Fraude</v>
      </c>
      <c r="Z137" s="59" t="str">
        <f>VLOOKUP(Tabla15[[#This Row],[N° 
Evento]],'Eventos de riesgos'!B:N,13,0)</f>
        <v>221 - Robo o Hurto</v>
      </c>
      <c r="AA137" s="59" t="str">
        <f>+VLOOKUP(Tabla15[[#This Row],[N° 
Evento]],'Eventos de riesgos'!$B$1:$AA$87,23,0)</f>
        <v>Suplantacion de Identidad y robo a asociados</v>
      </c>
      <c r="AB137" s="54" t="str">
        <f>VLOOKUP(Tabla15[[#This Row],[N° 
Evento]],'Eventos de riesgos'!B:O,14,0)</f>
        <v>Ninguna</v>
      </c>
      <c r="AC137" s="60">
        <f>VLOOKUP(Tabla15[[#This Row],[N° 
Evento]],'Eventos de riesgos'!B:P,15,0)</f>
        <v>45473.622916666667</v>
      </c>
      <c r="AD137" s="54" t="str">
        <f>VLOOKUP(Tabla15[[#This Row],[N° 
Evento]],'Eventos de riesgos'!B:Q,16,0)</f>
        <v>Ahorros voluntarios</v>
      </c>
      <c r="AE137" s="54" t="str">
        <f>VLOOKUP(Tabla15[[#This Row],[N° 
Evento]],'Eventos de riesgos'!B:R,17,0)</f>
        <v>Cooperativa Digital</v>
      </c>
      <c r="AF137" s="56" t="str">
        <f>VLOOKUP(Tabla15[[#This Row],[N° 
Evento]],'Eventos de riesgos'!B:V,21,0)</f>
        <v>Aprobado</v>
      </c>
      <c r="AG137" s="59" t="str">
        <f>VLOOKUP(Tabla15[[#This Row],[N° 
Evento]],'Eventos de riesgos'!B:W,22,0)</f>
        <v>05/06/2024 15:04:09: Creado
02/07/2024 15:00:15: Registro completo</v>
      </c>
    </row>
    <row r="138" spans="3:33" ht="59" customHeight="1" x14ac:dyDescent="0.55000000000000004">
      <c r="C138" s="54" t="str">
        <f>+Tabla15[[#This Row],[N° 
Evento]]&amp;"-"&amp;Tabla15[[#This Row],[N° Tarea]]</f>
        <v>58-3</v>
      </c>
      <c r="D138" s="54">
        <v>58</v>
      </c>
      <c r="E138" s="54">
        <v>3</v>
      </c>
      <c r="F138" s="55" t="s">
        <v>459</v>
      </c>
      <c r="G138" s="44" t="s">
        <v>1053</v>
      </c>
      <c r="H138" s="59" t="s">
        <v>868</v>
      </c>
      <c r="I138" s="56" t="s">
        <v>469</v>
      </c>
      <c r="J138" s="57">
        <v>45447</v>
      </c>
      <c r="K138" s="57">
        <v>45448</v>
      </c>
      <c r="L138" s="47" t="str">
        <f>IF(Tabla15[[#This Row],[Fecha de Finalización]]&gt;0,"Cerrada","En Proceso")</f>
        <v>Cerrada</v>
      </c>
      <c r="M138" s="58">
        <f t="shared" si="3"/>
        <v>1</v>
      </c>
      <c r="N138" s="59" t="s">
        <v>470</v>
      </c>
      <c r="O138" s="54">
        <f>VLOOKUP(Tabla15[[#This Row],[N° 
Evento]],'Eventos de riesgos'!B:C,2,0)</f>
        <v>2024</v>
      </c>
      <c r="P138" s="54" t="str">
        <f>VLOOKUP(Tabla15[[#This Row],[N° 
Evento]],'Eventos de riesgos'!B:D,3,0)</f>
        <v>May</v>
      </c>
      <c r="Q138" s="60">
        <f>VLOOKUP(Tabla15[[#This Row],[N° 
Evento]],'Eventos de riesgos'!B:E,4,0)</f>
        <v>45442.568055555559</v>
      </c>
      <c r="R138" s="60">
        <f>VLOOKUP(Tabla15[[#This Row],[N° 
Evento]],'Eventos de riesgos'!B:F,5,0)</f>
        <v>45447.568749999999</v>
      </c>
      <c r="S138" s="60">
        <f>VLOOKUP(Tabla15[[#This Row],[N° 
Evento]],'Eventos de riesgos'!B:G,6,0)</f>
        <v>45447.568749999999</v>
      </c>
      <c r="T138"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8" s="61">
        <f>VLOOKUP(Tabla15[[#This Row],[N° 
Evento]],'Eventos de riesgos'!B:I,8,0)</f>
        <v>29100000</v>
      </c>
      <c r="V138" s="61">
        <f>VLOOKUP(Tabla15[[#This Row],[N° 
Evento]],'Eventos de riesgos'!B:J,9,0)</f>
        <v>0</v>
      </c>
      <c r="W138" s="61">
        <f>VLOOKUP(Tabla15[[#This Row],[N° 
Evento]],'Eventos de riesgos'!B:K,10,0)</f>
        <v>0</v>
      </c>
      <c r="X138" s="59" t="str">
        <f>VLOOKUP(Tabla15[[#This Row],[N° 
Evento]],'Eventos de riesgos'!B:L,11,0)</f>
        <v>2 - Fraude Externo</v>
      </c>
      <c r="Y138" s="59" t="str">
        <f>VLOOKUP(Tabla15[[#This Row],[N° 
Evento]],'Eventos de riesgos'!B:M,12,0)</f>
        <v>22 - Hurto y Fraude</v>
      </c>
      <c r="Z138" s="59" t="str">
        <f>VLOOKUP(Tabla15[[#This Row],[N° 
Evento]],'Eventos de riesgos'!B:N,13,0)</f>
        <v>221 - Robo o Hurto</v>
      </c>
      <c r="AA138" s="59" t="str">
        <f>+VLOOKUP(Tabla15[[#This Row],[N° 
Evento]],'Eventos de riesgos'!$B$1:$AA$87,23,0)</f>
        <v>Suplantacion de Identidad y robo a asociados</v>
      </c>
      <c r="AB138" s="54" t="str">
        <f>VLOOKUP(Tabla15[[#This Row],[N° 
Evento]],'Eventos de riesgos'!B:O,14,0)</f>
        <v>Ninguna</v>
      </c>
      <c r="AC138" s="60">
        <f>VLOOKUP(Tabla15[[#This Row],[N° 
Evento]],'Eventos de riesgos'!B:P,15,0)</f>
        <v>45473.622916666667</v>
      </c>
      <c r="AD138" s="54" t="str">
        <f>VLOOKUP(Tabla15[[#This Row],[N° 
Evento]],'Eventos de riesgos'!B:Q,16,0)</f>
        <v>Ahorros voluntarios</v>
      </c>
      <c r="AE138" s="54" t="str">
        <f>VLOOKUP(Tabla15[[#This Row],[N° 
Evento]],'Eventos de riesgos'!B:R,17,0)</f>
        <v>Cooperativa Digital</v>
      </c>
      <c r="AF138" s="56" t="str">
        <f>VLOOKUP(Tabla15[[#This Row],[N° 
Evento]],'Eventos de riesgos'!B:V,21,0)</f>
        <v>Aprobado</v>
      </c>
      <c r="AG138" s="59" t="str">
        <f>VLOOKUP(Tabla15[[#This Row],[N° 
Evento]],'Eventos de riesgos'!B:W,22,0)</f>
        <v>05/06/2024 15:04:09: Creado
02/07/2024 15:00:15: Registro completo</v>
      </c>
    </row>
    <row r="139" spans="3:33" ht="59" customHeight="1" x14ac:dyDescent="0.55000000000000004">
      <c r="C139" s="54" t="str">
        <f>+Tabla15[[#This Row],[N° 
Evento]]&amp;"-"&amp;Tabla15[[#This Row],[N° Tarea]]</f>
        <v>58-4</v>
      </c>
      <c r="D139" s="54">
        <v>58</v>
      </c>
      <c r="E139" s="54">
        <v>4</v>
      </c>
      <c r="F139" s="55" t="s">
        <v>460</v>
      </c>
      <c r="G139" s="44" t="s">
        <v>1052</v>
      </c>
      <c r="H139" s="59" t="s">
        <v>471</v>
      </c>
      <c r="I139" s="56" t="s">
        <v>425</v>
      </c>
      <c r="J139" s="57">
        <v>45447</v>
      </c>
      <c r="K139" s="57">
        <v>45447</v>
      </c>
      <c r="L139" s="47" t="str">
        <f>IF(Tabla15[[#This Row],[Fecha de Finalización]]&gt;0,"Cerrada","En Proceso")</f>
        <v>Cerrada</v>
      </c>
      <c r="M139" s="58">
        <f t="shared" si="3"/>
        <v>0</v>
      </c>
      <c r="N139" s="59" t="s">
        <v>869</v>
      </c>
      <c r="O139" s="54">
        <f>VLOOKUP(Tabla15[[#This Row],[N° 
Evento]],'Eventos de riesgos'!B:C,2,0)</f>
        <v>2024</v>
      </c>
      <c r="P139" s="54" t="str">
        <f>VLOOKUP(Tabla15[[#This Row],[N° 
Evento]],'Eventos de riesgos'!B:D,3,0)</f>
        <v>May</v>
      </c>
      <c r="Q139" s="60">
        <f>VLOOKUP(Tabla15[[#This Row],[N° 
Evento]],'Eventos de riesgos'!B:E,4,0)</f>
        <v>45442.568055555559</v>
      </c>
      <c r="R139" s="60">
        <f>VLOOKUP(Tabla15[[#This Row],[N° 
Evento]],'Eventos de riesgos'!B:F,5,0)</f>
        <v>45447.568749999999</v>
      </c>
      <c r="S139" s="60">
        <f>VLOOKUP(Tabla15[[#This Row],[N° 
Evento]],'Eventos de riesgos'!B:G,6,0)</f>
        <v>45447.568749999999</v>
      </c>
      <c r="T139"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9" s="61">
        <f>VLOOKUP(Tabla15[[#This Row],[N° 
Evento]],'Eventos de riesgos'!B:I,8,0)</f>
        <v>29100000</v>
      </c>
      <c r="V139" s="61">
        <f>VLOOKUP(Tabla15[[#This Row],[N° 
Evento]],'Eventos de riesgos'!B:J,9,0)</f>
        <v>0</v>
      </c>
      <c r="W139" s="61">
        <f>VLOOKUP(Tabla15[[#This Row],[N° 
Evento]],'Eventos de riesgos'!B:K,10,0)</f>
        <v>0</v>
      </c>
      <c r="X139" s="59" t="str">
        <f>VLOOKUP(Tabla15[[#This Row],[N° 
Evento]],'Eventos de riesgos'!B:L,11,0)</f>
        <v>2 - Fraude Externo</v>
      </c>
      <c r="Y139" s="59" t="str">
        <f>VLOOKUP(Tabla15[[#This Row],[N° 
Evento]],'Eventos de riesgos'!B:M,12,0)</f>
        <v>22 - Hurto y Fraude</v>
      </c>
      <c r="Z139" s="59" t="str">
        <f>VLOOKUP(Tabla15[[#This Row],[N° 
Evento]],'Eventos de riesgos'!B:N,13,0)</f>
        <v>221 - Robo o Hurto</v>
      </c>
      <c r="AA139" s="59" t="str">
        <f>+VLOOKUP(Tabla15[[#This Row],[N° 
Evento]],'Eventos de riesgos'!$B$1:$AA$87,23,0)</f>
        <v>Suplantacion de Identidad y robo a asociados</v>
      </c>
      <c r="AB139" s="54" t="str">
        <f>VLOOKUP(Tabla15[[#This Row],[N° 
Evento]],'Eventos de riesgos'!B:O,14,0)</f>
        <v>Ninguna</v>
      </c>
      <c r="AC139" s="60">
        <f>VLOOKUP(Tabla15[[#This Row],[N° 
Evento]],'Eventos de riesgos'!B:P,15,0)</f>
        <v>45473.622916666667</v>
      </c>
      <c r="AD139" s="54" t="str">
        <f>VLOOKUP(Tabla15[[#This Row],[N° 
Evento]],'Eventos de riesgos'!B:Q,16,0)</f>
        <v>Ahorros voluntarios</v>
      </c>
      <c r="AE139" s="54" t="str">
        <f>VLOOKUP(Tabla15[[#This Row],[N° 
Evento]],'Eventos de riesgos'!B:R,17,0)</f>
        <v>Cooperativa Digital</v>
      </c>
      <c r="AF139" s="56" t="str">
        <f>VLOOKUP(Tabla15[[#This Row],[N° 
Evento]],'Eventos de riesgos'!B:V,21,0)</f>
        <v>Aprobado</v>
      </c>
      <c r="AG139" s="59" t="str">
        <f>VLOOKUP(Tabla15[[#This Row],[N° 
Evento]],'Eventos de riesgos'!B:W,22,0)</f>
        <v>05/06/2024 15:04:09: Creado
02/07/2024 15:00:15: Registro completo</v>
      </c>
    </row>
    <row r="140" spans="3:33" ht="59" customHeight="1" x14ac:dyDescent="0.55000000000000004">
      <c r="C140" s="54" t="str">
        <f>+Tabla15[[#This Row],[N° 
Evento]]&amp;"-"&amp;Tabla15[[#This Row],[N° Tarea]]</f>
        <v>58-5</v>
      </c>
      <c r="D140" s="54">
        <v>58</v>
      </c>
      <c r="E140" s="54">
        <v>5</v>
      </c>
      <c r="F140" s="55" t="s">
        <v>461</v>
      </c>
      <c r="G140" s="44" t="s">
        <v>1052</v>
      </c>
      <c r="H140" s="59" t="s">
        <v>765</v>
      </c>
      <c r="I140" s="56" t="s">
        <v>259</v>
      </c>
      <c r="J140" s="57">
        <v>45449</v>
      </c>
      <c r="K140" s="57">
        <v>45450</v>
      </c>
      <c r="L140" s="47" t="str">
        <f>IF(Tabla15[[#This Row],[Fecha de Finalización]]&gt;0,"Cerrada","En Proceso")</f>
        <v>Cerrada</v>
      </c>
      <c r="M140" s="58">
        <f t="shared" si="3"/>
        <v>1</v>
      </c>
      <c r="N140" s="59" t="s">
        <v>474</v>
      </c>
      <c r="O140" s="54">
        <f>VLOOKUP(Tabla15[[#This Row],[N° 
Evento]],'Eventos de riesgos'!B:C,2,0)</f>
        <v>2024</v>
      </c>
      <c r="P140" s="54" t="str">
        <f>VLOOKUP(Tabla15[[#This Row],[N° 
Evento]],'Eventos de riesgos'!B:D,3,0)</f>
        <v>May</v>
      </c>
      <c r="Q140" s="60">
        <f>VLOOKUP(Tabla15[[#This Row],[N° 
Evento]],'Eventos de riesgos'!B:E,4,0)</f>
        <v>45442.568055555559</v>
      </c>
      <c r="R140" s="60">
        <f>VLOOKUP(Tabla15[[#This Row],[N° 
Evento]],'Eventos de riesgos'!B:F,5,0)</f>
        <v>45447.568749999999</v>
      </c>
      <c r="S140" s="60">
        <f>VLOOKUP(Tabla15[[#This Row],[N° 
Evento]],'Eventos de riesgos'!B:G,6,0)</f>
        <v>45447.568749999999</v>
      </c>
      <c r="T140"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0" s="61">
        <f>VLOOKUP(Tabla15[[#This Row],[N° 
Evento]],'Eventos de riesgos'!B:I,8,0)</f>
        <v>29100000</v>
      </c>
      <c r="V140" s="61">
        <f>VLOOKUP(Tabla15[[#This Row],[N° 
Evento]],'Eventos de riesgos'!B:J,9,0)</f>
        <v>0</v>
      </c>
      <c r="W140" s="61">
        <f>VLOOKUP(Tabla15[[#This Row],[N° 
Evento]],'Eventos de riesgos'!B:K,10,0)</f>
        <v>0</v>
      </c>
      <c r="X140" s="59" t="str">
        <f>VLOOKUP(Tabla15[[#This Row],[N° 
Evento]],'Eventos de riesgos'!B:L,11,0)</f>
        <v>2 - Fraude Externo</v>
      </c>
      <c r="Y140" s="59" t="str">
        <f>VLOOKUP(Tabla15[[#This Row],[N° 
Evento]],'Eventos de riesgos'!B:M,12,0)</f>
        <v>22 - Hurto y Fraude</v>
      </c>
      <c r="Z140" s="59" t="str">
        <f>VLOOKUP(Tabla15[[#This Row],[N° 
Evento]],'Eventos de riesgos'!B:N,13,0)</f>
        <v>221 - Robo o Hurto</v>
      </c>
      <c r="AA140" s="59" t="str">
        <f>+VLOOKUP(Tabla15[[#This Row],[N° 
Evento]],'Eventos de riesgos'!$B$1:$AA$87,23,0)</f>
        <v>Suplantacion de Identidad y robo a asociados</v>
      </c>
      <c r="AB140" s="54" t="str">
        <f>VLOOKUP(Tabla15[[#This Row],[N° 
Evento]],'Eventos de riesgos'!B:O,14,0)</f>
        <v>Ninguna</v>
      </c>
      <c r="AC140" s="60">
        <f>VLOOKUP(Tabla15[[#This Row],[N° 
Evento]],'Eventos de riesgos'!B:P,15,0)</f>
        <v>45473.622916666667</v>
      </c>
      <c r="AD140" s="54" t="str">
        <f>VLOOKUP(Tabla15[[#This Row],[N° 
Evento]],'Eventos de riesgos'!B:Q,16,0)</f>
        <v>Ahorros voluntarios</v>
      </c>
      <c r="AE140" s="54" t="str">
        <f>VLOOKUP(Tabla15[[#This Row],[N° 
Evento]],'Eventos de riesgos'!B:R,17,0)</f>
        <v>Cooperativa Digital</v>
      </c>
      <c r="AF140" s="56" t="str">
        <f>VLOOKUP(Tabla15[[#This Row],[N° 
Evento]],'Eventos de riesgos'!B:V,21,0)</f>
        <v>Aprobado</v>
      </c>
      <c r="AG140" s="59" t="str">
        <f>VLOOKUP(Tabla15[[#This Row],[N° 
Evento]],'Eventos de riesgos'!B:W,22,0)</f>
        <v>05/06/2024 15:04:09: Creado
02/07/2024 15:00:15: Registro completo</v>
      </c>
    </row>
    <row r="141" spans="3:33" ht="59" customHeight="1" x14ac:dyDescent="0.55000000000000004">
      <c r="C141" s="54" t="str">
        <f>+Tabla15[[#This Row],[N° 
Evento]]&amp;"-"&amp;Tabla15[[#This Row],[N° Tarea]]</f>
        <v>58-6</v>
      </c>
      <c r="D141" s="54">
        <v>58</v>
      </c>
      <c r="E141" s="54">
        <v>6</v>
      </c>
      <c r="F141" s="55" t="s">
        <v>462</v>
      </c>
      <c r="G141" s="44" t="s">
        <v>1052</v>
      </c>
      <c r="H141" s="59" t="s">
        <v>472</v>
      </c>
      <c r="I141" s="59" t="s">
        <v>473</v>
      </c>
      <c r="J141" s="57">
        <v>45450</v>
      </c>
      <c r="K141" s="57">
        <v>45450</v>
      </c>
      <c r="L141" s="47" t="str">
        <f>IF(Tabla15[[#This Row],[Fecha de Finalización]]&gt;0,"Cerrada","En Proceso")</f>
        <v>Cerrada</v>
      </c>
      <c r="M141" s="58">
        <f t="shared" si="3"/>
        <v>0</v>
      </c>
      <c r="N141" s="59" t="s">
        <v>463</v>
      </c>
      <c r="O141" s="54">
        <f>VLOOKUP(Tabla15[[#This Row],[N° 
Evento]],'Eventos de riesgos'!B:C,2,0)</f>
        <v>2024</v>
      </c>
      <c r="P141" s="54" t="str">
        <f>VLOOKUP(Tabla15[[#This Row],[N° 
Evento]],'Eventos de riesgos'!B:D,3,0)</f>
        <v>May</v>
      </c>
      <c r="Q141" s="60">
        <f>VLOOKUP(Tabla15[[#This Row],[N° 
Evento]],'Eventos de riesgos'!B:E,4,0)</f>
        <v>45442.568055555559</v>
      </c>
      <c r="R141" s="60">
        <f>VLOOKUP(Tabla15[[#This Row],[N° 
Evento]],'Eventos de riesgos'!B:F,5,0)</f>
        <v>45447.568749999999</v>
      </c>
      <c r="S141" s="60">
        <f>VLOOKUP(Tabla15[[#This Row],[N° 
Evento]],'Eventos de riesgos'!B:G,6,0)</f>
        <v>45447.568749999999</v>
      </c>
      <c r="T141"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1" s="61">
        <f>VLOOKUP(Tabla15[[#This Row],[N° 
Evento]],'Eventos de riesgos'!B:I,8,0)</f>
        <v>29100000</v>
      </c>
      <c r="V141" s="61">
        <f>VLOOKUP(Tabla15[[#This Row],[N° 
Evento]],'Eventos de riesgos'!B:J,9,0)</f>
        <v>0</v>
      </c>
      <c r="W141" s="61">
        <f>VLOOKUP(Tabla15[[#This Row],[N° 
Evento]],'Eventos de riesgos'!B:K,10,0)</f>
        <v>0</v>
      </c>
      <c r="X141" s="59" t="str">
        <f>VLOOKUP(Tabla15[[#This Row],[N° 
Evento]],'Eventos de riesgos'!B:L,11,0)</f>
        <v>2 - Fraude Externo</v>
      </c>
      <c r="Y141" s="59" t="str">
        <f>VLOOKUP(Tabla15[[#This Row],[N° 
Evento]],'Eventos de riesgos'!B:M,12,0)</f>
        <v>22 - Hurto y Fraude</v>
      </c>
      <c r="Z141" s="59" t="str">
        <f>VLOOKUP(Tabla15[[#This Row],[N° 
Evento]],'Eventos de riesgos'!B:N,13,0)</f>
        <v>221 - Robo o Hurto</v>
      </c>
      <c r="AA141" s="59" t="str">
        <f>+VLOOKUP(Tabla15[[#This Row],[N° 
Evento]],'Eventos de riesgos'!$B$1:$AA$87,23,0)</f>
        <v>Suplantacion de Identidad y robo a asociados</v>
      </c>
      <c r="AB141" s="54" t="str">
        <f>VLOOKUP(Tabla15[[#This Row],[N° 
Evento]],'Eventos de riesgos'!B:O,14,0)</f>
        <v>Ninguna</v>
      </c>
      <c r="AC141" s="60">
        <f>VLOOKUP(Tabla15[[#This Row],[N° 
Evento]],'Eventos de riesgos'!B:P,15,0)</f>
        <v>45473.622916666667</v>
      </c>
      <c r="AD141" s="54" t="str">
        <f>VLOOKUP(Tabla15[[#This Row],[N° 
Evento]],'Eventos de riesgos'!B:Q,16,0)</f>
        <v>Ahorros voluntarios</v>
      </c>
      <c r="AE141" s="54" t="str">
        <f>VLOOKUP(Tabla15[[#This Row],[N° 
Evento]],'Eventos de riesgos'!B:R,17,0)</f>
        <v>Cooperativa Digital</v>
      </c>
      <c r="AF141" s="56" t="str">
        <f>VLOOKUP(Tabla15[[#This Row],[N° 
Evento]],'Eventos de riesgos'!B:V,21,0)</f>
        <v>Aprobado</v>
      </c>
      <c r="AG141" s="59" t="str">
        <f>VLOOKUP(Tabla15[[#This Row],[N° 
Evento]],'Eventos de riesgos'!B:W,22,0)</f>
        <v>05/06/2024 15:04:09: Creado
02/07/2024 15:00:15: Registro completo</v>
      </c>
    </row>
    <row r="142" spans="3:33" ht="59" customHeight="1" x14ac:dyDescent="0.55000000000000004">
      <c r="C142" s="54" t="str">
        <f>+Tabla15[[#This Row],[N° 
Evento]]&amp;"-"&amp;Tabla15[[#This Row],[N° Tarea]]</f>
        <v>58-7</v>
      </c>
      <c r="D142" s="54">
        <v>58</v>
      </c>
      <c r="E142" s="54">
        <v>7</v>
      </c>
      <c r="F142" s="55" t="s">
        <v>464</v>
      </c>
      <c r="G142" s="44" t="s">
        <v>1053</v>
      </c>
      <c r="H142" s="59" t="s">
        <v>215</v>
      </c>
      <c r="I142" s="56" t="s">
        <v>91</v>
      </c>
      <c r="J142" s="57">
        <v>45450</v>
      </c>
      <c r="K142" s="57">
        <v>45450</v>
      </c>
      <c r="L142" s="47" t="str">
        <f>IF(Tabla15[[#This Row],[Fecha de Finalización]]&gt;0,"Cerrada","En Proceso")</f>
        <v>Cerrada</v>
      </c>
      <c r="M142" s="58">
        <f t="shared" si="3"/>
        <v>0</v>
      </c>
      <c r="N142" s="59"/>
      <c r="O142" s="54">
        <f>VLOOKUP(Tabla15[[#This Row],[N° 
Evento]],'Eventos de riesgos'!B:C,2,0)</f>
        <v>2024</v>
      </c>
      <c r="P142" s="54" t="str">
        <f>VLOOKUP(Tabla15[[#This Row],[N° 
Evento]],'Eventos de riesgos'!B:D,3,0)</f>
        <v>May</v>
      </c>
      <c r="Q142" s="60">
        <f>VLOOKUP(Tabla15[[#This Row],[N° 
Evento]],'Eventos de riesgos'!B:E,4,0)</f>
        <v>45442.568055555559</v>
      </c>
      <c r="R142" s="60">
        <f>VLOOKUP(Tabla15[[#This Row],[N° 
Evento]],'Eventos de riesgos'!B:F,5,0)</f>
        <v>45447.568749999999</v>
      </c>
      <c r="S142" s="60">
        <f>VLOOKUP(Tabla15[[#This Row],[N° 
Evento]],'Eventos de riesgos'!B:G,6,0)</f>
        <v>45447.568749999999</v>
      </c>
      <c r="T142"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2" s="61">
        <f>VLOOKUP(Tabla15[[#This Row],[N° 
Evento]],'Eventos de riesgos'!B:I,8,0)</f>
        <v>29100000</v>
      </c>
      <c r="V142" s="61">
        <f>VLOOKUP(Tabla15[[#This Row],[N° 
Evento]],'Eventos de riesgos'!B:J,9,0)</f>
        <v>0</v>
      </c>
      <c r="W142" s="61">
        <f>VLOOKUP(Tabla15[[#This Row],[N° 
Evento]],'Eventos de riesgos'!B:K,10,0)</f>
        <v>0</v>
      </c>
      <c r="X142" s="59" t="str">
        <f>VLOOKUP(Tabla15[[#This Row],[N° 
Evento]],'Eventos de riesgos'!B:L,11,0)</f>
        <v>2 - Fraude Externo</v>
      </c>
      <c r="Y142" s="59" t="str">
        <f>VLOOKUP(Tabla15[[#This Row],[N° 
Evento]],'Eventos de riesgos'!B:M,12,0)</f>
        <v>22 - Hurto y Fraude</v>
      </c>
      <c r="Z142" s="59" t="str">
        <f>VLOOKUP(Tabla15[[#This Row],[N° 
Evento]],'Eventos de riesgos'!B:N,13,0)</f>
        <v>221 - Robo o Hurto</v>
      </c>
      <c r="AA142" s="59" t="str">
        <f>+VLOOKUP(Tabla15[[#This Row],[N° 
Evento]],'Eventos de riesgos'!$B$1:$AA$87,23,0)</f>
        <v>Suplantacion de Identidad y robo a asociados</v>
      </c>
      <c r="AB142" s="54" t="str">
        <f>VLOOKUP(Tabla15[[#This Row],[N° 
Evento]],'Eventos de riesgos'!B:O,14,0)</f>
        <v>Ninguna</v>
      </c>
      <c r="AC142" s="60">
        <f>VLOOKUP(Tabla15[[#This Row],[N° 
Evento]],'Eventos de riesgos'!B:P,15,0)</f>
        <v>45473.622916666667</v>
      </c>
      <c r="AD142" s="54" t="str">
        <f>VLOOKUP(Tabla15[[#This Row],[N° 
Evento]],'Eventos de riesgos'!B:Q,16,0)</f>
        <v>Ahorros voluntarios</v>
      </c>
      <c r="AE142" s="54" t="str">
        <f>VLOOKUP(Tabla15[[#This Row],[N° 
Evento]],'Eventos de riesgos'!B:R,17,0)</f>
        <v>Cooperativa Digital</v>
      </c>
      <c r="AF142" s="56" t="str">
        <f>VLOOKUP(Tabla15[[#This Row],[N° 
Evento]],'Eventos de riesgos'!B:V,21,0)</f>
        <v>Aprobado</v>
      </c>
      <c r="AG142" s="59" t="str">
        <f>VLOOKUP(Tabla15[[#This Row],[N° 
Evento]],'Eventos de riesgos'!B:W,22,0)</f>
        <v>05/06/2024 15:04:09: Creado
02/07/2024 15:00:15: Registro completo</v>
      </c>
    </row>
    <row r="143" spans="3:33" ht="59" customHeight="1" x14ac:dyDescent="0.55000000000000004">
      <c r="C143" s="54" t="str">
        <f>+Tabla15[[#This Row],[N° 
Evento]]&amp;"-"&amp;Tabla15[[#This Row],[N° Tarea]]</f>
        <v>58-8</v>
      </c>
      <c r="D143" s="54">
        <v>58</v>
      </c>
      <c r="E143" s="54">
        <v>8</v>
      </c>
      <c r="F143" s="55" t="s">
        <v>465</v>
      </c>
      <c r="G143" s="44" t="s">
        <v>1052</v>
      </c>
      <c r="H143" s="59" t="s">
        <v>215</v>
      </c>
      <c r="I143" s="56" t="s">
        <v>91</v>
      </c>
      <c r="J143" s="57">
        <v>45450</v>
      </c>
      <c r="K143" s="57">
        <v>45450</v>
      </c>
      <c r="L143" s="47" t="str">
        <f>IF(Tabla15[[#This Row],[Fecha de Finalización]]&gt;0,"Cerrada","En Proceso")</f>
        <v>Cerrada</v>
      </c>
      <c r="M143" s="58">
        <f t="shared" si="3"/>
        <v>0</v>
      </c>
      <c r="N143" s="59" t="s">
        <v>869</v>
      </c>
      <c r="O143" s="54">
        <f>VLOOKUP(Tabla15[[#This Row],[N° 
Evento]],'Eventos de riesgos'!B:C,2,0)</f>
        <v>2024</v>
      </c>
      <c r="P143" s="54" t="str">
        <f>VLOOKUP(Tabla15[[#This Row],[N° 
Evento]],'Eventos de riesgos'!B:D,3,0)</f>
        <v>May</v>
      </c>
      <c r="Q143" s="60">
        <f>VLOOKUP(Tabla15[[#This Row],[N° 
Evento]],'Eventos de riesgos'!B:E,4,0)</f>
        <v>45442.568055555559</v>
      </c>
      <c r="R143" s="60">
        <f>VLOOKUP(Tabla15[[#This Row],[N° 
Evento]],'Eventos de riesgos'!B:F,5,0)</f>
        <v>45447.568749999999</v>
      </c>
      <c r="S143" s="60">
        <f>VLOOKUP(Tabla15[[#This Row],[N° 
Evento]],'Eventos de riesgos'!B:G,6,0)</f>
        <v>45447.568749999999</v>
      </c>
      <c r="T143"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3" s="61">
        <f>VLOOKUP(Tabla15[[#This Row],[N° 
Evento]],'Eventos de riesgos'!B:I,8,0)</f>
        <v>29100000</v>
      </c>
      <c r="V143" s="61">
        <f>VLOOKUP(Tabla15[[#This Row],[N° 
Evento]],'Eventos de riesgos'!B:J,9,0)</f>
        <v>0</v>
      </c>
      <c r="W143" s="61">
        <f>VLOOKUP(Tabla15[[#This Row],[N° 
Evento]],'Eventos de riesgos'!B:K,10,0)</f>
        <v>0</v>
      </c>
      <c r="X143" s="59" t="str">
        <f>VLOOKUP(Tabla15[[#This Row],[N° 
Evento]],'Eventos de riesgos'!B:L,11,0)</f>
        <v>2 - Fraude Externo</v>
      </c>
      <c r="Y143" s="59" t="str">
        <f>VLOOKUP(Tabla15[[#This Row],[N° 
Evento]],'Eventos de riesgos'!B:M,12,0)</f>
        <v>22 - Hurto y Fraude</v>
      </c>
      <c r="Z143" s="59" t="str">
        <f>VLOOKUP(Tabla15[[#This Row],[N° 
Evento]],'Eventos de riesgos'!B:N,13,0)</f>
        <v>221 - Robo o Hurto</v>
      </c>
      <c r="AA143" s="59" t="str">
        <f>+VLOOKUP(Tabla15[[#This Row],[N° 
Evento]],'Eventos de riesgos'!$B$1:$AA$87,23,0)</f>
        <v>Suplantacion de Identidad y robo a asociados</v>
      </c>
      <c r="AB143" s="54" t="str">
        <f>VLOOKUP(Tabla15[[#This Row],[N° 
Evento]],'Eventos de riesgos'!B:O,14,0)</f>
        <v>Ninguna</v>
      </c>
      <c r="AC143" s="60">
        <f>VLOOKUP(Tabla15[[#This Row],[N° 
Evento]],'Eventos de riesgos'!B:P,15,0)</f>
        <v>45473.622916666667</v>
      </c>
      <c r="AD143" s="54" t="str">
        <f>VLOOKUP(Tabla15[[#This Row],[N° 
Evento]],'Eventos de riesgos'!B:Q,16,0)</f>
        <v>Ahorros voluntarios</v>
      </c>
      <c r="AE143" s="54" t="str">
        <f>VLOOKUP(Tabla15[[#This Row],[N° 
Evento]],'Eventos de riesgos'!B:R,17,0)</f>
        <v>Cooperativa Digital</v>
      </c>
      <c r="AF143" s="56" t="str">
        <f>VLOOKUP(Tabla15[[#This Row],[N° 
Evento]],'Eventos de riesgos'!B:V,21,0)</f>
        <v>Aprobado</v>
      </c>
      <c r="AG143" s="59" t="str">
        <f>VLOOKUP(Tabla15[[#This Row],[N° 
Evento]],'Eventos de riesgos'!B:W,22,0)</f>
        <v>05/06/2024 15:04:09: Creado
02/07/2024 15:00:15: Registro completo</v>
      </c>
    </row>
    <row r="144" spans="3:33" ht="59" customHeight="1" x14ac:dyDescent="0.55000000000000004">
      <c r="C144" s="54" t="str">
        <f>+Tabla15[[#This Row],[N° 
Evento]]&amp;"-"&amp;Tabla15[[#This Row],[N° Tarea]]</f>
        <v>58-9</v>
      </c>
      <c r="D144" s="54">
        <v>58</v>
      </c>
      <c r="E144" s="54">
        <v>9</v>
      </c>
      <c r="F144" s="55" t="s">
        <v>466</v>
      </c>
      <c r="G144" s="44" t="s">
        <v>1052</v>
      </c>
      <c r="H144" s="59" t="s">
        <v>233</v>
      </c>
      <c r="I144" s="56" t="s">
        <v>240</v>
      </c>
      <c r="J144" s="57">
        <v>45450</v>
      </c>
      <c r="K144" s="57">
        <v>45450</v>
      </c>
      <c r="L144" s="47" t="str">
        <f>IF(Tabla15[[#This Row],[Fecha de Finalización]]&gt;0,"Cerrada","En Proceso")</f>
        <v>Cerrada</v>
      </c>
      <c r="M144" s="58">
        <f t="shared" si="3"/>
        <v>0</v>
      </c>
      <c r="N144" s="59" t="s">
        <v>475</v>
      </c>
      <c r="O144" s="54">
        <f>VLOOKUP(Tabla15[[#This Row],[N° 
Evento]],'Eventos de riesgos'!B:C,2,0)</f>
        <v>2024</v>
      </c>
      <c r="P144" s="54" t="str">
        <f>VLOOKUP(Tabla15[[#This Row],[N° 
Evento]],'Eventos de riesgos'!B:D,3,0)</f>
        <v>May</v>
      </c>
      <c r="Q144" s="60">
        <f>VLOOKUP(Tabla15[[#This Row],[N° 
Evento]],'Eventos de riesgos'!B:E,4,0)</f>
        <v>45442.568055555559</v>
      </c>
      <c r="R144" s="60">
        <f>VLOOKUP(Tabla15[[#This Row],[N° 
Evento]],'Eventos de riesgos'!B:F,5,0)</f>
        <v>45447.568749999999</v>
      </c>
      <c r="S144" s="60">
        <f>VLOOKUP(Tabla15[[#This Row],[N° 
Evento]],'Eventos de riesgos'!B:G,6,0)</f>
        <v>45447.568749999999</v>
      </c>
      <c r="T144"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4" s="61">
        <f>VLOOKUP(Tabla15[[#This Row],[N° 
Evento]],'Eventos de riesgos'!B:I,8,0)</f>
        <v>29100000</v>
      </c>
      <c r="V144" s="61">
        <f>VLOOKUP(Tabla15[[#This Row],[N° 
Evento]],'Eventos de riesgos'!B:J,9,0)</f>
        <v>0</v>
      </c>
      <c r="W144" s="61">
        <f>VLOOKUP(Tabla15[[#This Row],[N° 
Evento]],'Eventos de riesgos'!B:K,10,0)</f>
        <v>0</v>
      </c>
      <c r="X144" s="59" t="str">
        <f>VLOOKUP(Tabla15[[#This Row],[N° 
Evento]],'Eventos de riesgos'!B:L,11,0)</f>
        <v>2 - Fraude Externo</v>
      </c>
      <c r="Y144" s="59" t="str">
        <f>VLOOKUP(Tabla15[[#This Row],[N° 
Evento]],'Eventos de riesgos'!B:M,12,0)</f>
        <v>22 - Hurto y Fraude</v>
      </c>
      <c r="Z144" s="59" t="str">
        <f>VLOOKUP(Tabla15[[#This Row],[N° 
Evento]],'Eventos de riesgos'!B:N,13,0)</f>
        <v>221 - Robo o Hurto</v>
      </c>
      <c r="AA144" s="59" t="str">
        <f>+VLOOKUP(Tabla15[[#This Row],[N° 
Evento]],'Eventos de riesgos'!$B$1:$AA$87,23,0)</f>
        <v>Suplantacion de Identidad y robo a asociados</v>
      </c>
      <c r="AB144" s="54" t="str">
        <f>VLOOKUP(Tabla15[[#This Row],[N° 
Evento]],'Eventos de riesgos'!B:O,14,0)</f>
        <v>Ninguna</v>
      </c>
      <c r="AC144" s="60">
        <f>VLOOKUP(Tabla15[[#This Row],[N° 
Evento]],'Eventos de riesgos'!B:P,15,0)</f>
        <v>45473.622916666667</v>
      </c>
      <c r="AD144" s="54" t="str">
        <f>VLOOKUP(Tabla15[[#This Row],[N° 
Evento]],'Eventos de riesgos'!B:Q,16,0)</f>
        <v>Ahorros voluntarios</v>
      </c>
      <c r="AE144" s="54" t="str">
        <f>VLOOKUP(Tabla15[[#This Row],[N° 
Evento]],'Eventos de riesgos'!B:R,17,0)</f>
        <v>Cooperativa Digital</v>
      </c>
      <c r="AF144" s="56" t="str">
        <f>VLOOKUP(Tabla15[[#This Row],[N° 
Evento]],'Eventos de riesgos'!B:V,21,0)</f>
        <v>Aprobado</v>
      </c>
      <c r="AG144" s="59" t="str">
        <f>VLOOKUP(Tabla15[[#This Row],[N° 
Evento]],'Eventos de riesgos'!B:W,22,0)</f>
        <v>05/06/2024 15:04:09: Creado
02/07/2024 15:00:15: Registro completo</v>
      </c>
    </row>
    <row r="145" spans="3:33" ht="59" customHeight="1" x14ac:dyDescent="0.55000000000000004">
      <c r="C145" s="54" t="str">
        <f>+Tabla15[[#This Row],[N° 
Evento]]&amp;"-"&amp;Tabla15[[#This Row],[N° Tarea]]</f>
        <v>58-10</v>
      </c>
      <c r="D145" s="54">
        <v>58</v>
      </c>
      <c r="E145" s="54">
        <v>10</v>
      </c>
      <c r="F145" s="55" t="s">
        <v>476</v>
      </c>
      <c r="G145" s="44" t="s">
        <v>1052</v>
      </c>
      <c r="H145" s="59" t="s">
        <v>763</v>
      </c>
      <c r="I145" s="56" t="s">
        <v>95</v>
      </c>
      <c r="J145" s="57">
        <v>45451</v>
      </c>
      <c r="K145" s="57">
        <v>45451</v>
      </c>
      <c r="L145" s="47" t="str">
        <f>IF(Tabla15[[#This Row],[Fecha de Finalización]]&gt;0,"Cerrada","En Proceso")</f>
        <v>Cerrada</v>
      </c>
      <c r="M145" s="58">
        <f t="shared" si="3"/>
        <v>0</v>
      </c>
      <c r="N145" s="59"/>
      <c r="O145" s="54">
        <f>VLOOKUP(Tabla15[[#This Row],[N° 
Evento]],'Eventos de riesgos'!B:C,2,0)</f>
        <v>2024</v>
      </c>
      <c r="P145" s="54" t="str">
        <f>VLOOKUP(Tabla15[[#This Row],[N° 
Evento]],'Eventos de riesgos'!B:D,3,0)</f>
        <v>May</v>
      </c>
      <c r="Q145" s="60">
        <f>VLOOKUP(Tabla15[[#This Row],[N° 
Evento]],'Eventos de riesgos'!B:E,4,0)</f>
        <v>45442.568055555559</v>
      </c>
      <c r="R145" s="60">
        <f>VLOOKUP(Tabla15[[#This Row],[N° 
Evento]],'Eventos de riesgos'!B:F,5,0)</f>
        <v>45447.568749999999</v>
      </c>
      <c r="S145" s="60">
        <f>VLOOKUP(Tabla15[[#This Row],[N° 
Evento]],'Eventos de riesgos'!B:G,6,0)</f>
        <v>45447.568749999999</v>
      </c>
      <c r="T145"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5" s="61">
        <f>VLOOKUP(Tabla15[[#This Row],[N° 
Evento]],'Eventos de riesgos'!B:I,8,0)</f>
        <v>29100000</v>
      </c>
      <c r="V145" s="61">
        <f>VLOOKUP(Tabla15[[#This Row],[N° 
Evento]],'Eventos de riesgos'!B:J,9,0)</f>
        <v>0</v>
      </c>
      <c r="W145" s="61">
        <f>VLOOKUP(Tabla15[[#This Row],[N° 
Evento]],'Eventos de riesgos'!B:K,10,0)</f>
        <v>0</v>
      </c>
      <c r="X145" s="59" t="str">
        <f>VLOOKUP(Tabla15[[#This Row],[N° 
Evento]],'Eventos de riesgos'!B:L,11,0)</f>
        <v>2 - Fraude Externo</v>
      </c>
      <c r="Y145" s="59" t="str">
        <f>VLOOKUP(Tabla15[[#This Row],[N° 
Evento]],'Eventos de riesgos'!B:M,12,0)</f>
        <v>22 - Hurto y Fraude</v>
      </c>
      <c r="Z145" s="59" t="str">
        <f>VLOOKUP(Tabla15[[#This Row],[N° 
Evento]],'Eventos de riesgos'!B:N,13,0)</f>
        <v>221 - Robo o Hurto</v>
      </c>
      <c r="AA145" s="59" t="str">
        <f>+VLOOKUP(Tabla15[[#This Row],[N° 
Evento]],'Eventos de riesgos'!$B$1:$AA$87,23,0)</f>
        <v>Suplantacion de Identidad y robo a asociados</v>
      </c>
      <c r="AB145" s="54" t="str">
        <f>VLOOKUP(Tabla15[[#This Row],[N° 
Evento]],'Eventos de riesgos'!B:O,14,0)</f>
        <v>Ninguna</v>
      </c>
      <c r="AC145" s="60">
        <f>VLOOKUP(Tabla15[[#This Row],[N° 
Evento]],'Eventos de riesgos'!B:P,15,0)</f>
        <v>45473.622916666667</v>
      </c>
      <c r="AD145" s="54" t="str">
        <f>VLOOKUP(Tabla15[[#This Row],[N° 
Evento]],'Eventos de riesgos'!B:Q,16,0)</f>
        <v>Ahorros voluntarios</v>
      </c>
      <c r="AE145" s="54" t="str">
        <f>VLOOKUP(Tabla15[[#This Row],[N° 
Evento]],'Eventos de riesgos'!B:R,17,0)</f>
        <v>Cooperativa Digital</v>
      </c>
      <c r="AF145" s="56" t="str">
        <f>VLOOKUP(Tabla15[[#This Row],[N° 
Evento]],'Eventos de riesgos'!B:V,21,0)</f>
        <v>Aprobado</v>
      </c>
      <c r="AG145" s="59" t="str">
        <f>VLOOKUP(Tabla15[[#This Row],[N° 
Evento]],'Eventos de riesgos'!B:W,22,0)</f>
        <v>05/06/2024 15:04:09: Creado
02/07/2024 15:00:15: Registro completo</v>
      </c>
    </row>
    <row r="146" spans="3:33" ht="59" customHeight="1" x14ac:dyDescent="0.55000000000000004">
      <c r="C146" s="54" t="str">
        <f>+Tabla15[[#This Row],[N° 
Evento]]&amp;"-"&amp;Tabla15[[#This Row],[N° Tarea]]</f>
        <v>58-11</v>
      </c>
      <c r="D146" s="54">
        <v>58</v>
      </c>
      <c r="E146" s="54">
        <v>11</v>
      </c>
      <c r="F146" s="55" t="s">
        <v>477</v>
      </c>
      <c r="G146" s="44" t="s">
        <v>1053</v>
      </c>
      <c r="H146" s="59" t="s">
        <v>483</v>
      </c>
      <c r="I146" s="59" t="s">
        <v>484</v>
      </c>
      <c r="J146" s="57">
        <v>45450</v>
      </c>
      <c r="K146" s="57">
        <v>45450</v>
      </c>
      <c r="L146" s="47" t="str">
        <f>IF(Tabla15[[#This Row],[Fecha de Finalización]]&gt;0,"Cerrada","En Proceso")</f>
        <v>Cerrada</v>
      </c>
      <c r="M146" s="58">
        <f t="shared" si="3"/>
        <v>0</v>
      </c>
      <c r="N146" s="59"/>
      <c r="O146" s="54">
        <f>VLOOKUP(Tabla15[[#This Row],[N° 
Evento]],'Eventos de riesgos'!B:C,2,0)</f>
        <v>2024</v>
      </c>
      <c r="P146" s="54" t="str">
        <f>VLOOKUP(Tabla15[[#This Row],[N° 
Evento]],'Eventos de riesgos'!B:D,3,0)</f>
        <v>May</v>
      </c>
      <c r="Q146" s="60">
        <f>VLOOKUP(Tabla15[[#This Row],[N° 
Evento]],'Eventos de riesgos'!B:E,4,0)</f>
        <v>45442.568055555559</v>
      </c>
      <c r="R146" s="60">
        <f>VLOOKUP(Tabla15[[#This Row],[N° 
Evento]],'Eventos de riesgos'!B:F,5,0)</f>
        <v>45447.568749999999</v>
      </c>
      <c r="S146" s="60">
        <f>VLOOKUP(Tabla15[[#This Row],[N° 
Evento]],'Eventos de riesgos'!B:G,6,0)</f>
        <v>45447.568749999999</v>
      </c>
      <c r="T146"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6" s="61">
        <f>VLOOKUP(Tabla15[[#This Row],[N° 
Evento]],'Eventos de riesgos'!B:I,8,0)</f>
        <v>29100000</v>
      </c>
      <c r="V146" s="61">
        <f>VLOOKUP(Tabla15[[#This Row],[N° 
Evento]],'Eventos de riesgos'!B:J,9,0)</f>
        <v>0</v>
      </c>
      <c r="W146" s="61">
        <f>VLOOKUP(Tabla15[[#This Row],[N° 
Evento]],'Eventos de riesgos'!B:K,10,0)</f>
        <v>0</v>
      </c>
      <c r="X146" s="59" t="str">
        <f>VLOOKUP(Tabla15[[#This Row],[N° 
Evento]],'Eventos de riesgos'!B:L,11,0)</f>
        <v>2 - Fraude Externo</v>
      </c>
      <c r="Y146" s="59" t="str">
        <f>VLOOKUP(Tabla15[[#This Row],[N° 
Evento]],'Eventos de riesgos'!B:M,12,0)</f>
        <v>22 - Hurto y Fraude</v>
      </c>
      <c r="Z146" s="59" t="str">
        <f>VLOOKUP(Tabla15[[#This Row],[N° 
Evento]],'Eventos de riesgos'!B:N,13,0)</f>
        <v>221 - Robo o Hurto</v>
      </c>
      <c r="AA146" s="59" t="str">
        <f>+VLOOKUP(Tabla15[[#This Row],[N° 
Evento]],'Eventos de riesgos'!$B$1:$AA$87,23,0)</f>
        <v>Suplantacion de Identidad y robo a asociados</v>
      </c>
      <c r="AB146" s="54" t="str">
        <f>VLOOKUP(Tabla15[[#This Row],[N° 
Evento]],'Eventos de riesgos'!B:O,14,0)</f>
        <v>Ninguna</v>
      </c>
      <c r="AC146" s="60">
        <f>VLOOKUP(Tabla15[[#This Row],[N° 
Evento]],'Eventos de riesgos'!B:P,15,0)</f>
        <v>45473.622916666667</v>
      </c>
      <c r="AD146" s="54" t="str">
        <f>VLOOKUP(Tabla15[[#This Row],[N° 
Evento]],'Eventos de riesgos'!B:Q,16,0)</f>
        <v>Ahorros voluntarios</v>
      </c>
      <c r="AE146" s="54" t="str">
        <f>VLOOKUP(Tabla15[[#This Row],[N° 
Evento]],'Eventos de riesgos'!B:R,17,0)</f>
        <v>Cooperativa Digital</v>
      </c>
      <c r="AF146" s="56" t="str">
        <f>VLOOKUP(Tabla15[[#This Row],[N° 
Evento]],'Eventos de riesgos'!B:V,21,0)</f>
        <v>Aprobado</v>
      </c>
      <c r="AG146" s="59" t="str">
        <f>VLOOKUP(Tabla15[[#This Row],[N° 
Evento]],'Eventos de riesgos'!B:W,22,0)</f>
        <v>05/06/2024 15:04:09: Creado
02/07/2024 15:00:15: Registro completo</v>
      </c>
    </row>
    <row r="147" spans="3:33" ht="59" customHeight="1" x14ac:dyDescent="0.55000000000000004">
      <c r="C147" s="54" t="str">
        <f>+Tabla15[[#This Row],[N° 
Evento]]&amp;"-"&amp;Tabla15[[#This Row],[N° Tarea]]</f>
        <v>58-12</v>
      </c>
      <c r="D147" s="54">
        <v>58</v>
      </c>
      <c r="E147" s="54">
        <v>12</v>
      </c>
      <c r="F147" s="55" t="s">
        <v>478</v>
      </c>
      <c r="G147" s="44" t="s">
        <v>1052</v>
      </c>
      <c r="H147" s="59" t="s">
        <v>765</v>
      </c>
      <c r="I147" s="56" t="s">
        <v>259</v>
      </c>
      <c r="J147" s="57">
        <v>45456</v>
      </c>
      <c r="K147" s="57">
        <v>45457</v>
      </c>
      <c r="L147" s="47" t="str">
        <f>IF(Tabla15[[#This Row],[Fecha de Finalización]]&gt;0,"Cerrada","En Proceso")</f>
        <v>Cerrada</v>
      </c>
      <c r="M147" s="58">
        <f t="shared" si="3"/>
        <v>1</v>
      </c>
      <c r="N147" s="59"/>
      <c r="O147" s="54">
        <f>VLOOKUP(Tabla15[[#This Row],[N° 
Evento]],'Eventos de riesgos'!B:C,2,0)</f>
        <v>2024</v>
      </c>
      <c r="P147" s="54" t="str">
        <f>VLOOKUP(Tabla15[[#This Row],[N° 
Evento]],'Eventos de riesgos'!B:D,3,0)</f>
        <v>May</v>
      </c>
      <c r="Q147" s="60">
        <f>VLOOKUP(Tabla15[[#This Row],[N° 
Evento]],'Eventos de riesgos'!B:E,4,0)</f>
        <v>45442.568055555559</v>
      </c>
      <c r="R147" s="60">
        <f>VLOOKUP(Tabla15[[#This Row],[N° 
Evento]],'Eventos de riesgos'!B:F,5,0)</f>
        <v>45447.568749999999</v>
      </c>
      <c r="S147" s="60">
        <f>VLOOKUP(Tabla15[[#This Row],[N° 
Evento]],'Eventos de riesgos'!B:G,6,0)</f>
        <v>45447.568749999999</v>
      </c>
      <c r="T147"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7" s="61">
        <f>VLOOKUP(Tabla15[[#This Row],[N° 
Evento]],'Eventos de riesgos'!B:I,8,0)</f>
        <v>29100000</v>
      </c>
      <c r="V147" s="61">
        <f>VLOOKUP(Tabla15[[#This Row],[N° 
Evento]],'Eventos de riesgos'!B:J,9,0)</f>
        <v>0</v>
      </c>
      <c r="W147" s="61">
        <f>VLOOKUP(Tabla15[[#This Row],[N° 
Evento]],'Eventos de riesgos'!B:K,10,0)</f>
        <v>0</v>
      </c>
      <c r="X147" s="59" t="str">
        <f>VLOOKUP(Tabla15[[#This Row],[N° 
Evento]],'Eventos de riesgos'!B:L,11,0)</f>
        <v>2 - Fraude Externo</v>
      </c>
      <c r="Y147" s="59" t="str">
        <f>VLOOKUP(Tabla15[[#This Row],[N° 
Evento]],'Eventos de riesgos'!B:M,12,0)</f>
        <v>22 - Hurto y Fraude</v>
      </c>
      <c r="Z147" s="59" t="str">
        <f>VLOOKUP(Tabla15[[#This Row],[N° 
Evento]],'Eventos de riesgos'!B:N,13,0)</f>
        <v>221 - Robo o Hurto</v>
      </c>
      <c r="AA147" s="59" t="str">
        <f>+VLOOKUP(Tabla15[[#This Row],[N° 
Evento]],'Eventos de riesgos'!$B$1:$AA$87,23,0)</f>
        <v>Suplantacion de Identidad y robo a asociados</v>
      </c>
      <c r="AB147" s="54" t="str">
        <f>VLOOKUP(Tabla15[[#This Row],[N° 
Evento]],'Eventos de riesgos'!B:O,14,0)</f>
        <v>Ninguna</v>
      </c>
      <c r="AC147" s="60">
        <f>VLOOKUP(Tabla15[[#This Row],[N° 
Evento]],'Eventos de riesgos'!B:P,15,0)</f>
        <v>45473.622916666667</v>
      </c>
      <c r="AD147" s="54" t="str">
        <f>VLOOKUP(Tabla15[[#This Row],[N° 
Evento]],'Eventos de riesgos'!B:Q,16,0)</f>
        <v>Ahorros voluntarios</v>
      </c>
      <c r="AE147" s="54" t="str">
        <f>VLOOKUP(Tabla15[[#This Row],[N° 
Evento]],'Eventos de riesgos'!B:R,17,0)</f>
        <v>Cooperativa Digital</v>
      </c>
      <c r="AF147" s="56" t="str">
        <f>VLOOKUP(Tabla15[[#This Row],[N° 
Evento]],'Eventos de riesgos'!B:V,21,0)</f>
        <v>Aprobado</v>
      </c>
      <c r="AG147" s="59" t="str">
        <f>VLOOKUP(Tabla15[[#This Row],[N° 
Evento]],'Eventos de riesgos'!B:W,22,0)</f>
        <v>05/06/2024 15:04:09: Creado
02/07/2024 15:00:15: Registro completo</v>
      </c>
    </row>
    <row r="148" spans="3:33" ht="59" customHeight="1" x14ac:dyDescent="0.55000000000000004">
      <c r="C148" s="54" t="str">
        <f>+Tabla15[[#This Row],[N° 
Evento]]&amp;"-"&amp;Tabla15[[#This Row],[N° Tarea]]</f>
        <v>58-13</v>
      </c>
      <c r="D148" s="54">
        <v>58</v>
      </c>
      <c r="E148" s="54">
        <v>13</v>
      </c>
      <c r="F148" s="55" t="s">
        <v>479</v>
      </c>
      <c r="G148" s="44" t="s">
        <v>1052</v>
      </c>
      <c r="H148" s="59" t="s">
        <v>763</v>
      </c>
      <c r="I148" s="56" t="s">
        <v>95</v>
      </c>
      <c r="J148" s="57">
        <v>45456</v>
      </c>
      <c r="K148" s="57">
        <v>45456</v>
      </c>
      <c r="L148" s="47" t="str">
        <f>IF(Tabla15[[#This Row],[Fecha de Finalización]]&gt;0,"Cerrada","En Proceso")</f>
        <v>Cerrada</v>
      </c>
      <c r="M148" s="58">
        <f t="shared" si="3"/>
        <v>0</v>
      </c>
      <c r="N148" s="59"/>
      <c r="O148" s="54">
        <f>VLOOKUP(Tabla15[[#This Row],[N° 
Evento]],'Eventos de riesgos'!B:C,2,0)</f>
        <v>2024</v>
      </c>
      <c r="P148" s="54" t="str">
        <f>VLOOKUP(Tabla15[[#This Row],[N° 
Evento]],'Eventos de riesgos'!B:D,3,0)</f>
        <v>May</v>
      </c>
      <c r="Q148" s="60">
        <f>VLOOKUP(Tabla15[[#This Row],[N° 
Evento]],'Eventos de riesgos'!B:E,4,0)</f>
        <v>45442.568055555559</v>
      </c>
      <c r="R148" s="60">
        <f>VLOOKUP(Tabla15[[#This Row],[N° 
Evento]],'Eventos de riesgos'!B:F,5,0)</f>
        <v>45447.568749999999</v>
      </c>
      <c r="S148" s="60">
        <f>VLOOKUP(Tabla15[[#This Row],[N° 
Evento]],'Eventos de riesgos'!B:G,6,0)</f>
        <v>45447.568749999999</v>
      </c>
      <c r="T148"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8" s="61">
        <f>VLOOKUP(Tabla15[[#This Row],[N° 
Evento]],'Eventos de riesgos'!B:I,8,0)</f>
        <v>29100000</v>
      </c>
      <c r="V148" s="61">
        <f>VLOOKUP(Tabla15[[#This Row],[N° 
Evento]],'Eventos de riesgos'!B:J,9,0)</f>
        <v>0</v>
      </c>
      <c r="W148" s="61">
        <f>VLOOKUP(Tabla15[[#This Row],[N° 
Evento]],'Eventos de riesgos'!B:K,10,0)</f>
        <v>0</v>
      </c>
      <c r="X148" s="59" t="str">
        <f>VLOOKUP(Tabla15[[#This Row],[N° 
Evento]],'Eventos de riesgos'!B:L,11,0)</f>
        <v>2 - Fraude Externo</v>
      </c>
      <c r="Y148" s="59" t="str">
        <f>VLOOKUP(Tabla15[[#This Row],[N° 
Evento]],'Eventos de riesgos'!B:M,12,0)</f>
        <v>22 - Hurto y Fraude</v>
      </c>
      <c r="Z148" s="59" t="str">
        <f>VLOOKUP(Tabla15[[#This Row],[N° 
Evento]],'Eventos de riesgos'!B:N,13,0)</f>
        <v>221 - Robo o Hurto</v>
      </c>
      <c r="AA148" s="59" t="str">
        <f>+VLOOKUP(Tabla15[[#This Row],[N° 
Evento]],'Eventos de riesgos'!$B$1:$AA$87,23,0)</f>
        <v>Suplantacion de Identidad y robo a asociados</v>
      </c>
      <c r="AB148" s="54" t="str">
        <f>VLOOKUP(Tabla15[[#This Row],[N° 
Evento]],'Eventos de riesgos'!B:O,14,0)</f>
        <v>Ninguna</v>
      </c>
      <c r="AC148" s="60">
        <f>VLOOKUP(Tabla15[[#This Row],[N° 
Evento]],'Eventos de riesgos'!B:P,15,0)</f>
        <v>45473.622916666667</v>
      </c>
      <c r="AD148" s="54" t="str">
        <f>VLOOKUP(Tabla15[[#This Row],[N° 
Evento]],'Eventos de riesgos'!B:Q,16,0)</f>
        <v>Ahorros voluntarios</v>
      </c>
      <c r="AE148" s="54" t="str">
        <f>VLOOKUP(Tabla15[[#This Row],[N° 
Evento]],'Eventos de riesgos'!B:R,17,0)</f>
        <v>Cooperativa Digital</v>
      </c>
      <c r="AF148" s="56" t="str">
        <f>VLOOKUP(Tabla15[[#This Row],[N° 
Evento]],'Eventos de riesgos'!B:V,21,0)</f>
        <v>Aprobado</v>
      </c>
      <c r="AG148" s="59" t="str">
        <f>VLOOKUP(Tabla15[[#This Row],[N° 
Evento]],'Eventos de riesgos'!B:W,22,0)</f>
        <v>05/06/2024 15:04:09: Creado
02/07/2024 15:00:15: Registro completo</v>
      </c>
    </row>
    <row r="149" spans="3:33" ht="59" customHeight="1" x14ac:dyDescent="0.55000000000000004">
      <c r="C149" s="54" t="str">
        <f>+Tabla15[[#This Row],[N° 
Evento]]&amp;"-"&amp;Tabla15[[#This Row],[N° Tarea]]</f>
        <v>58-14</v>
      </c>
      <c r="D149" s="54">
        <v>58</v>
      </c>
      <c r="E149" s="54">
        <v>14</v>
      </c>
      <c r="F149" s="55" t="s">
        <v>480</v>
      </c>
      <c r="G149" s="44" t="s">
        <v>1052</v>
      </c>
      <c r="H149" s="59" t="s">
        <v>215</v>
      </c>
      <c r="I149" s="56" t="s">
        <v>91</v>
      </c>
      <c r="J149" s="57">
        <v>45462</v>
      </c>
      <c r="K149" s="57">
        <v>45462</v>
      </c>
      <c r="L149" s="47" t="str">
        <f>IF(Tabla15[[#This Row],[Fecha de Finalización]]&gt;0,"Cerrada","En Proceso")</f>
        <v>Cerrada</v>
      </c>
      <c r="M149" s="58">
        <f t="shared" si="3"/>
        <v>0</v>
      </c>
      <c r="N149" s="59" t="s">
        <v>481</v>
      </c>
      <c r="O149" s="54">
        <f>VLOOKUP(Tabla15[[#This Row],[N° 
Evento]],'Eventos de riesgos'!B:C,2,0)</f>
        <v>2024</v>
      </c>
      <c r="P149" s="54" t="str">
        <f>VLOOKUP(Tabla15[[#This Row],[N° 
Evento]],'Eventos de riesgos'!B:D,3,0)</f>
        <v>May</v>
      </c>
      <c r="Q149" s="60">
        <f>VLOOKUP(Tabla15[[#This Row],[N° 
Evento]],'Eventos de riesgos'!B:E,4,0)</f>
        <v>45442.568055555559</v>
      </c>
      <c r="R149" s="60">
        <f>VLOOKUP(Tabla15[[#This Row],[N° 
Evento]],'Eventos de riesgos'!B:F,5,0)</f>
        <v>45447.568749999999</v>
      </c>
      <c r="S149" s="60">
        <f>VLOOKUP(Tabla15[[#This Row],[N° 
Evento]],'Eventos de riesgos'!B:G,6,0)</f>
        <v>45447.568749999999</v>
      </c>
      <c r="T149"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9" s="61">
        <f>VLOOKUP(Tabla15[[#This Row],[N° 
Evento]],'Eventos de riesgos'!B:I,8,0)</f>
        <v>29100000</v>
      </c>
      <c r="V149" s="61">
        <f>VLOOKUP(Tabla15[[#This Row],[N° 
Evento]],'Eventos de riesgos'!B:J,9,0)</f>
        <v>0</v>
      </c>
      <c r="W149" s="61">
        <f>VLOOKUP(Tabla15[[#This Row],[N° 
Evento]],'Eventos de riesgos'!B:K,10,0)</f>
        <v>0</v>
      </c>
      <c r="X149" s="59" t="str">
        <f>VLOOKUP(Tabla15[[#This Row],[N° 
Evento]],'Eventos de riesgos'!B:L,11,0)</f>
        <v>2 - Fraude Externo</v>
      </c>
      <c r="Y149" s="59" t="str">
        <f>VLOOKUP(Tabla15[[#This Row],[N° 
Evento]],'Eventos de riesgos'!B:M,12,0)</f>
        <v>22 - Hurto y Fraude</v>
      </c>
      <c r="Z149" s="59" t="str">
        <f>VLOOKUP(Tabla15[[#This Row],[N° 
Evento]],'Eventos de riesgos'!B:N,13,0)</f>
        <v>221 - Robo o Hurto</v>
      </c>
      <c r="AA149" s="59" t="str">
        <f>+VLOOKUP(Tabla15[[#This Row],[N° 
Evento]],'Eventos de riesgos'!$B$1:$AA$87,23,0)</f>
        <v>Suplantacion de Identidad y robo a asociados</v>
      </c>
      <c r="AB149" s="54" t="str">
        <f>VLOOKUP(Tabla15[[#This Row],[N° 
Evento]],'Eventos de riesgos'!B:O,14,0)</f>
        <v>Ninguna</v>
      </c>
      <c r="AC149" s="60">
        <f>VLOOKUP(Tabla15[[#This Row],[N° 
Evento]],'Eventos de riesgos'!B:P,15,0)</f>
        <v>45473.622916666667</v>
      </c>
      <c r="AD149" s="54" t="str">
        <f>VLOOKUP(Tabla15[[#This Row],[N° 
Evento]],'Eventos de riesgos'!B:Q,16,0)</f>
        <v>Ahorros voluntarios</v>
      </c>
      <c r="AE149" s="54" t="str">
        <f>VLOOKUP(Tabla15[[#This Row],[N° 
Evento]],'Eventos de riesgos'!B:R,17,0)</f>
        <v>Cooperativa Digital</v>
      </c>
      <c r="AF149" s="56" t="str">
        <f>VLOOKUP(Tabla15[[#This Row],[N° 
Evento]],'Eventos de riesgos'!B:V,21,0)</f>
        <v>Aprobado</v>
      </c>
      <c r="AG149" s="59" t="str">
        <f>VLOOKUP(Tabla15[[#This Row],[N° 
Evento]],'Eventos de riesgos'!B:W,22,0)</f>
        <v>05/06/2024 15:04:09: Creado
02/07/2024 15:00:15: Registro completo</v>
      </c>
    </row>
    <row r="150" spans="3:33" ht="59" customHeight="1" x14ac:dyDescent="0.55000000000000004">
      <c r="C150" s="54" t="str">
        <f>+Tabla15[[#This Row],[N° 
Evento]]&amp;"-"&amp;Tabla15[[#This Row],[N° Tarea]]</f>
        <v>58-15</v>
      </c>
      <c r="D150" s="54">
        <v>58</v>
      </c>
      <c r="E150" s="54">
        <v>15</v>
      </c>
      <c r="F150" s="55" t="s">
        <v>482</v>
      </c>
      <c r="G150" s="44" t="s">
        <v>1052</v>
      </c>
      <c r="H150" s="59" t="s">
        <v>233</v>
      </c>
      <c r="I150" s="56" t="s">
        <v>240</v>
      </c>
      <c r="J150" s="57">
        <v>45463</v>
      </c>
      <c r="K150" s="57">
        <v>45463</v>
      </c>
      <c r="L150" s="47" t="str">
        <f>IF(Tabla15[[#This Row],[Fecha de Finalización]]&gt;0,"Cerrada","En Proceso")</f>
        <v>Cerrada</v>
      </c>
      <c r="M150" s="58">
        <f t="shared" ref="M150:M181" si="5">+K150-J150</f>
        <v>0</v>
      </c>
      <c r="N150" s="59"/>
      <c r="O150" s="54">
        <f>VLOOKUP(Tabla15[[#This Row],[N° 
Evento]],'Eventos de riesgos'!B:C,2,0)</f>
        <v>2024</v>
      </c>
      <c r="P150" s="54" t="str">
        <f>VLOOKUP(Tabla15[[#This Row],[N° 
Evento]],'Eventos de riesgos'!B:D,3,0)</f>
        <v>May</v>
      </c>
      <c r="Q150" s="60">
        <f>VLOOKUP(Tabla15[[#This Row],[N° 
Evento]],'Eventos de riesgos'!B:E,4,0)</f>
        <v>45442.568055555559</v>
      </c>
      <c r="R150" s="60">
        <f>VLOOKUP(Tabla15[[#This Row],[N° 
Evento]],'Eventos de riesgos'!B:F,5,0)</f>
        <v>45447.568749999999</v>
      </c>
      <c r="S150" s="60">
        <f>VLOOKUP(Tabla15[[#This Row],[N° 
Evento]],'Eventos de riesgos'!B:G,6,0)</f>
        <v>45447.568749999999</v>
      </c>
      <c r="T150"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0" s="61">
        <f>VLOOKUP(Tabla15[[#This Row],[N° 
Evento]],'Eventos de riesgos'!B:I,8,0)</f>
        <v>29100000</v>
      </c>
      <c r="V150" s="61">
        <f>VLOOKUP(Tabla15[[#This Row],[N° 
Evento]],'Eventos de riesgos'!B:J,9,0)</f>
        <v>0</v>
      </c>
      <c r="W150" s="61">
        <f>VLOOKUP(Tabla15[[#This Row],[N° 
Evento]],'Eventos de riesgos'!B:K,10,0)</f>
        <v>0</v>
      </c>
      <c r="X150" s="59" t="str">
        <f>VLOOKUP(Tabla15[[#This Row],[N° 
Evento]],'Eventos de riesgos'!B:L,11,0)</f>
        <v>2 - Fraude Externo</v>
      </c>
      <c r="Y150" s="59" t="str">
        <f>VLOOKUP(Tabla15[[#This Row],[N° 
Evento]],'Eventos de riesgos'!B:M,12,0)</f>
        <v>22 - Hurto y Fraude</v>
      </c>
      <c r="Z150" s="59" t="str">
        <f>VLOOKUP(Tabla15[[#This Row],[N° 
Evento]],'Eventos de riesgos'!B:N,13,0)</f>
        <v>221 - Robo o Hurto</v>
      </c>
      <c r="AA150" s="59" t="str">
        <f>+VLOOKUP(Tabla15[[#This Row],[N° 
Evento]],'Eventos de riesgos'!$B$1:$AA$87,23,0)</f>
        <v>Suplantacion de Identidad y robo a asociados</v>
      </c>
      <c r="AB150" s="54" t="str">
        <f>VLOOKUP(Tabla15[[#This Row],[N° 
Evento]],'Eventos de riesgos'!B:O,14,0)</f>
        <v>Ninguna</v>
      </c>
      <c r="AC150" s="60">
        <f>VLOOKUP(Tabla15[[#This Row],[N° 
Evento]],'Eventos de riesgos'!B:P,15,0)</f>
        <v>45473.622916666667</v>
      </c>
      <c r="AD150" s="54" t="str">
        <f>VLOOKUP(Tabla15[[#This Row],[N° 
Evento]],'Eventos de riesgos'!B:Q,16,0)</f>
        <v>Ahorros voluntarios</v>
      </c>
      <c r="AE150" s="54" t="str">
        <f>VLOOKUP(Tabla15[[#This Row],[N° 
Evento]],'Eventos de riesgos'!B:R,17,0)</f>
        <v>Cooperativa Digital</v>
      </c>
      <c r="AF150" s="56" t="str">
        <f>VLOOKUP(Tabla15[[#This Row],[N° 
Evento]],'Eventos de riesgos'!B:V,21,0)</f>
        <v>Aprobado</v>
      </c>
      <c r="AG150" s="59" t="str">
        <f>VLOOKUP(Tabla15[[#This Row],[N° 
Evento]],'Eventos de riesgos'!B:W,22,0)</f>
        <v>05/06/2024 15:04:09: Creado
02/07/2024 15:00:15: Registro completo</v>
      </c>
    </row>
    <row r="151" spans="3:33" ht="59" customHeight="1" x14ac:dyDescent="0.55000000000000004">
      <c r="C151" s="54" t="str">
        <f>+Tabla15[[#This Row],[N° 
Evento]]&amp;"-"&amp;Tabla15[[#This Row],[N° Tarea]]</f>
        <v>58-16</v>
      </c>
      <c r="D151" s="54">
        <v>58</v>
      </c>
      <c r="E151" s="54">
        <v>16</v>
      </c>
      <c r="F151" s="55" t="s">
        <v>485</v>
      </c>
      <c r="G151" s="44" t="s">
        <v>1053</v>
      </c>
      <c r="H151" s="44" t="s">
        <v>771</v>
      </c>
      <c r="I151" s="56" t="s">
        <v>273</v>
      </c>
      <c r="J151" s="57">
        <v>45450</v>
      </c>
      <c r="K151" s="57">
        <v>45626</v>
      </c>
      <c r="L151" s="47" t="str">
        <f>IF(Tabla15[[#This Row],[Fecha de Finalización]]&gt;0,"Cerrada","En Proceso")</f>
        <v>Cerrada</v>
      </c>
      <c r="M151" s="58">
        <f t="shared" si="5"/>
        <v>176</v>
      </c>
      <c r="N151" s="59" t="s">
        <v>870</v>
      </c>
      <c r="O151" s="54">
        <f>VLOOKUP(Tabla15[[#This Row],[N° 
Evento]],'Eventos de riesgos'!B:C,2,0)</f>
        <v>2024</v>
      </c>
      <c r="P151" s="54" t="str">
        <f>VLOOKUP(Tabla15[[#This Row],[N° 
Evento]],'Eventos de riesgos'!B:D,3,0)</f>
        <v>May</v>
      </c>
      <c r="Q151" s="60">
        <f>VLOOKUP(Tabla15[[#This Row],[N° 
Evento]],'Eventos de riesgos'!B:E,4,0)</f>
        <v>45442.568055555559</v>
      </c>
      <c r="R151" s="60">
        <f>VLOOKUP(Tabla15[[#This Row],[N° 
Evento]],'Eventos de riesgos'!B:F,5,0)</f>
        <v>45447.568749999999</v>
      </c>
      <c r="S151" s="60">
        <f>VLOOKUP(Tabla15[[#This Row],[N° 
Evento]],'Eventos de riesgos'!B:G,6,0)</f>
        <v>45447.568749999999</v>
      </c>
      <c r="T151"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1" s="61">
        <f>VLOOKUP(Tabla15[[#This Row],[N° 
Evento]],'Eventos de riesgos'!B:I,8,0)</f>
        <v>29100000</v>
      </c>
      <c r="V151" s="61">
        <f>VLOOKUP(Tabla15[[#This Row],[N° 
Evento]],'Eventos de riesgos'!B:J,9,0)</f>
        <v>0</v>
      </c>
      <c r="W151" s="61">
        <f>VLOOKUP(Tabla15[[#This Row],[N° 
Evento]],'Eventos de riesgos'!B:K,10,0)</f>
        <v>0</v>
      </c>
      <c r="X151" s="59" t="str">
        <f>VLOOKUP(Tabla15[[#This Row],[N° 
Evento]],'Eventos de riesgos'!B:L,11,0)</f>
        <v>2 - Fraude Externo</v>
      </c>
      <c r="Y151" s="59" t="str">
        <f>VLOOKUP(Tabla15[[#This Row],[N° 
Evento]],'Eventos de riesgos'!B:M,12,0)</f>
        <v>22 - Hurto y Fraude</v>
      </c>
      <c r="Z151" s="59" t="str">
        <f>VLOOKUP(Tabla15[[#This Row],[N° 
Evento]],'Eventos de riesgos'!B:N,13,0)</f>
        <v>221 - Robo o Hurto</v>
      </c>
      <c r="AA151" s="59" t="str">
        <f>+VLOOKUP(Tabla15[[#This Row],[N° 
Evento]],'Eventos de riesgos'!$B$1:$AA$87,23,0)</f>
        <v>Suplantacion de Identidad y robo a asociados</v>
      </c>
      <c r="AB151" s="54" t="str">
        <f>VLOOKUP(Tabla15[[#This Row],[N° 
Evento]],'Eventos de riesgos'!B:O,14,0)</f>
        <v>Ninguna</v>
      </c>
      <c r="AC151" s="60">
        <f>VLOOKUP(Tabla15[[#This Row],[N° 
Evento]],'Eventos de riesgos'!B:P,15,0)</f>
        <v>45473.622916666667</v>
      </c>
      <c r="AD151" s="54" t="str">
        <f>VLOOKUP(Tabla15[[#This Row],[N° 
Evento]],'Eventos de riesgos'!B:Q,16,0)</f>
        <v>Ahorros voluntarios</v>
      </c>
      <c r="AE151" s="54" t="str">
        <f>VLOOKUP(Tabla15[[#This Row],[N° 
Evento]],'Eventos de riesgos'!B:R,17,0)</f>
        <v>Cooperativa Digital</v>
      </c>
      <c r="AF151" s="56" t="str">
        <f>VLOOKUP(Tabla15[[#This Row],[N° 
Evento]],'Eventos de riesgos'!B:V,21,0)</f>
        <v>Aprobado</v>
      </c>
      <c r="AG151" s="59" t="str">
        <f>VLOOKUP(Tabla15[[#This Row],[N° 
Evento]],'Eventos de riesgos'!B:W,22,0)</f>
        <v>05/06/2024 15:04:09: Creado
02/07/2024 15:00:15: Registro completo</v>
      </c>
    </row>
    <row r="152" spans="3:33" ht="59" customHeight="1" x14ac:dyDescent="0.55000000000000004">
      <c r="C152" s="54" t="str">
        <f>+Tabla15[[#This Row],[N° 
Evento]]&amp;"-"&amp;Tabla15[[#This Row],[N° Tarea]]</f>
        <v>58-17</v>
      </c>
      <c r="D152" s="54">
        <v>58</v>
      </c>
      <c r="E152" s="54">
        <v>17</v>
      </c>
      <c r="F152" s="55" t="s">
        <v>486</v>
      </c>
      <c r="G152" s="44" t="s">
        <v>1053</v>
      </c>
      <c r="H152" s="59" t="s">
        <v>367</v>
      </c>
      <c r="I152" s="56" t="s">
        <v>104</v>
      </c>
      <c r="J152" s="57">
        <v>45450</v>
      </c>
      <c r="K152" s="57">
        <v>45450</v>
      </c>
      <c r="L152" s="47" t="str">
        <f>IF(Tabla15[[#This Row],[Fecha de Finalización]]&gt;0,"Cerrada","En Proceso")</f>
        <v>Cerrada</v>
      </c>
      <c r="M152" s="58">
        <f t="shared" si="5"/>
        <v>0</v>
      </c>
      <c r="N152" s="59" t="s">
        <v>487</v>
      </c>
      <c r="O152" s="54">
        <f>VLOOKUP(Tabla15[[#This Row],[N° 
Evento]],'Eventos de riesgos'!B:C,2,0)</f>
        <v>2024</v>
      </c>
      <c r="P152" s="54" t="str">
        <f>VLOOKUP(Tabla15[[#This Row],[N° 
Evento]],'Eventos de riesgos'!B:D,3,0)</f>
        <v>May</v>
      </c>
      <c r="Q152" s="60">
        <f>VLOOKUP(Tabla15[[#This Row],[N° 
Evento]],'Eventos de riesgos'!B:E,4,0)</f>
        <v>45442.568055555559</v>
      </c>
      <c r="R152" s="60">
        <f>VLOOKUP(Tabla15[[#This Row],[N° 
Evento]],'Eventos de riesgos'!B:F,5,0)</f>
        <v>45447.568749999999</v>
      </c>
      <c r="S152" s="60">
        <f>VLOOKUP(Tabla15[[#This Row],[N° 
Evento]],'Eventos de riesgos'!B:G,6,0)</f>
        <v>45447.568749999999</v>
      </c>
      <c r="T152"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2" s="61">
        <f>VLOOKUP(Tabla15[[#This Row],[N° 
Evento]],'Eventos de riesgos'!B:I,8,0)</f>
        <v>29100000</v>
      </c>
      <c r="V152" s="61">
        <f>VLOOKUP(Tabla15[[#This Row],[N° 
Evento]],'Eventos de riesgos'!B:J,9,0)</f>
        <v>0</v>
      </c>
      <c r="W152" s="61">
        <f>VLOOKUP(Tabla15[[#This Row],[N° 
Evento]],'Eventos de riesgos'!B:K,10,0)</f>
        <v>0</v>
      </c>
      <c r="X152" s="59" t="str">
        <f>VLOOKUP(Tabla15[[#This Row],[N° 
Evento]],'Eventos de riesgos'!B:L,11,0)</f>
        <v>2 - Fraude Externo</v>
      </c>
      <c r="Y152" s="59" t="str">
        <f>VLOOKUP(Tabla15[[#This Row],[N° 
Evento]],'Eventos de riesgos'!B:M,12,0)</f>
        <v>22 - Hurto y Fraude</v>
      </c>
      <c r="Z152" s="59" t="str">
        <f>VLOOKUP(Tabla15[[#This Row],[N° 
Evento]],'Eventos de riesgos'!B:N,13,0)</f>
        <v>221 - Robo o Hurto</v>
      </c>
      <c r="AA152" s="59" t="str">
        <f>+VLOOKUP(Tabla15[[#This Row],[N° 
Evento]],'Eventos de riesgos'!$B$1:$AA$87,23,0)</f>
        <v>Suplantacion de Identidad y robo a asociados</v>
      </c>
      <c r="AB152" s="54" t="str">
        <f>VLOOKUP(Tabla15[[#This Row],[N° 
Evento]],'Eventos de riesgos'!B:O,14,0)</f>
        <v>Ninguna</v>
      </c>
      <c r="AC152" s="60">
        <f>VLOOKUP(Tabla15[[#This Row],[N° 
Evento]],'Eventos de riesgos'!B:P,15,0)</f>
        <v>45473.622916666667</v>
      </c>
      <c r="AD152" s="54" t="str">
        <f>VLOOKUP(Tabla15[[#This Row],[N° 
Evento]],'Eventos de riesgos'!B:Q,16,0)</f>
        <v>Ahorros voluntarios</v>
      </c>
      <c r="AE152" s="54" t="str">
        <f>VLOOKUP(Tabla15[[#This Row],[N° 
Evento]],'Eventos de riesgos'!B:R,17,0)</f>
        <v>Cooperativa Digital</v>
      </c>
      <c r="AF152" s="56" t="str">
        <f>VLOOKUP(Tabla15[[#This Row],[N° 
Evento]],'Eventos de riesgos'!B:V,21,0)</f>
        <v>Aprobado</v>
      </c>
      <c r="AG152" s="59" t="str">
        <f>VLOOKUP(Tabla15[[#This Row],[N° 
Evento]],'Eventos de riesgos'!B:W,22,0)</f>
        <v>05/06/2024 15:04:09: Creado
02/07/2024 15:00:15: Registro completo</v>
      </c>
    </row>
    <row r="153" spans="3:33" ht="59" customHeight="1" x14ac:dyDescent="0.55000000000000004">
      <c r="C153" s="54" t="str">
        <f>+Tabla15[[#This Row],[N° 
Evento]]&amp;"-"&amp;Tabla15[[#This Row],[N° Tarea]]</f>
        <v>58-19</v>
      </c>
      <c r="D153" s="54">
        <v>58</v>
      </c>
      <c r="E153" s="54">
        <v>19</v>
      </c>
      <c r="F153" s="55" t="s">
        <v>488</v>
      </c>
      <c r="G153" s="44" t="s">
        <v>1053</v>
      </c>
      <c r="H153" s="59" t="s">
        <v>765</v>
      </c>
      <c r="I153" s="56" t="s">
        <v>259</v>
      </c>
      <c r="J153" s="57">
        <v>45450</v>
      </c>
      <c r="K153" s="57">
        <v>45513</v>
      </c>
      <c r="L153" s="47" t="str">
        <f>IF(Tabla15[[#This Row],[Fecha de Finalización]]&gt;0,"Cerrada","En Proceso")</f>
        <v>Cerrada</v>
      </c>
      <c r="M153" s="58">
        <f t="shared" si="5"/>
        <v>63</v>
      </c>
      <c r="N153" s="59" t="s">
        <v>871</v>
      </c>
      <c r="O153" s="54">
        <f>VLOOKUP(Tabla15[[#This Row],[N° 
Evento]],'Eventos de riesgos'!B:C,2,0)</f>
        <v>2024</v>
      </c>
      <c r="P153" s="54" t="str">
        <f>VLOOKUP(Tabla15[[#This Row],[N° 
Evento]],'Eventos de riesgos'!B:D,3,0)</f>
        <v>May</v>
      </c>
      <c r="Q153" s="60">
        <f>VLOOKUP(Tabla15[[#This Row],[N° 
Evento]],'Eventos de riesgos'!B:E,4,0)</f>
        <v>45442.568055555559</v>
      </c>
      <c r="R153" s="60">
        <f>VLOOKUP(Tabla15[[#This Row],[N° 
Evento]],'Eventos de riesgos'!B:F,5,0)</f>
        <v>45447.568749999999</v>
      </c>
      <c r="S153" s="60">
        <f>VLOOKUP(Tabla15[[#This Row],[N° 
Evento]],'Eventos de riesgos'!B:G,6,0)</f>
        <v>45447.568749999999</v>
      </c>
      <c r="T153"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3" s="61">
        <f>VLOOKUP(Tabla15[[#This Row],[N° 
Evento]],'Eventos de riesgos'!B:I,8,0)</f>
        <v>29100000</v>
      </c>
      <c r="V153" s="61">
        <f>VLOOKUP(Tabla15[[#This Row],[N° 
Evento]],'Eventos de riesgos'!B:J,9,0)</f>
        <v>0</v>
      </c>
      <c r="W153" s="61">
        <f>VLOOKUP(Tabla15[[#This Row],[N° 
Evento]],'Eventos de riesgos'!B:K,10,0)</f>
        <v>0</v>
      </c>
      <c r="X153" s="59" t="str">
        <f>VLOOKUP(Tabla15[[#This Row],[N° 
Evento]],'Eventos de riesgos'!B:L,11,0)</f>
        <v>2 - Fraude Externo</v>
      </c>
      <c r="Y153" s="59" t="str">
        <f>VLOOKUP(Tabla15[[#This Row],[N° 
Evento]],'Eventos de riesgos'!B:M,12,0)</f>
        <v>22 - Hurto y Fraude</v>
      </c>
      <c r="Z153" s="59" t="str">
        <f>VLOOKUP(Tabla15[[#This Row],[N° 
Evento]],'Eventos de riesgos'!B:N,13,0)</f>
        <v>221 - Robo o Hurto</v>
      </c>
      <c r="AA153" s="59" t="str">
        <f>+VLOOKUP(Tabla15[[#This Row],[N° 
Evento]],'Eventos de riesgos'!$B$1:$AA$87,23,0)</f>
        <v>Suplantacion de Identidad y robo a asociados</v>
      </c>
      <c r="AB153" s="54" t="str">
        <f>VLOOKUP(Tabla15[[#This Row],[N° 
Evento]],'Eventos de riesgos'!B:O,14,0)</f>
        <v>Ninguna</v>
      </c>
      <c r="AC153" s="60">
        <f>VLOOKUP(Tabla15[[#This Row],[N° 
Evento]],'Eventos de riesgos'!B:P,15,0)</f>
        <v>45473.622916666667</v>
      </c>
      <c r="AD153" s="54" t="str">
        <f>VLOOKUP(Tabla15[[#This Row],[N° 
Evento]],'Eventos de riesgos'!B:Q,16,0)</f>
        <v>Ahorros voluntarios</v>
      </c>
      <c r="AE153" s="54" t="str">
        <f>VLOOKUP(Tabla15[[#This Row],[N° 
Evento]],'Eventos de riesgos'!B:R,17,0)</f>
        <v>Cooperativa Digital</v>
      </c>
      <c r="AF153" s="56" t="str">
        <f>VLOOKUP(Tabla15[[#This Row],[N° 
Evento]],'Eventos de riesgos'!B:V,21,0)</f>
        <v>Aprobado</v>
      </c>
      <c r="AG153" s="59" t="str">
        <f>VLOOKUP(Tabla15[[#This Row],[N° 
Evento]],'Eventos de riesgos'!B:W,22,0)</f>
        <v>05/06/2024 15:04:09: Creado
02/07/2024 15:00:15: Registro completo</v>
      </c>
    </row>
    <row r="154" spans="3:33" ht="59" customHeight="1" x14ac:dyDescent="0.55000000000000004">
      <c r="C154" s="54" t="str">
        <f>+Tabla15[[#This Row],[N° 
Evento]]&amp;"-"&amp;Tabla15[[#This Row],[N° Tarea]]</f>
        <v>59-1</v>
      </c>
      <c r="D154" s="54">
        <v>59</v>
      </c>
      <c r="E154" s="54">
        <v>1</v>
      </c>
      <c r="F154" s="55" t="s">
        <v>489</v>
      </c>
      <c r="G154" s="44" t="s">
        <v>1052</v>
      </c>
      <c r="H154" s="59" t="s">
        <v>215</v>
      </c>
      <c r="I154" s="56" t="s">
        <v>91</v>
      </c>
      <c r="J154" s="57">
        <v>45462</v>
      </c>
      <c r="K154" s="57">
        <v>45462</v>
      </c>
      <c r="L154" s="47" t="str">
        <f>IF(Tabla15[[#This Row],[Fecha de Finalización]]&gt;0,"Cerrada","En Proceso")</f>
        <v>Cerrada</v>
      </c>
      <c r="M154" s="58">
        <f t="shared" si="5"/>
        <v>0</v>
      </c>
      <c r="N154" s="59" t="s">
        <v>566</v>
      </c>
      <c r="O154" s="54">
        <f>VLOOKUP(Tabla15[[#This Row],[N° 
Evento]],'Eventos de riesgos'!B:C,2,0)</f>
        <v>2024</v>
      </c>
      <c r="P154" s="54" t="str">
        <f>VLOOKUP(Tabla15[[#This Row],[N° 
Evento]],'Eventos de riesgos'!B:D,3,0)</f>
        <v>Jun</v>
      </c>
      <c r="Q154" s="60">
        <f>VLOOKUP(Tabla15[[#This Row],[N° 
Evento]],'Eventos de riesgos'!B:E,4,0)</f>
        <v>45461.702777777777</v>
      </c>
      <c r="R154" s="60">
        <f>VLOOKUP(Tabla15[[#This Row],[N° 
Evento]],'Eventos de riesgos'!B:F,5,0)</f>
        <v>45462.702777777777</v>
      </c>
      <c r="S154" s="60">
        <f>VLOOKUP(Tabla15[[#This Row],[N° 
Evento]],'Eventos de riesgos'!B:G,6,0)</f>
        <v>45462.702777777777</v>
      </c>
      <c r="T154" s="63" t="str">
        <f>VLOOKUP(Tabla15[[#This Row],[N° 
Evento]],'Eventos de riesgos'!B:H,7,0)</f>
        <v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v>
      </c>
      <c r="U154" s="61">
        <f>VLOOKUP(Tabla15[[#This Row],[N° 
Evento]],'Eventos de riesgos'!B:I,8,0)</f>
        <v>300000</v>
      </c>
      <c r="V154" s="61">
        <f>VLOOKUP(Tabla15[[#This Row],[N° 
Evento]],'Eventos de riesgos'!B:J,9,0)</f>
        <v>0</v>
      </c>
      <c r="W154" s="61">
        <f>VLOOKUP(Tabla15[[#This Row],[N° 
Evento]],'Eventos de riesgos'!B:K,10,0)</f>
        <v>0</v>
      </c>
      <c r="X154" s="59" t="str">
        <f>VLOOKUP(Tabla15[[#This Row],[N° 
Evento]],'Eventos de riesgos'!B:L,11,0)</f>
        <v>2 - Fraude Externo</v>
      </c>
      <c r="Y154" s="59" t="str">
        <f>VLOOKUP(Tabla15[[#This Row],[N° 
Evento]],'Eventos de riesgos'!B:M,12,0)</f>
        <v>22 - Hurto y Fraude</v>
      </c>
      <c r="Z154" s="59" t="str">
        <f>VLOOKUP(Tabla15[[#This Row],[N° 
Evento]],'Eventos de riesgos'!B:N,13,0)</f>
        <v>221 - Robo o Hurto</v>
      </c>
      <c r="AA154" s="59" t="str">
        <f>+VLOOKUP(Tabla15[[#This Row],[N° 
Evento]],'Eventos de riesgos'!$B$1:$AA$87,23,0)</f>
        <v>Suplantacion de Identidad y robo a asociados</v>
      </c>
      <c r="AB154" s="54" t="str">
        <f>VLOOKUP(Tabla15[[#This Row],[N° 
Evento]],'Eventos de riesgos'!B:O,14,0)</f>
        <v>Ninguna</v>
      </c>
      <c r="AC154" s="60">
        <f>VLOOKUP(Tabla15[[#This Row],[N° 
Evento]],'Eventos de riesgos'!B:P,15,0)</f>
        <v>45473.7</v>
      </c>
      <c r="AD154" s="54" t="str">
        <f>VLOOKUP(Tabla15[[#This Row],[N° 
Evento]],'Eventos de riesgos'!B:Q,16,0)</f>
        <v>Ahorros voluntarios</v>
      </c>
      <c r="AE154" s="54" t="str">
        <f>VLOOKUP(Tabla15[[#This Row],[N° 
Evento]],'Eventos de riesgos'!B:R,17,0)</f>
        <v>Cooperativa Digital</v>
      </c>
      <c r="AF154" s="56" t="str">
        <f>VLOOKUP(Tabla15[[#This Row],[N° 
Evento]],'Eventos de riesgos'!B:V,21,0)</f>
        <v>Aprobado</v>
      </c>
      <c r="AG154" s="59" t="str">
        <f>VLOOKUP(Tabla15[[#This Row],[N° 
Evento]],'Eventos de riesgos'!B:W,22,0)</f>
        <v>02/07/2024 16:53:40: Registro
15/07/2024 10:32:16: .</v>
      </c>
    </row>
    <row r="155" spans="3:33" ht="59" customHeight="1" x14ac:dyDescent="0.55000000000000004">
      <c r="C155" s="54" t="str">
        <f>+Tabla15[[#This Row],[N° 
Evento]]&amp;"-"&amp;Tabla15[[#This Row],[N° Tarea]]</f>
        <v>59-2</v>
      </c>
      <c r="D155" s="54">
        <v>59</v>
      </c>
      <c r="E155" s="54">
        <v>2</v>
      </c>
      <c r="F155" s="55" t="s">
        <v>872</v>
      </c>
      <c r="G155" s="44" t="s">
        <v>1052</v>
      </c>
      <c r="H155" s="59" t="s">
        <v>490</v>
      </c>
      <c r="I155" s="59" t="s">
        <v>491</v>
      </c>
      <c r="J155" s="57">
        <v>45462</v>
      </c>
      <c r="K155" s="57">
        <v>45463</v>
      </c>
      <c r="L155" s="47" t="str">
        <f>IF(Tabla15[[#This Row],[Fecha de Finalización]]&gt;0,"Cerrada","En Proceso")</f>
        <v>Cerrada</v>
      </c>
      <c r="M155" s="58">
        <f t="shared" si="5"/>
        <v>1</v>
      </c>
      <c r="N155" s="59" t="s">
        <v>873</v>
      </c>
      <c r="O155" s="54">
        <f>VLOOKUP(Tabla15[[#This Row],[N° 
Evento]],'Eventos de riesgos'!B:C,2,0)</f>
        <v>2024</v>
      </c>
      <c r="P155" s="54" t="str">
        <f>VLOOKUP(Tabla15[[#This Row],[N° 
Evento]],'Eventos de riesgos'!B:D,3,0)</f>
        <v>Jun</v>
      </c>
      <c r="Q155" s="60">
        <f>VLOOKUP(Tabla15[[#This Row],[N° 
Evento]],'Eventos de riesgos'!B:E,4,0)</f>
        <v>45461.702777777777</v>
      </c>
      <c r="R155" s="60">
        <f>VLOOKUP(Tabla15[[#This Row],[N° 
Evento]],'Eventos de riesgos'!B:F,5,0)</f>
        <v>45462.702777777777</v>
      </c>
      <c r="S155" s="60">
        <f>VLOOKUP(Tabla15[[#This Row],[N° 
Evento]],'Eventos de riesgos'!B:G,6,0)</f>
        <v>45462.702777777777</v>
      </c>
      <c r="T155" s="63" t="str">
        <f>VLOOKUP(Tabla15[[#This Row],[N° 
Evento]],'Eventos de riesgos'!B:H,7,0)</f>
        <v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v>
      </c>
      <c r="U155" s="61">
        <f>VLOOKUP(Tabla15[[#This Row],[N° 
Evento]],'Eventos de riesgos'!B:I,8,0)</f>
        <v>300000</v>
      </c>
      <c r="V155" s="61">
        <f>VLOOKUP(Tabla15[[#This Row],[N° 
Evento]],'Eventos de riesgos'!B:J,9,0)</f>
        <v>0</v>
      </c>
      <c r="W155" s="61">
        <f>VLOOKUP(Tabla15[[#This Row],[N° 
Evento]],'Eventos de riesgos'!B:K,10,0)</f>
        <v>0</v>
      </c>
      <c r="X155" s="59" t="str">
        <f>VLOOKUP(Tabla15[[#This Row],[N° 
Evento]],'Eventos de riesgos'!B:L,11,0)</f>
        <v>2 - Fraude Externo</v>
      </c>
      <c r="Y155" s="59" t="str">
        <f>VLOOKUP(Tabla15[[#This Row],[N° 
Evento]],'Eventos de riesgos'!B:M,12,0)</f>
        <v>22 - Hurto y Fraude</v>
      </c>
      <c r="Z155" s="59" t="str">
        <f>VLOOKUP(Tabla15[[#This Row],[N° 
Evento]],'Eventos de riesgos'!B:N,13,0)</f>
        <v>221 - Robo o Hurto</v>
      </c>
      <c r="AA155" s="59" t="str">
        <f>+VLOOKUP(Tabla15[[#This Row],[N° 
Evento]],'Eventos de riesgos'!$B$1:$AA$87,23,0)</f>
        <v>Suplantacion de Identidad y robo a asociados</v>
      </c>
      <c r="AB155" s="54" t="str">
        <f>VLOOKUP(Tabla15[[#This Row],[N° 
Evento]],'Eventos de riesgos'!B:O,14,0)</f>
        <v>Ninguna</v>
      </c>
      <c r="AC155" s="60">
        <f>VLOOKUP(Tabla15[[#This Row],[N° 
Evento]],'Eventos de riesgos'!B:P,15,0)</f>
        <v>45473.7</v>
      </c>
      <c r="AD155" s="54" t="str">
        <f>VLOOKUP(Tabla15[[#This Row],[N° 
Evento]],'Eventos de riesgos'!B:Q,16,0)</f>
        <v>Ahorros voluntarios</v>
      </c>
      <c r="AE155" s="54" t="str">
        <f>VLOOKUP(Tabla15[[#This Row],[N° 
Evento]],'Eventos de riesgos'!B:R,17,0)</f>
        <v>Cooperativa Digital</v>
      </c>
      <c r="AF155" s="56" t="str">
        <f>VLOOKUP(Tabla15[[#This Row],[N° 
Evento]],'Eventos de riesgos'!B:V,21,0)</f>
        <v>Aprobado</v>
      </c>
      <c r="AG155" s="59" t="str">
        <f>VLOOKUP(Tabla15[[#This Row],[N° 
Evento]],'Eventos de riesgos'!B:W,22,0)</f>
        <v>02/07/2024 16:53:40: Registro
15/07/2024 10:32:16: .</v>
      </c>
    </row>
    <row r="156" spans="3:33" ht="59" customHeight="1" x14ac:dyDescent="0.55000000000000004">
      <c r="C156" s="54" t="str">
        <f>+Tabla15[[#This Row],[N° 
Evento]]&amp;"-"&amp;Tabla15[[#This Row],[N° Tarea]]</f>
        <v>59-3</v>
      </c>
      <c r="D156" s="54">
        <v>59</v>
      </c>
      <c r="E156" s="54">
        <v>3</v>
      </c>
      <c r="F156" s="55" t="s">
        <v>495</v>
      </c>
      <c r="G156" s="44" t="s">
        <v>1052</v>
      </c>
      <c r="H156" s="59" t="s">
        <v>233</v>
      </c>
      <c r="I156" s="56" t="s">
        <v>240</v>
      </c>
      <c r="J156" s="57">
        <v>45462</v>
      </c>
      <c r="K156" s="57">
        <v>45462</v>
      </c>
      <c r="L156" s="47" t="str">
        <f>IF(Tabla15[[#This Row],[Fecha de Finalización]]&gt;0,"Cerrada","En Proceso")</f>
        <v>Cerrada</v>
      </c>
      <c r="M156" s="58">
        <f t="shared" si="5"/>
        <v>0</v>
      </c>
      <c r="N156" s="59" t="s">
        <v>874</v>
      </c>
      <c r="O156" s="54">
        <f>VLOOKUP(Tabla15[[#This Row],[N° 
Evento]],'Eventos de riesgos'!B:C,2,0)</f>
        <v>2024</v>
      </c>
      <c r="P156" s="54" t="str">
        <f>VLOOKUP(Tabla15[[#This Row],[N° 
Evento]],'Eventos de riesgos'!B:D,3,0)</f>
        <v>Jun</v>
      </c>
      <c r="Q156" s="60">
        <f>VLOOKUP(Tabla15[[#This Row],[N° 
Evento]],'Eventos de riesgos'!B:E,4,0)</f>
        <v>45461.702777777777</v>
      </c>
      <c r="R156" s="60">
        <f>VLOOKUP(Tabla15[[#This Row],[N° 
Evento]],'Eventos de riesgos'!B:F,5,0)</f>
        <v>45462.702777777777</v>
      </c>
      <c r="S156" s="60">
        <f>VLOOKUP(Tabla15[[#This Row],[N° 
Evento]],'Eventos de riesgos'!B:G,6,0)</f>
        <v>45462.702777777777</v>
      </c>
      <c r="T156" s="63" t="str">
        <f>VLOOKUP(Tabla15[[#This Row],[N° 
Evento]],'Eventos de riesgos'!B:H,7,0)</f>
        <v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v>
      </c>
      <c r="U156" s="61">
        <f>VLOOKUP(Tabla15[[#This Row],[N° 
Evento]],'Eventos de riesgos'!B:I,8,0)</f>
        <v>300000</v>
      </c>
      <c r="V156" s="61">
        <f>VLOOKUP(Tabla15[[#This Row],[N° 
Evento]],'Eventos de riesgos'!B:J,9,0)</f>
        <v>0</v>
      </c>
      <c r="W156" s="61">
        <f>VLOOKUP(Tabla15[[#This Row],[N° 
Evento]],'Eventos de riesgos'!B:K,10,0)</f>
        <v>0</v>
      </c>
      <c r="X156" s="59" t="str">
        <f>VLOOKUP(Tabla15[[#This Row],[N° 
Evento]],'Eventos de riesgos'!B:L,11,0)</f>
        <v>2 - Fraude Externo</v>
      </c>
      <c r="Y156" s="59" t="str">
        <f>VLOOKUP(Tabla15[[#This Row],[N° 
Evento]],'Eventos de riesgos'!B:M,12,0)</f>
        <v>22 - Hurto y Fraude</v>
      </c>
      <c r="Z156" s="59" t="str">
        <f>VLOOKUP(Tabla15[[#This Row],[N° 
Evento]],'Eventos de riesgos'!B:N,13,0)</f>
        <v>221 - Robo o Hurto</v>
      </c>
      <c r="AA156" s="59" t="str">
        <f>+VLOOKUP(Tabla15[[#This Row],[N° 
Evento]],'Eventos de riesgos'!$B$1:$AA$87,23,0)</f>
        <v>Suplantacion de Identidad y robo a asociados</v>
      </c>
      <c r="AB156" s="54" t="str">
        <f>VLOOKUP(Tabla15[[#This Row],[N° 
Evento]],'Eventos de riesgos'!B:O,14,0)</f>
        <v>Ninguna</v>
      </c>
      <c r="AC156" s="60">
        <f>VLOOKUP(Tabla15[[#This Row],[N° 
Evento]],'Eventos de riesgos'!B:P,15,0)</f>
        <v>45473.7</v>
      </c>
      <c r="AD156" s="54" t="str">
        <f>VLOOKUP(Tabla15[[#This Row],[N° 
Evento]],'Eventos de riesgos'!B:Q,16,0)</f>
        <v>Ahorros voluntarios</v>
      </c>
      <c r="AE156" s="54" t="str">
        <f>VLOOKUP(Tabla15[[#This Row],[N° 
Evento]],'Eventos de riesgos'!B:R,17,0)</f>
        <v>Cooperativa Digital</v>
      </c>
      <c r="AF156" s="56" t="str">
        <f>VLOOKUP(Tabla15[[#This Row],[N° 
Evento]],'Eventos de riesgos'!B:V,21,0)</f>
        <v>Aprobado</v>
      </c>
      <c r="AG156" s="59" t="str">
        <f>VLOOKUP(Tabla15[[#This Row],[N° 
Evento]],'Eventos de riesgos'!B:W,22,0)</f>
        <v>02/07/2024 16:53:40: Registro
15/07/2024 10:32:16: .</v>
      </c>
    </row>
    <row r="157" spans="3:33" ht="59" customHeight="1" x14ac:dyDescent="0.55000000000000004">
      <c r="C157" s="43" t="str">
        <f>+Tabla15[[#This Row],[N° 
Evento]]&amp;"-"&amp;Tabla15[[#This Row],[N° Tarea]]</f>
        <v>60-1</v>
      </c>
      <c r="D157" s="43">
        <v>60</v>
      </c>
      <c r="E157" s="43">
        <v>1</v>
      </c>
      <c r="F157" s="51" t="s">
        <v>510</v>
      </c>
      <c r="G157" s="44" t="s">
        <v>1052</v>
      </c>
      <c r="H157" s="44" t="s">
        <v>509</v>
      </c>
      <c r="I157" s="45" t="s">
        <v>511</v>
      </c>
      <c r="J157" s="46">
        <v>45506</v>
      </c>
      <c r="K157" s="46">
        <v>45508</v>
      </c>
      <c r="L157" s="47" t="str">
        <f>IF(Tabla15[[#This Row],[Fecha de Finalización]]&gt;0,"Cerrada","En Proceso")</f>
        <v>Cerrada</v>
      </c>
      <c r="M157" s="52">
        <f t="shared" si="5"/>
        <v>2</v>
      </c>
      <c r="N157" s="44" t="s">
        <v>567</v>
      </c>
      <c r="O157" s="43">
        <f>VLOOKUP(Tabla15[[#This Row],[N° 
Evento]],'Eventos de riesgos'!B:C,2,0)</f>
        <v>2024</v>
      </c>
      <c r="P157" s="43" t="str">
        <f>VLOOKUP(Tabla15[[#This Row],[N° 
Evento]],'Eventos de riesgos'!B:D,3,0)</f>
        <v>Jul</v>
      </c>
      <c r="Q157" s="48">
        <f>VLOOKUP(Tabla15[[#This Row],[N° 
Evento]],'Eventos de riesgos'!B:E,4,0)</f>
        <v>45504.48333333333</v>
      </c>
      <c r="R157" s="48">
        <f>VLOOKUP(Tabla15[[#This Row],[N° 
Evento]],'Eventos de riesgos'!B:F,5,0)</f>
        <v>45506.48333333333</v>
      </c>
      <c r="S157" s="48">
        <f>VLOOKUP(Tabla15[[#This Row],[N° 
Evento]],'Eventos de riesgos'!B:G,6,0)</f>
        <v>45506.484027777777</v>
      </c>
      <c r="T157" s="62" t="str">
        <f>VLOOKUP(Tabla15[[#This Row],[N° 
Evento]],'Eventos de riesgos'!B:H,7,0)</f>
        <v>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v>
      </c>
      <c r="U157" s="49">
        <f>VLOOKUP(Tabla15[[#This Row],[N° 
Evento]],'Eventos de riesgos'!B:I,8,0)</f>
        <v>0</v>
      </c>
      <c r="V157" s="49">
        <f>VLOOKUP(Tabla15[[#This Row],[N° 
Evento]],'Eventos de riesgos'!B:J,9,0)</f>
        <v>0</v>
      </c>
      <c r="W157" s="49">
        <f>VLOOKUP(Tabla15[[#This Row],[N° 
Evento]],'Eventos de riesgos'!B:K,10,0)</f>
        <v>0</v>
      </c>
      <c r="X157" s="44" t="str">
        <f>VLOOKUP(Tabla15[[#This Row],[N° 
Evento]],'Eventos de riesgos'!B:L,11,0)</f>
        <v>7 - Ejecución y Administración de Procesos</v>
      </c>
      <c r="Y157" s="44" t="str">
        <f>VLOOKUP(Tabla15[[#This Row],[N° 
Evento]],'Eventos de riesgos'!B:M,12,0)</f>
        <v>71 - Recepción, Ejecución y Mantenimiento de Operaciones</v>
      </c>
      <c r="Z157" s="44" t="str">
        <f>VLOOKUP(Tabla15[[#This Row],[N° 
Evento]],'Eventos de riesgos'!B:N,13,0)</f>
        <v>711 - Exceso de Manualidad</v>
      </c>
      <c r="AA157" s="44" t="str">
        <f>+VLOOKUP(Tabla15[[#This Row],[N° 
Evento]],'Eventos de riesgos'!$B$1:$AA$87,23,0)</f>
        <v>Error en aplicación de pagos</v>
      </c>
      <c r="AB157" s="43" t="str">
        <f>VLOOKUP(Tabla15[[#This Row],[N° 
Evento]],'Eventos de riesgos'!B:O,14,0)</f>
        <v>Ninguna</v>
      </c>
      <c r="AC157" s="48">
        <f>VLOOKUP(Tabla15[[#This Row],[N° 
Evento]],'Eventos de riesgos'!B:P,15,0)</f>
        <v>45504.510416666664</v>
      </c>
      <c r="AD157" s="43" t="str">
        <f>VLOOKUP(Tabla15[[#This Row],[N° 
Evento]],'Eventos de riesgos'!B:Q,16,0)</f>
        <v>Depósito de Ahorro con Estímulo (DAES)</v>
      </c>
      <c r="AE157" s="43" t="str">
        <f>VLOOKUP(Tabla15[[#This Row],[N° 
Evento]],'Eventos de riesgos'!B:R,17,0)</f>
        <v>Ninguno</v>
      </c>
      <c r="AF157" s="45" t="str">
        <f>VLOOKUP(Tabla15[[#This Row],[N° 
Evento]],'Eventos de riesgos'!B:V,21,0)</f>
        <v>Aprobado</v>
      </c>
      <c r="AG157" s="44" t="str">
        <f>VLOOKUP(Tabla15[[#This Row],[N° 
Evento]],'Eventos de riesgos'!B:W,22,0)</f>
        <v>20/08/2024 12:20:27: Registrado.</v>
      </c>
    </row>
    <row r="158" spans="3:33" ht="59" customHeight="1" x14ac:dyDescent="0.55000000000000004">
      <c r="C158" s="43" t="str">
        <f>+Tabla15[[#This Row],[N° 
Evento]]&amp;"-"&amp;Tabla15[[#This Row],[N° Tarea]]</f>
        <v>60-2</v>
      </c>
      <c r="D158" s="43">
        <v>60</v>
      </c>
      <c r="E158" s="43">
        <v>2</v>
      </c>
      <c r="F158" s="51" t="s">
        <v>512</v>
      </c>
      <c r="G158" s="44" t="s">
        <v>1053</v>
      </c>
      <c r="H158" s="44" t="s">
        <v>774</v>
      </c>
      <c r="I158" s="44" t="s">
        <v>513</v>
      </c>
      <c r="J158" s="46">
        <v>45524</v>
      </c>
      <c r="K158" s="57">
        <v>45565</v>
      </c>
      <c r="L158" s="47" t="str">
        <f>IF(Tabla15[[#This Row],[Fecha de Finalización]]&gt;0,"Cerrada","En Proceso")</f>
        <v>Cerrada</v>
      </c>
      <c r="M158" s="52">
        <f t="shared" si="5"/>
        <v>41</v>
      </c>
      <c r="N158" s="44" t="s">
        <v>875</v>
      </c>
      <c r="O158" s="43">
        <f>VLOOKUP(Tabla15[[#This Row],[N° 
Evento]],'Eventos de riesgos'!B:C,2,0)</f>
        <v>2024</v>
      </c>
      <c r="P158" s="43" t="str">
        <f>VLOOKUP(Tabla15[[#This Row],[N° 
Evento]],'Eventos de riesgos'!B:D,3,0)</f>
        <v>Jul</v>
      </c>
      <c r="Q158" s="48">
        <f>VLOOKUP(Tabla15[[#This Row],[N° 
Evento]],'Eventos de riesgos'!B:E,4,0)</f>
        <v>45504.48333333333</v>
      </c>
      <c r="R158" s="48">
        <f>VLOOKUP(Tabla15[[#This Row],[N° 
Evento]],'Eventos de riesgos'!B:F,5,0)</f>
        <v>45506.48333333333</v>
      </c>
      <c r="S158" s="48">
        <f>VLOOKUP(Tabla15[[#This Row],[N° 
Evento]],'Eventos de riesgos'!B:G,6,0)</f>
        <v>45506.484027777777</v>
      </c>
      <c r="T158" s="62" t="str">
        <f>VLOOKUP(Tabla15[[#This Row],[N° 
Evento]],'Eventos de riesgos'!B:H,7,0)</f>
        <v>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v>
      </c>
      <c r="U158" s="49">
        <f>VLOOKUP(Tabla15[[#This Row],[N° 
Evento]],'Eventos de riesgos'!B:I,8,0)</f>
        <v>0</v>
      </c>
      <c r="V158" s="49">
        <f>VLOOKUP(Tabla15[[#This Row],[N° 
Evento]],'Eventos de riesgos'!B:J,9,0)</f>
        <v>0</v>
      </c>
      <c r="W158" s="49">
        <f>VLOOKUP(Tabla15[[#This Row],[N° 
Evento]],'Eventos de riesgos'!B:K,10,0)</f>
        <v>0</v>
      </c>
      <c r="X158" s="44" t="str">
        <f>VLOOKUP(Tabla15[[#This Row],[N° 
Evento]],'Eventos de riesgos'!B:L,11,0)</f>
        <v>7 - Ejecución y Administración de Procesos</v>
      </c>
      <c r="Y158" s="44" t="str">
        <f>VLOOKUP(Tabla15[[#This Row],[N° 
Evento]],'Eventos de riesgos'!B:M,12,0)</f>
        <v>71 - Recepción, Ejecución y Mantenimiento de Operaciones</v>
      </c>
      <c r="Z158" s="44" t="str">
        <f>VLOOKUP(Tabla15[[#This Row],[N° 
Evento]],'Eventos de riesgos'!B:N,13,0)</f>
        <v>711 - Exceso de Manualidad</v>
      </c>
      <c r="AA158" s="44" t="str">
        <f>+VLOOKUP(Tabla15[[#This Row],[N° 
Evento]],'Eventos de riesgos'!$B$1:$AA$87,23,0)</f>
        <v>Error en aplicación de pagos</v>
      </c>
      <c r="AB158" s="43" t="str">
        <f>VLOOKUP(Tabla15[[#This Row],[N° 
Evento]],'Eventos de riesgos'!B:O,14,0)</f>
        <v>Ninguna</v>
      </c>
      <c r="AC158" s="48">
        <f>VLOOKUP(Tabla15[[#This Row],[N° 
Evento]],'Eventos de riesgos'!B:P,15,0)</f>
        <v>45504.510416666664</v>
      </c>
      <c r="AD158" s="43" t="str">
        <f>VLOOKUP(Tabla15[[#This Row],[N° 
Evento]],'Eventos de riesgos'!B:Q,16,0)</f>
        <v>Depósito de Ahorro con Estímulo (DAES)</v>
      </c>
      <c r="AE158" s="43" t="str">
        <f>VLOOKUP(Tabla15[[#This Row],[N° 
Evento]],'Eventos de riesgos'!B:R,17,0)</f>
        <v>Ninguno</v>
      </c>
      <c r="AF158" s="45" t="str">
        <f>VLOOKUP(Tabla15[[#This Row],[N° 
Evento]],'Eventos de riesgos'!B:V,21,0)</f>
        <v>Aprobado</v>
      </c>
      <c r="AG158" s="44" t="str">
        <f>VLOOKUP(Tabla15[[#This Row],[N° 
Evento]],'Eventos de riesgos'!B:W,22,0)</f>
        <v>20/08/2024 12:20:27: Registrado.</v>
      </c>
    </row>
    <row r="159" spans="3:33" ht="59" customHeight="1" x14ac:dyDescent="0.55000000000000004">
      <c r="C159" s="43" t="str">
        <f>+Tabla15[[#This Row],[N° 
Evento]]&amp;"-"&amp;Tabla15[[#This Row],[N° Tarea]]</f>
        <v>60-3</v>
      </c>
      <c r="D159" s="43">
        <v>60</v>
      </c>
      <c r="E159" s="54">
        <v>3</v>
      </c>
      <c r="F159" s="55" t="s">
        <v>496</v>
      </c>
      <c r="G159" s="44" t="s">
        <v>1053</v>
      </c>
      <c r="H159" s="44" t="s">
        <v>771</v>
      </c>
      <c r="I159" s="56" t="s">
        <v>273</v>
      </c>
      <c r="J159" s="46">
        <v>45506</v>
      </c>
      <c r="K159" s="57">
        <v>45565</v>
      </c>
      <c r="L159" s="47" t="str">
        <f>IF(Tabla15[[#This Row],[Fecha de Finalización]]&gt;0,"Cerrada","En Proceso")</f>
        <v>Cerrada</v>
      </c>
      <c r="M159" s="58">
        <f t="shared" si="5"/>
        <v>59</v>
      </c>
      <c r="N159" s="59" t="s">
        <v>876</v>
      </c>
      <c r="O159" s="54">
        <f>VLOOKUP(Tabla15[[#This Row],[N° 
Evento]],'Eventos de riesgos'!B:C,2,0)</f>
        <v>2024</v>
      </c>
      <c r="P159" s="54" t="str">
        <f>VLOOKUP(Tabla15[[#This Row],[N° 
Evento]],'Eventos de riesgos'!B:D,3,0)</f>
        <v>Jul</v>
      </c>
      <c r="Q159" s="60">
        <f>VLOOKUP(Tabla15[[#This Row],[N° 
Evento]],'Eventos de riesgos'!B:E,4,0)</f>
        <v>45504.48333333333</v>
      </c>
      <c r="R159" s="60">
        <f>VLOOKUP(Tabla15[[#This Row],[N° 
Evento]],'Eventos de riesgos'!B:F,5,0)</f>
        <v>45506.48333333333</v>
      </c>
      <c r="S159" s="60">
        <f>VLOOKUP(Tabla15[[#This Row],[N° 
Evento]],'Eventos de riesgos'!B:G,6,0)</f>
        <v>45506.484027777777</v>
      </c>
      <c r="T159" s="63" t="str">
        <f>VLOOKUP(Tabla15[[#This Row],[N° 
Evento]],'Eventos de riesgos'!B:H,7,0)</f>
        <v>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v>
      </c>
      <c r="U159" s="61">
        <f>VLOOKUP(Tabla15[[#This Row],[N° 
Evento]],'Eventos de riesgos'!B:I,8,0)</f>
        <v>0</v>
      </c>
      <c r="V159" s="61">
        <f>VLOOKUP(Tabla15[[#This Row],[N° 
Evento]],'Eventos de riesgos'!B:J,9,0)</f>
        <v>0</v>
      </c>
      <c r="W159" s="61">
        <f>VLOOKUP(Tabla15[[#This Row],[N° 
Evento]],'Eventos de riesgos'!B:K,10,0)</f>
        <v>0</v>
      </c>
      <c r="X159" s="59" t="str">
        <f>VLOOKUP(Tabla15[[#This Row],[N° 
Evento]],'Eventos de riesgos'!B:L,11,0)</f>
        <v>7 - Ejecución y Administración de Procesos</v>
      </c>
      <c r="Y159" s="59" t="str">
        <f>VLOOKUP(Tabla15[[#This Row],[N° 
Evento]],'Eventos de riesgos'!B:M,12,0)</f>
        <v>71 - Recepción, Ejecución y Mantenimiento de Operaciones</v>
      </c>
      <c r="Z159" s="59" t="str">
        <f>VLOOKUP(Tabla15[[#This Row],[N° 
Evento]],'Eventos de riesgos'!B:N,13,0)</f>
        <v>711 - Exceso de Manualidad</v>
      </c>
      <c r="AA159" s="59" t="str">
        <f>+VLOOKUP(Tabla15[[#This Row],[N° 
Evento]],'Eventos de riesgos'!$B$1:$AA$87,23,0)</f>
        <v>Error en aplicación de pagos</v>
      </c>
      <c r="AB159" s="54" t="str">
        <f>VLOOKUP(Tabla15[[#This Row],[N° 
Evento]],'Eventos de riesgos'!B:O,14,0)</f>
        <v>Ninguna</v>
      </c>
      <c r="AC159" s="60">
        <f>VLOOKUP(Tabla15[[#This Row],[N° 
Evento]],'Eventos de riesgos'!B:P,15,0)</f>
        <v>45504.510416666664</v>
      </c>
      <c r="AD159" s="54" t="str">
        <f>VLOOKUP(Tabla15[[#This Row],[N° 
Evento]],'Eventos de riesgos'!B:Q,16,0)</f>
        <v>Depósito de Ahorro con Estímulo (DAES)</v>
      </c>
      <c r="AE159" s="54" t="str">
        <f>VLOOKUP(Tabla15[[#This Row],[N° 
Evento]],'Eventos de riesgos'!B:R,17,0)</f>
        <v>Ninguno</v>
      </c>
      <c r="AF159" s="56" t="str">
        <f>VLOOKUP(Tabla15[[#This Row],[N° 
Evento]],'Eventos de riesgos'!B:V,21,0)</f>
        <v>Aprobado</v>
      </c>
      <c r="AG159" s="59" t="str">
        <f>VLOOKUP(Tabla15[[#This Row],[N° 
Evento]],'Eventos de riesgos'!B:W,22,0)</f>
        <v>20/08/2024 12:20:27: Registrado.</v>
      </c>
    </row>
    <row r="160" spans="3:33" ht="59" customHeight="1" x14ac:dyDescent="0.55000000000000004">
      <c r="C160" s="43" t="str">
        <f>+Tabla15[[#This Row],[N° 
Evento]]&amp;"-"&amp;Tabla15[[#This Row],[N° Tarea]]</f>
        <v>61-1</v>
      </c>
      <c r="D160" s="54">
        <v>61</v>
      </c>
      <c r="E160" s="54">
        <v>1</v>
      </c>
      <c r="F160" s="65" t="s">
        <v>504</v>
      </c>
      <c r="G160" s="44" t="s">
        <v>1052</v>
      </c>
      <c r="H160" s="44" t="s">
        <v>760</v>
      </c>
      <c r="I160" s="56" t="s">
        <v>95</v>
      </c>
      <c r="J160" s="46">
        <v>45524</v>
      </c>
      <c r="K160" s="57">
        <v>45535</v>
      </c>
      <c r="L160" s="47" t="str">
        <f>IF(Tabla15[[#This Row],[Fecha de Finalización]]&gt;0,"Cerrada","En Proceso")</f>
        <v>Cerrada</v>
      </c>
      <c r="M160" s="58">
        <f t="shared" si="5"/>
        <v>11</v>
      </c>
      <c r="N160" s="59" t="s">
        <v>519</v>
      </c>
      <c r="O160" s="54">
        <f>VLOOKUP(Tabla15[[#This Row],[N° 
Evento]],'Eventos de riesgos'!B:C,2,0)</f>
        <v>2024</v>
      </c>
      <c r="P160" s="54" t="str">
        <f>VLOOKUP(Tabla15[[#This Row],[N° 
Evento]],'Eventos de riesgos'!B:D,3,0)</f>
        <v>Jul</v>
      </c>
      <c r="Q160" s="60">
        <f>VLOOKUP(Tabla15[[#This Row],[N° 
Evento]],'Eventos de riesgos'!B:E,4,0)</f>
        <v>45482.557638888888</v>
      </c>
      <c r="R160" s="60">
        <f>VLOOKUP(Tabla15[[#This Row],[N° 
Evento]],'Eventos de riesgos'!B:F,5,0)</f>
        <v>45512.558333333334</v>
      </c>
      <c r="S160" s="60">
        <f>VLOOKUP(Tabla15[[#This Row],[N° 
Evento]],'Eventos de riesgos'!B:G,6,0)</f>
        <v>45524.558333333334</v>
      </c>
      <c r="T160"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0" s="61">
        <f>VLOOKUP(Tabla15[[#This Row],[N° 
Evento]],'Eventos de riesgos'!B:I,8,0)</f>
        <v>7568355</v>
      </c>
      <c r="V160" s="61">
        <f>VLOOKUP(Tabla15[[#This Row],[N° 
Evento]],'Eventos de riesgos'!B:J,9,0)</f>
        <v>7412237</v>
      </c>
      <c r="W160" s="61">
        <f>VLOOKUP(Tabla15[[#This Row],[N° 
Evento]],'Eventos de riesgos'!B:K,10,0)</f>
        <v>0</v>
      </c>
      <c r="X160" s="59" t="str">
        <f>VLOOKUP(Tabla15[[#This Row],[N° 
Evento]],'Eventos de riesgos'!B:L,11,0)</f>
        <v>6 - Fallas Tecnologicas</v>
      </c>
      <c r="Y160" s="59" t="str">
        <f>VLOOKUP(Tabla15[[#This Row],[N° 
Evento]],'Eventos de riesgos'!B:M,12,0)</f>
        <v>61 - Sistemas</v>
      </c>
      <c r="Z160" s="59" t="str">
        <f>VLOOKUP(Tabla15[[#This Row],[N° 
Evento]],'Eventos de riesgos'!B:N,13,0)</f>
        <v>611 - Pérdida por Problemas en Software</v>
      </c>
      <c r="AA160" s="59" t="str">
        <f>+VLOOKUP(Tabla15[[#This Row],[N° 
Evento]],'Eventos de riesgos'!$B$1:$AA$87,23,0)</f>
        <v>Pago doble de TC por error del sistema</v>
      </c>
      <c r="AB160" s="54" t="str">
        <f>VLOOKUP(Tabla15[[#This Row],[N° 
Evento]],'Eventos de riesgos'!B:O,14,0)</f>
        <v>Ninguna</v>
      </c>
      <c r="AC160" s="60">
        <f>VLOOKUP(Tabla15[[#This Row],[N° 
Evento]],'Eventos de riesgos'!B:P,15,0)</f>
        <v>45535.563194444447</v>
      </c>
      <c r="AD160" s="54" t="str">
        <f>VLOOKUP(Tabla15[[#This Row],[N° 
Evento]],'Eventos de riesgos'!B:Q,16,0)</f>
        <v>Tarjeta crédito</v>
      </c>
      <c r="AE160" s="54" t="str">
        <f>VLOOKUP(Tabla15[[#This Row],[N° 
Evento]],'Eventos de riesgos'!B:R,17,0)</f>
        <v>Ninguno</v>
      </c>
      <c r="AF160" s="56" t="str">
        <f>VLOOKUP(Tabla15[[#This Row],[N° 
Evento]],'Eventos de riesgos'!B:V,21,0)</f>
        <v>Aprobado</v>
      </c>
      <c r="AG160" s="59" t="str">
        <f>VLOOKUP(Tabla15[[#This Row],[N° 
Evento]],'Eventos de riesgos'!B:W,22,0)</f>
        <v>20/08/2024 13:33:05: Registrado
10/09/2024 12:53:39: Actualizado</v>
      </c>
    </row>
    <row r="161" spans="3:33" ht="59" customHeight="1" x14ac:dyDescent="0.55000000000000004">
      <c r="C161" s="43" t="str">
        <f>+Tabla15[[#This Row],[N° 
Evento]]&amp;"-"&amp;Tabla15[[#This Row],[N° Tarea]]</f>
        <v>61-2</v>
      </c>
      <c r="D161" s="54">
        <v>61</v>
      </c>
      <c r="E161" s="54">
        <v>2</v>
      </c>
      <c r="F161" s="65" t="s">
        <v>506</v>
      </c>
      <c r="G161" s="44" t="s">
        <v>1052</v>
      </c>
      <c r="H161" s="44" t="s">
        <v>760</v>
      </c>
      <c r="I161" s="56" t="s">
        <v>95</v>
      </c>
      <c r="J161" s="46">
        <v>45524</v>
      </c>
      <c r="K161" s="57">
        <v>45535</v>
      </c>
      <c r="L161" s="47" t="str">
        <f>IF(Tabla15[[#This Row],[Fecha de Finalización]]&gt;0,"Cerrada","En Proceso")</f>
        <v>Cerrada</v>
      </c>
      <c r="M161" s="58">
        <f t="shared" si="5"/>
        <v>11</v>
      </c>
      <c r="N161" s="59" t="s">
        <v>519</v>
      </c>
      <c r="O161" s="54">
        <f>VLOOKUP(Tabla15[[#This Row],[N° 
Evento]],'Eventos de riesgos'!B:C,2,0)</f>
        <v>2024</v>
      </c>
      <c r="P161" s="54" t="str">
        <f>VLOOKUP(Tabla15[[#This Row],[N° 
Evento]],'Eventos de riesgos'!B:D,3,0)</f>
        <v>Jul</v>
      </c>
      <c r="Q161" s="60">
        <f>VLOOKUP(Tabla15[[#This Row],[N° 
Evento]],'Eventos de riesgos'!B:E,4,0)</f>
        <v>45482.557638888888</v>
      </c>
      <c r="R161" s="60">
        <f>VLOOKUP(Tabla15[[#This Row],[N° 
Evento]],'Eventos de riesgos'!B:F,5,0)</f>
        <v>45512.558333333334</v>
      </c>
      <c r="S161" s="60">
        <f>VLOOKUP(Tabla15[[#This Row],[N° 
Evento]],'Eventos de riesgos'!B:G,6,0)</f>
        <v>45524.558333333334</v>
      </c>
      <c r="T161"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1" s="61">
        <f>VLOOKUP(Tabla15[[#This Row],[N° 
Evento]],'Eventos de riesgos'!B:I,8,0)</f>
        <v>7568355</v>
      </c>
      <c r="V161" s="61">
        <f>VLOOKUP(Tabla15[[#This Row],[N° 
Evento]],'Eventos de riesgos'!B:J,9,0)</f>
        <v>7412237</v>
      </c>
      <c r="W161" s="61">
        <f>VLOOKUP(Tabla15[[#This Row],[N° 
Evento]],'Eventos de riesgos'!B:K,10,0)</f>
        <v>0</v>
      </c>
      <c r="X161" s="59" t="str">
        <f>VLOOKUP(Tabla15[[#This Row],[N° 
Evento]],'Eventos de riesgos'!B:L,11,0)</f>
        <v>6 - Fallas Tecnologicas</v>
      </c>
      <c r="Y161" s="59" t="str">
        <f>VLOOKUP(Tabla15[[#This Row],[N° 
Evento]],'Eventos de riesgos'!B:M,12,0)</f>
        <v>61 - Sistemas</v>
      </c>
      <c r="Z161" s="59" t="str">
        <f>VLOOKUP(Tabla15[[#This Row],[N° 
Evento]],'Eventos de riesgos'!B:N,13,0)</f>
        <v>611 - Pérdida por Problemas en Software</v>
      </c>
      <c r="AA161" s="59" t="str">
        <f>+VLOOKUP(Tabla15[[#This Row],[N° 
Evento]],'Eventos de riesgos'!$B$1:$AA$87,23,0)</f>
        <v>Pago doble de TC por error del sistema</v>
      </c>
      <c r="AB161" s="54" t="str">
        <f>VLOOKUP(Tabla15[[#This Row],[N° 
Evento]],'Eventos de riesgos'!B:O,14,0)</f>
        <v>Ninguna</v>
      </c>
      <c r="AC161" s="60">
        <f>VLOOKUP(Tabla15[[#This Row],[N° 
Evento]],'Eventos de riesgos'!B:P,15,0)</f>
        <v>45535.563194444447</v>
      </c>
      <c r="AD161" s="54" t="str">
        <f>VLOOKUP(Tabla15[[#This Row],[N° 
Evento]],'Eventos de riesgos'!B:Q,16,0)</f>
        <v>Tarjeta crédito</v>
      </c>
      <c r="AE161" s="54" t="str">
        <f>VLOOKUP(Tabla15[[#This Row],[N° 
Evento]],'Eventos de riesgos'!B:R,17,0)</f>
        <v>Ninguno</v>
      </c>
      <c r="AF161" s="56" t="str">
        <f>VLOOKUP(Tabla15[[#This Row],[N° 
Evento]],'Eventos de riesgos'!B:V,21,0)</f>
        <v>Aprobado</v>
      </c>
      <c r="AG161" s="59" t="str">
        <f>VLOOKUP(Tabla15[[#This Row],[N° 
Evento]],'Eventos de riesgos'!B:W,22,0)</f>
        <v>20/08/2024 13:33:05: Registrado
10/09/2024 12:53:39: Actualizado</v>
      </c>
    </row>
    <row r="162" spans="3:33" ht="59" customHeight="1" x14ac:dyDescent="0.55000000000000004">
      <c r="C162" s="43" t="str">
        <f>+Tabla15[[#This Row],[N° 
Evento]]&amp;"-"&amp;Tabla15[[#This Row],[N° Tarea]]</f>
        <v>61-3</v>
      </c>
      <c r="D162" s="54">
        <v>61</v>
      </c>
      <c r="E162" s="54">
        <v>3</v>
      </c>
      <c r="F162" s="55" t="s">
        <v>877</v>
      </c>
      <c r="G162" s="44" t="s">
        <v>1053</v>
      </c>
      <c r="H162" s="44" t="s">
        <v>760</v>
      </c>
      <c r="I162" s="56" t="s">
        <v>95</v>
      </c>
      <c r="J162" s="46">
        <v>45524</v>
      </c>
      <c r="K162" s="57">
        <v>45535</v>
      </c>
      <c r="L162" s="47" t="str">
        <f>IF(Tabla15[[#This Row],[Fecha de Finalización]]&gt;0,"Cerrada","En Proceso")</f>
        <v>Cerrada</v>
      </c>
      <c r="M162" s="58">
        <f t="shared" si="5"/>
        <v>11</v>
      </c>
      <c r="N162" s="59" t="s">
        <v>519</v>
      </c>
      <c r="O162" s="54">
        <f>VLOOKUP(Tabla15[[#This Row],[N° 
Evento]],'Eventos de riesgos'!B:C,2,0)</f>
        <v>2024</v>
      </c>
      <c r="P162" s="54" t="str">
        <f>VLOOKUP(Tabla15[[#This Row],[N° 
Evento]],'Eventos de riesgos'!B:D,3,0)</f>
        <v>Jul</v>
      </c>
      <c r="Q162" s="60">
        <f>VLOOKUP(Tabla15[[#This Row],[N° 
Evento]],'Eventos de riesgos'!B:E,4,0)</f>
        <v>45482.557638888888</v>
      </c>
      <c r="R162" s="60">
        <f>VLOOKUP(Tabla15[[#This Row],[N° 
Evento]],'Eventos de riesgos'!B:F,5,0)</f>
        <v>45512.558333333334</v>
      </c>
      <c r="S162" s="60">
        <f>VLOOKUP(Tabla15[[#This Row],[N° 
Evento]],'Eventos de riesgos'!B:G,6,0)</f>
        <v>45524.558333333334</v>
      </c>
      <c r="T162"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2" s="61">
        <f>VLOOKUP(Tabla15[[#This Row],[N° 
Evento]],'Eventos de riesgos'!B:I,8,0)</f>
        <v>7568355</v>
      </c>
      <c r="V162" s="61">
        <f>VLOOKUP(Tabla15[[#This Row],[N° 
Evento]],'Eventos de riesgos'!B:J,9,0)</f>
        <v>7412237</v>
      </c>
      <c r="W162" s="61">
        <f>VLOOKUP(Tabla15[[#This Row],[N° 
Evento]],'Eventos de riesgos'!B:K,10,0)</f>
        <v>0</v>
      </c>
      <c r="X162" s="59" t="str">
        <f>VLOOKUP(Tabla15[[#This Row],[N° 
Evento]],'Eventos de riesgos'!B:L,11,0)</f>
        <v>6 - Fallas Tecnologicas</v>
      </c>
      <c r="Y162" s="59" t="str">
        <f>VLOOKUP(Tabla15[[#This Row],[N° 
Evento]],'Eventos de riesgos'!B:M,12,0)</f>
        <v>61 - Sistemas</v>
      </c>
      <c r="Z162" s="59" t="str">
        <f>VLOOKUP(Tabla15[[#This Row],[N° 
Evento]],'Eventos de riesgos'!B:N,13,0)</f>
        <v>611 - Pérdida por Problemas en Software</v>
      </c>
      <c r="AA162" s="59" t="str">
        <f>+VLOOKUP(Tabla15[[#This Row],[N° 
Evento]],'Eventos de riesgos'!$B$1:$AA$87,23,0)</f>
        <v>Pago doble de TC por error del sistema</v>
      </c>
      <c r="AB162" s="54" t="str">
        <f>VLOOKUP(Tabla15[[#This Row],[N° 
Evento]],'Eventos de riesgos'!B:O,14,0)</f>
        <v>Ninguna</v>
      </c>
      <c r="AC162" s="60">
        <f>VLOOKUP(Tabla15[[#This Row],[N° 
Evento]],'Eventos de riesgos'!B:P,15,0)</f>
        <v>45535.563194444447</v>
      </c>
      <c r="AD162" s="54" t="str">
        <f>VLOOKUP(Tabla15[[#This Row],[N° 
Evento]],'Eventos de riesgos'!B:Q,16,0)</f>
        <v>Tarjeta crédito</v>
      </c>
      <c r="AE162" s="54" t="str">
        <f>VLOOKUP(Tabla15[[#This Row],[N° 
Evento]],'Eventos de riesgos'!B:R,17,0)</f>
        <v>Ninguno</v>
      </c>
      <c r="AF162" s="56" t="str">
        <f>VLOOKUP(Tabla15[[#This Row],[N° 
Evento]],'Eventos de riesgos'!B:V,21,0)</f>
        <v>Aprobado</v>
      </c>
      <c r="AG162" s="59" t="str">
        <f>VLOOKUP(Tabla15[[#This Row],[N° 
Evento]],'Eventos de riesgos'!B:W,22,0)</f>
        <v>20/08/2024 13:33:05: Registrado
10/09/2024 12:53:39: Actualizado</v>
      </c>
    </row>
    <row r="163" spans="3:33" ht="59" customHeight="1" x14ac:dyDescent="0.55000000000000004">
      <c r="C163" s="43" t="str">
        <f>+Tabla15[[#This Row],[N° 
Evento]]&amp;"-"&amp;Tabla15[[#This Row],[N° Tarea]]</f>
        <v>61-4</v>
      </c>
      <c r="D163" s="54">
        <v>61</v>
      </c>
      <c r="E163" s="54">
        <v>4</v>
      </c>
      <c r="F163" s="65" t="s">
        <v>505</v>
      </c>
      <c r="G163" s="44" t="s">
        <v>1053</v>
      </c>
      <c r="H163" s="59" t="s">
        <v>775</v>
      </c>
      <c r="I163" s="59" t="s">
        <v>517</v>
      </c>
      <c r="J163" s="46">
        <v>45524</v>
      </c>
      <c r="K163" s="57">
        <v>45535</v>
      </c>
      <c r="L163" s="47" t="str">
        <f>IF(Tabla15[[#This Row],[Fecha de Finalización]]&gt;0,"Cerrada","En Proceso")</f>
        <v>Cerrada</v>
      </c>
      <c r="M163" s="58">
        <f t="shared" si="5"/>
        <v>11</v>
      </c>
      <c r="N163" s="59" t="s">
        <v>519</v>
      </c>
      <c r="O163" s="54">
        <f>VLOOKUP(Tabla15[[#This Row],[N° 
Evento]],'Eventos de riesgos'!B:C,2,0)</f>
        <v>2024</v>
      </c>
      <c r="P163" s="54" t="str">
        <f>VLOOKUP(Tabla15[[#This Row],[N° 
Evento]],'Eventos de riesgos'!B:D,3,0)</f>
        <v>Jul</v>
      </c>
      <c r="Q163" s="60">
        <f>VLOOKUP(Tabla15[[#This Row],[N° 
Evento]],'Eventos de riesgos'!B:E,4,0)</f>
        <v>45482.557638888888</v>
      </c>
      <c r="R163" s="60">
        <f>VLOOKUP(Tabla15[[#This Row],[N° 
Evento]],'Eventos de riesgos'!B:F,5,0)</f>
        <v>45512.558333333334</v>
      </c>
      <c r="S163" s="60">
        <f>VLOOKUP(Tabla15[[#This Row],[N° 
Evento]],'Eventos de riesgos'!B:G,6,0)</f>
        <v>45524.558333333334</v>
      </c>
      <c r="T163"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3" s="61">
        <f>VLOOKUP(Tabla15[[#This Row],[N° 
Evento]],'Eventos de riesgos'!B:I,8,0)</f>
        <v>7568355</v>
      </c>
      <c r="V163" s="61">
        <f>VLOOKUP(Tabla15[[#This Row],[N° 
Evento]],'Eventos de riesgos'!B:J,9,0)</f>
        <v>7412237</v>
      </c>
      <c r="W163" s="61">
        <f>VLOOKUP(Tabla15[[#This Row],[N° 
Evento]],'Eventos de riesgos'!B:K,10,0)</f>
        <v>0</v>
      </c>
      <c r="X163" s="59" t="str">
        <f>VLOOKUP(Tabla15[[#This Row],[N° 
Evento]],'Eventos de riesgos'!B:L,11,0)</f>
        <v>6 - Fallas Tecnologicas</v>
      </c>
      <c r="Y163" s="59" t="str">
        <f>VLOOKUP(Tabla15[[#This Row],[N° 
Evento]],'Eventos de riesgos'!B:M,12,0)</f>
        <v>61 - Sistemas</v>
      </c>
      <c r="Z163" s="59" t="str">
        <f>VLOOKUP(Tabla15[[#This Row],[N° 
Evento]],'Eventos de riesgos'!B:N,13,0)</f>
        <v>611 - Pérdida por Problemas en Software</v>
      </c>
      <c r="AA163" s="59" t="str">
        <f>+VLOOKUP(Tabla15[[#This Row],[N° 
Evento]],'Eventos de riesgos'!$B$1:$AA$87,23,0)</f>
        <v>Pago doble de TC por error del sistema</v>
      </c>
      <c r="AB163" s="54" t="str">
        <f>VLOOKUP(Tabla15[[#This Row],[N° 
Evento]],'Eventos de riesgos'!B:O,14,0)</f>
        <v>Ninguna</v>
      </c>
      <c r="AC163" s="60">
        <f>VLOOKUP(Tabla15[[#This Row],[N° 
Evento]],'Eventos de riesgos'!B:P,15,0)</f>
        <v>45535.563194444447</v>
      </c>
      <c r="AD163" s="54" t="str">
        <f>VLOOKUP(Tabla15[[#This Row],[N° 
Evento]],'Eventos de riesgos'!B:Q,16,0)</f>
        <v>Tarjeta crédito</v>
      </c>
      <c r="AE163" s="54" t="str">
        <f>VLOOKUP(Tabla15[[#This Row],[N° 
Evento]],'Eventos de riesgos'!B:R,17,0)</f>
        <v>Ninguno</v>
      </c>
      <c r="AF163" s="56" t="str">
        <f>VLOOKUP(Tabla15[[#This Row],[N° 
Evento]],'Eventos de riesgos'!B:V,21,0)</f>
        <v>Aprobado</v>
      </c>
      <c r="AG163" s="59" t="str">
        <f>VLOOKUP(Tabla15[[#This Row],[N° 
Evento]],'Eventos de riesgos'!B:W,22,0)</f>
        <v>20/08/2024 13:33:05: Registrado
10/09/2024 12:53:39: Actualizado</v>
      </c>
    </row>
    <row r="164" spans="3:33" ht="59" customHeight="1" x14ac:dyDescent="0.55000000000000004">
      <c r="C164" s="43" t="str">
        <f>+Tabla15[[#This Row],[N° 
Evento]]&amp;"-"&amp;Tabla15[[#This Row],[N° Tarea]]</f>
        <v>61-5</v>
      </c>
      <c r="D164" s="54">
        <v>61</v>
      </c>
      <c r="E164" s="54">
        <v>5</v>
      </c>
      <c r="F164" s="55" t="s">
        <v>531</v>
      </c>
      <c r="G164" s="44" t="s">
        <v>1052</v>
      </c>
      <c r="H164" s="44" t="s">
        <v>771</v>
      </c>
      <c r="I164" s="56" t="s">
        <v>273</v>
      </c>
      <c r="J164" s="46">
        <v>45524</v>
      </c>
      <c r="K164" s="57">
        <v>45602</v>
      </c>
      <c r="L164" s="47" t="str">
        <f>IF(Tabla15[[#This Row],[Fecha de Finalización]]&gt;0,"Cerrada","En Proceso")</f>
        <v>Cerrada</v>
      </c>
      <c r="M164" s="58">
        <f t="shared" si="5"/>
        <v>78</v>
      </c>
      <c r="N164" s="59" t="s">
        <v>878</v>
      </c>
      <c r="O164" s="54">
        <f>VLOOKUP(Tabla15[[#This Row],[N° 
Evento]],'Eventos de riesgos'!B:C,2,0)</f>
        <v>2024</v>
      </c>
      <c r="P164" s="54" t="str">
        <f>VLOOKUP(Tabla15[[#This Row],[N° 
Evento]],'Eventos de riesgos'!B:D,3,0)</f>
        <v>Jul</v>
      </c>
      <c r="Q164" s="60">
        <f>VLOOKUP(Tabla15[[#This Row],[N° 
Evento]],'Eventos de riesgos'!B:E,4,0)</f>
        <v>45482.557638888888</v>
      </c>
      <c r="R164" s="60">
        <f>VLOOKUP(Tabla15[[#This Row],[N° 
Evento]],'Eventos de riesgos'!B:F,5,0)</f>
        <v>45512.558333333334</v>
      </c>
      <c r="S164" s="60">
        <f>VLOOKUP(Tabla15[[#This Row],[N° 
Evento]],'Eventos de riesgos'!B:G,6,0)</f>
        <v>45524.558333333334</v>
      </c>
      <c r="T164"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4" s="61">
        <f>VLOOKUP(Tabla15[[#This Row],[N° 
Evento]],'Eventos de riesgos'!B:I,8,0)</f>
        <v>7568355</v>
      </c>
      <c r="V164" s="61">
        <f>VLOOKUP(Tabla15[[#This Row],[N° 
Evento]],'Eventos de riesgos'!B:J,9,0)</f>
        <v>7412237</v>
      </c>
      <c r="W164" s="61">
        <f>VLOOKUP(Tabla15[[#This Row],[N° 
Evento]],'Eventos de riesgos'!B:K,10,0)</f>
        <v>0</v>
      </c>
      <c r="X164" s="59" t="str">
        <f>VLOOKUP(Tabla15[[#This Row],[N° 
Evento]],'Eventos de riesgos'!B:L,11,0)</f>
        <v>6 - Fallas Tecnologicas</v>
      </c>
      <c r="Y164" s="59" t="str">
        <f>VLOOKUP(Tabla15[[#This Row],[N° 
Evento]],'Eventos de riesgos'!B:M,12,0)</f>
        <v>61 - Sistemas</v>
      </c>
      <c r="Z164" s="59" t="str">
        <f>VLOOKUP(Tabla15[[#This Row],[N° 
Evento]],'Eventos de riesgos'!B:N,13,0)</f>
        <v>611 - Pérdida por Problemas en Software</v>
      </c>
      <c r="AA164" s="59" t="str">
        <f>+VLOOKUP(Tabla15[[#This Row],[N° 
Evento]],'Eventos de riesgos'!$B$1:$AA$87,23,0)</f>
        <v>Pago doble de TC por error del sistema</v>
      </c>
      <c r="AB164" s="54" t="str">
        <f>VLOOKUP(Tabla15[[#This Row],[N° 
Evento]],'Eventos de riesgos'!B:O,14,0)</f>
        <v>Ninguna</v>
      </c>
      <c r="AC164" s="60">
        <f>VLOOKUP(Tabla15[[#This Row],[N° 
Evento]],'Eventos de riesgos'!B:P,15,0)</f>
        <v>45535.563194444447</v>
      </c>
      <c r="AD164" s="54" t="str">
        <f>VLOOKUP(Tabla15[[#This Row],[N° 
Evento]],'Eventos de riesgos'!B:Q,16,0)</f>
        <v>Tarjeta crédito</v>
      </c>
      <c r="AE164" s="54" t="str">
        <f>VLOOKUP(Tabla15[[#This Row],[N° 
Evento]],'Eventos de riesgos'!B:R,17,0)</f>
        <v>Ninguno</v>
      </c>
      <c r="AF164" s="56" t="str">
        <f>VLOOKUP(Tabla15[[#This Row],[N° 
Evento]],'Eventos de riesgos'!B:V,21,0)</f>
        <v>Aprobado</v>
      </c>
      <c r="AG164" s="59" t="str">
        <f>VLOOKUP(Tabla15[[#This Row],[N° 
Evento]],'Eventos de riesgos'!B:W,22,0)</f>
        <v>20/08/2024 13:33:05: Registrado
10/09/2024 12:53:39: Actualizado</v>
      </c>
    </row>
    <row r="165" spans="3:33" ht="59" customHeight="1" x14ac:dyDescent="0.55000000000000004">
      <c r="C165" s="43" t="str">
        <f>+Tabla15[[#This Row],[N° 
Evento]]&amp;"-"&amp;Tabla15[[#This Row],[N° Tarea]]</f>
        <v>62-1</v>
      </c>
      <c r="D165" s="54">
        <v>62</v>
      </c>
      <c r="E165" s="54">
        <v>1</v>
      </c>
      <c r="F165" s="55" t="s">
        <v>503</v>
      </c>
      <c r="G165" s="44" t="s">
        <v>1052</v>
      </c>
      <c r="H165" s="59" t="s">
        <v>516</v>
      </c>
      <c r="I165" s="44" t="s">
        <v>514</v>
      </c>
      <c r="J165" s="57">
        <v>45513</v>
      </c>
      <c r="K165" s="57">
        <v>45535</v>
      </c>
      <c r="L165" s="47" t="str">
        <f>IF(Tabla15[[#This Row],[Fecha de Finalización]]&gt;0,"Cerrada","En Proceso")</f>
        <v>Cerrada</v>
      </c>
      <c r="M165" s="58">
        <f t="shared" si="5"/>
        <v>22</v>
      </c>
      <c r="N165" s="59" t="s">
        <v>879</v>
      </c>
      <c r="O165" s="54">
        <f>VLOOKUP(Tabla15[[#This Row],[N° 
Evento]],'Eventos de riesgos'!B:C,2,0)</f>
        <v>2024</v>
      </c>
      <c r="P165" s="54" t="str">
        <f>VLOOKUP(Tabla15[[#This Row],[N° 
Evento]],'Eventos de riesgos'!B:D,3,0)</f>
        <v>Ago</v>
      </c>
      <c r="Q165" s="60">
        <f>VLOOKUP(Tabla15[[#This Row],[N° 
Evento]],'Eventos de riesgos'!B:E,4,0)</f>
        <v>45513.577777777777</v>
      </c>
      <c r="R165" s="60">
        <f>VLOOKUP(Tabla15[[#This Row],[N° 
Evento]],'Eventos de riesgos'!B:F,5,0)</f>
        <v>45535.577777777777</v>
      </c>
      <c r="S165" s="60">
        <f>VLOOKUP(Tabla15[[#This Row],[N° 
Evento]],'Eventos de riesgos'!B:G,6,0)</f>
        <v>45513.577777777777</v>
      </c>
      <c r="T165" s="63" t="str">
        <f>VLOOKUP(Tabla15[[#This Row],[N° 
Evento]],'Eventos de riesgos'!B:H,7,0)</f>
        <v>CasoLa asociada Ingrid Frederick Obregón C.C. 1.020.723.306 registro una queja a la Cooperativa por no obtener solución oportuna acerca del endoso de una póliza sobre su préstamo, solicitada en abril de 2024:SolicitudBogotá, 09 de abril de 2024 Señores Febor Entidad Cooperativa Ciudad Referencia: Radicación Endoso Póliza Vida a mi Medida Deudor – Descontar cobros Cuota Crédito No. 1250738
Comunicado Jefe Jurídico 26 de abril 2024
Buenas tardes, Yolanda:De manera atenta solicitamos su amable apoyo con la validación de la solicitud de endoso de la póliza de vida que nos formula la empresa Telefectivos en nombre y representación de nuestra asociada Ingrid Frederick Obregon C.C. 1.020.723.306. Adjunto el documento con el que se pretende el endoso, donde constan sus condiciones de cobertura y beneficiario. Cordialmente,
Comunicado Yolanda 26 de abril 2024
Buenas tardes Sr. Andrés Camilo La póliza vida deudores presentada por la señora Ingrid Frederick cumple con la cobertura actual de la póliza Vida Deudores La Equidad-Febor: Amparo de vida - Muerte por cualquier causa hasta el saldo insoluto de la deuda Incapacidad total y permanente, por incapacidad laboral superior al 50% Cordial saludo, YOLANDA BUITRAGO Coordinadora de cuenta Comunicado Jefe Jurídico 26 de abril 2024
Buenas tardes, Nata:De manera atenta, solicito el procesamiento del endoso de la póliza vida deudores de la asociada Ingrid Frederick Obregón C.C. 1.020.723.306, de acuerdo con las condiciones del documento adjunto y el Vo.Bo. de Yolanda que consta en la trazabilidad. Quedo atento a tus inquietudes. Cordialmente,
Comunicado de Febor a Tanefectivos 15 de mayo 2024Aceptación del endoso a Axa ColpatriaComunicado Jefe Jurídico 9 de agosto 2024
Buenos días, estimado equipo de operaciones:
De manera atenta, solicito su apoyo para poder materializar el endoso de la póliza de vida deudores de la asociada Ingrid Frederick Obregón, quien desde abril del 2024, contrató la cobertura con AXA Colpatria tal como consta en el documento adjunto.
Igualmente, desde mayo se le notificó a la asociada y al intermediario que Febor Entidad Cooperativa aceptaba el endoso de la póliza en cumplimiento del numeral 2 del Artículo 100 de Estatuto Orgánico del Sistema Financiero (EOSF).
No obstante, a la fecha, aun no se ha completado en el sistema el endoso de la mentada póliza para el crédito No. 1250738, a pesar de que cumple los condicionamientos legales para su procedencia, circunstancia que nos pone en una presunta situación de incumplimiento y nos expone a las multas de las que trata el Artículo 2.363.2.5.5 y siguientes del Decreto 1084 del 2021.
Adjunto remito el correo donde se notificó al área operativa del endoso ya que contábamos con el Vo.Bo. previo de Yolanda. En consecuencia, todo dinero que se le haya descontado doblemente a la asociada por este concepto desde la fecha de su notificación debe ser restituido de inmediato y en adelante trasladar los dineros al beneficario del endoso.
Quedo atento a cualquier duda y/o inquietud sobre el particular.
Cordialmente,
Acciones
Responder la PQR en los tiempos establecidos. Área de Operaciones y área jurídicaTramitar el endoso de la póliza con prioridad. Área de Operaciones</v>
      </c>
      <c r="U165" s="61">
        <f>VLOOKUP(Tabla15[[#This Row],[N° 
Evento]],'Eventos de riesgos'!B:I,8,0)</f>
        <v>0</v>
      </c>
      <c r="V165" s="61">
        <f>VLOOKUP(Tabla15[[#This Row],[N° 
Evento]],'Eventos de riesgos'!B:J,9,0)</f>
        <v>0</v>
      </c>
      <c r="W165" s="61">
        <f>VLOOKUP(Tabla15[[#This Row],[N° 
Evento]],'Eventos de riesgos'!B:K,10,0)</f>
        <v>0</v>
      </c>
      <c r="X165" s="59" t="str">
        <f>VLOOKUP(Tabla15[[#This Row],[N° 
Evento]],'Eventos de riesgos'!B:L,11,0)</f>
        <v>7 - Ejecución y Administración de Procesos</v>
      </c>
      <c r="Y165" s="59" t="str">
        <f>VLOOKUP(Tabla15[[#This Row],[N° 
Evento]],'Eventos de riesgos'!B:M,12,0)</f>
        <v>71 - Recepción, Ejecución y Mantenimiento de Operaciones</v>
      </c>
      <c r="Z165" s="59" t="str">
        <f>VLOOKUP(Tabla15[[#This Row],[N° 
Evento]],'Eventos de riesgos'!B:N,13,0)</f>
        <v>713 - Incumplimiento de Plazos o Responsabilidades</v>
      </c>
      <c r="AA165" s="59" t="str">
        <f>+VLOOKUP(Tabla15[[#This Row],[N° 
Evento]],'Eventos de riesgos'!$B$1:$AA$87,23,0)</f>
        <v>Queja de asociado por demora en trámites</v>
      </c>
      <c r="AB165" s="54" t="str">
        <f>VLOOKUP(Tabla15[[#This Row],[N° 
Evento]],'Eventos de riesgos'!B:O,14,0)</f>
        <v>Ninguna</v>
      </c>
      <c r="AC165" s="60">
        <f>VLOOKUP(Tabla15[[#This Row],[N° 
Evento]],'Eventos de riesgos'!B:P,15,0)</f>
        <v>45535.576388888891</v>
      </c>
      <c r="AD165" s="54" t="str">
        <f>VLOOKUP(Tabla15[[#This Row],[N° 
Evento]],'Eventos de riesgos'!B:Q,16,0)</f>
        <v>Crédito de consumo</v>
      </c>
      <c r="AE165" s="54" t="str">
        <f>VLOOKUP(Tabla15[[#This Row],[N° 
Evento]],'Eventos de riesgos'!B:R,17,0)</f>
        <v>Buzón Quejas y Reclamos</v>
      </c>
      <c r="AF165" s="56" t="str">
        <f>VLOOKUP(Tabla15[[#This Row],[N° 
Evento]],'Eventos de riesgos'!B:V,21,0)</f>
        <v>Aprobado</v>
      </c>
      <c r="AG165" s="59" t="str">
        <f>VLOOKUP(Tabla15[[#This Row],[N° 
Evento]],'Eventos de riesgos'!B:W,22,0)</f>
        <v>20/08/2024 13:53:43: Registrado</v>
      </c>
    </row>
    <row r="166" spans="3:33" ht="59" customHeight="1" x14ac:dyDescent="0.55000000000000004">
      <c r="C166" s="43" t="str">
        <f>+Tabla15[[#This Row],[N° 
Evento]]&amp;"-"&amp;Tabla15[[#This Row],[N° Tarea]]</f>
        <v>62-2</v>
      </c>
      <c r="D166" s="54">
        <v>62</v>
      </c>
      <c r="E166" s="54">
        <v>2</v>
      </c>
      <c r="F166" s="55" t="s">
        <v>515</v>
      </c>
      <c r="G166" s="44" t="s">
        <v>1052</v>
      </c>
      <c r="H166" s="59" t="s">
        <v>509</v>
      </c>
      <c r="I166" s="56" t="s">
        <v>511</v>
      </c>
      <c r="J166" s="57">
        <v>45513</v>
      </c>
      <c r="K166" s="57">
        <v>45535</v>
      </c>
      <c r="L166" s="47" t="str">
        <f>IF(Tabla15[[#This Row],[Fecha de Finalización]]&gt;0,"Cerrada","En Proceso")</f>
        <v>Cerrada</v>
      </c>
      <c r="M166" s="58">
        <f t="shared" si="5"/>
        <v>22</v>
      </c>
      <c r="N166" s="59" t="s">
        <v>879</v>
      </c>
      <c r="O166" s="54">
        <f>VLOOKUP(Tabla15[[#This Row],[N° 
Evento]],'Eventos de riesgos'!B:C,2,0)</f>
        <v>2024</v>
      </c>
      <c r="P166" s="54" t="str">
        <f>VLOOKUP(Tabla15[[#This Row],[N° 
Evento]],'Eventos de riesgos'!B:D,3,0)</f>
        <v>Ago</v>
      </c>
      <c r="Q166" s="60">
        <f>VLOOKUP(Tabla15[[#This Row],[N° 
Evento]],'Eventos de riesgos'!B:E,4,0)</f>
        <v>45513.577777777777</v>
      </c>
      <c r="R166" s="60">
        <f>VLOOKUP(Tabla15[[#This Row],[N° 
Evento]],'Eventos de riesgos'!B:F,5,0)</f>
        <v>45535.577777777777</v>
      </c>
      <c r="S166" s="60">
        <f>VLOOKUP(Tabla15[[#This Row],[N° 
Evento]],'Eventos de riesgos'!B:G,6,0)</f>
        <v>45513.577777777777</v>
      </c>
      <c r="T166" s="63" t="str">
        <f>VLOOKUP(Tabla15[[#This Row],[N° 
Evento]],'Eventos de riesgos'!B:H,7,0)</f>
        <v>CasoLa asociada Ingrid Frederick Obregón C.C. 1.020.723.306 registro una queja a la Cooperativa por no obtener solución oportuna acerca del endoso de una póliza sobre su préstamo, solicitada en abril de 2024:SolicitudBogotá, 09 de abril de 2024 Señores Febor Entidad Cooperativa Ciudad Referencia: Radicación Endoso Póliza Vida a mi Medida Deudor – Descontar cobros Cuota Crédito No. 1250738
Comunicado Jefe Jurídico 26 de abril 2024
Buenas tardes, Yolanda:De manera atenta solicitamos su amable apoyo con la validación de la solicitud de endoso de la póliza de vida que nos formula la empresa Telefectivos en nombre y representación de nuestra asociada Ingrid Frederick Obregon C.C. 1.020.723.306. Adjunto el documento con el que se pretende el endoso, donde constan sus condiciones de cobertura y beneficiario. Cordialmente,
Comunicado Yolanda 26 de abril 2024
Buenas tardes Sr. Andrés Camilo La póliza vida deudores presentada por la señora Ingrid Frederick cumple con la cobertura actual de la póliza Vida Deudores La Equidad-Febor: Amparo de vida - Muerte por cualquier causa hasta el saldo insoluto de la deuda Incapacidad total y permanente, por incapacidad laboral superior al 50% Cordial saludo, YOLANDA BUITRAGO Coordinadora de cuenta Comunicado Jefe Jurídico 26 de abril 2024
Buenas tardes, Nata:De manera atenta, solicito el procesamiento del endoso de la póliza vida deudores de la asociada Ingrid Frederick Obregón C.C. 1.020.723.306, de acuerdo con las condiciones del documento adjunto y el Vo.Bo. de Yolanda que consta en la trazabilidad. Quedo atento a tus inquietudes. Cordialmente,
Comunicado de Febor a Tanefectivos 15 de mayo 2024Aceptación del endoso a Axa ColpatriaComunicado Jefe Jurídico 9 de agosto 2024
Buenos días, estimado equipo de operaciones:
De manera atenta, solicito su apoyo para poder materializar el endoso de la póliza de vida deudores de la asociada Ingrid Frederick Obregón, quien desde abril del 2024, contrató la cobertura con AXA Colpatria tal como consta en el documento adjunto.
Igualmente, desde mayo se le notificó a la asociada y al intermediario que Febor Entidad Cooperativa aceptaba el endoso de la póliza en cumplimiento del numeral 2 del Artículo 100 de Estatuto Orgánico del Sistema Financiero (EOSF).
No obstante, a la fecha, aun no se ha completado en el sistema el endoso de la mentada póliza para el crédito No. 1250738, a pesar de que cumple los condicionamientos legales para su procedencia, circunstancia que nos pone en una presunta situación de incumplimiento y nos expone a las multas de las que trata el Artículo 2.363.2.5.5 y siguientes del Decreto 1084 del 2021.
Adjunto remito el correo donde se notificó al área operativa del endoso ya que contábamos con el Vo.Bo. previo de Yolanda. En consecuencia, todo dinero que se le haya descontado doblemente a la asociada por este concepto desde la fecha de su notificación debe ser restituido de inmediato y en adelante trasladar los dineros al beneficario del endoso.
Quedo atento a cualquier duda y/o inquietud sobre el particular.
Cordialmente,
Acciones
Responder la PQR en los tiempos establecidos. Área de Operaciones y área jurídicaTramitar el endoso de la póliza con prioridad. Área de Operaciones</v>
      </c>
      <c r="U166" s="61">
        <f>VLOOKUP(Tabla15[[#This Row],[N° 
Evento]],'Eventos de riesgos'!B:I,8,0)</f>
        <v>0</v>
      </c>
      <c r="V166" s="61">
        <f>VLOOKUP(Tabla15[[#This Row],[N° 
Evento]],'Eventos de riesgos'!B:J,9,0)</f>
        <v>0</v>
      </c>
      <c r="W166" s="61">
        <f>VLOOKUP(Tabla15[[#This Row],[N° 
Evento]],'Eventos de riesgos'!B:K,10,0)</f>
        <v>0</v>
      </c>
      <c r="X166" s="59" t="str">
        <f>VLOOKUP(Tabla15[[#This Row],[N° 
Evento]],'Eventos de riesgos'!B:L,11,0)</f>
        <v>7 - Ejecución y Administración de Procesos</v>
      </c>
      <c r="Y166" s="59" t="str">
        <f>VLOOKUP(Tabla15[[#This Row],[N° 
Evento]],'Eventos de riesgos'!B:M,12,0)</f>
        <v>71 - Recepción, Ejecución y Mantenimiento de Operaciones</v>
      </c>
      <c r="Z166" s="59" t="str">
        <f>VLOOKUP(Tabla15[[#This Row],[N° 
Evento]],'Eventos de riesgos'!B:N,13,0)</f>
        <v>713 - Incumplimiento de Plazos o Responsabilidades</v>
      </c>
      <c r="AA166" s="59" t="str">
        <f>+VLOOKUP(Tabla15[[#This Row],[N° 
Evento]],'Eventos de riesgos'!$B$1:$AA$87,23,0)</f>
        <v>Queja de asociado por demora en trámites</v>
      </c>
      <c r="AB166" s="54" t="str">
        <f>VLOOKUP(Tabla15[[#This Row],[N° 
Evento]],'Eventos de riesgos'!B:O,14,0)</f>
        <v>Ninguna</v>
      </c>
      <c r="AC166" s="60">
        <f>VLOOKUP(Tabla15[[#This Row],[N° 
Evento]],'Eventos de riesgos'!B:P,15,0)</f>
        <v>45535.576388888891</v>
      </c>
      <c r="AD166" s="54" t="str">
        <f>VLOOKUP(Tabla15[[#This Row],[N° 
Evento]],'Eventos de riesgos'!B:Q,16,0)</f>
        <v>Crédito de consumo</v>
      </c>
      <c r="AE166" s="54" t="str">
        <f>VLOOKUP(Tabla15[[#This Row],[N° 
Evento]],'Eventos de riesgos'!B:R,17,0)</f>
        <v>Buzón Quejas y Reclamos</v>
      </c>
      <c r="AF166" s="56" t="str">
        <f>VLOOKUP(Tabla15[[#This Row],[N° 
Evento]],'Eventos de riesgos'!B:V,21,0)</f>
        <v>Aprobado</v>
      </c>
      <c r="AG166" s="59" t="str">
        <f>VLOOKUP(Tabla15[[#This Row],[N° 
Evento]],'Eventos de riesgos'!B:W,22,0)</f>
        <v>20/08/2024 13:53:43: Registrado</v>
      </c>
    </row>
    <row r="167" spans="3:33" ht="59" customHeight="1" x14ac:dyDescent="0.55000000000000004">
      <c r="C167" s="43" t="str">
        <f>+Tabla15[[#This Row],[N° 
Evento]]&amp;"-"&amp;Tabla15[[#This Row],[N° Tarea]]</f>
        <v>63-1</v>
      </c>
      <c r="D167" s="54">
        <v>63</v>
      </c>
      <c r="E167" s="54">
        <v>1</v>
      </c>
      <c r="F167" s="55" t="s">
        <v>507</v>
      </c>
      <c r="G167" s="44" t="s">
        <v>1052</v>
      </c>
      <c r="H167" s="59" t="s">
        <v>765</v>
      </c>
      <c r="I167" s="56" t="s">
        <v>259</v>
      </c>
      <c r="J167" s="57">
        <v>45526</v>
      </c>
      <c r="K167" s="57">
        <v>45527</v>
      </c>
      <c r="L167" s="47" t="str">
        <f>IF(Tabla15[[#This Row],[Fecha de Finalización]]&gt;0,"Cerrada","En Proceso")</f>
        <v>Cerrada</v>
      </c>
      <c r="M167" s="58">
        <f t="shared" si="5"/>
        <v>1</v>
      </c>
      <c r="N167" s="68" t="e" vm="1">
        <v>#VALUE!</v>
      </c>
      <c r="O167" s="54">
        <f>VLOOKUP(Tabla15[[#This Row],[N° 
Evento]],'Eventos de riesgos'!B:C,2,0)</f>
        <v>2024</v>
      </c>
      <c r="P167" s="54" t="str">
        <f>VLOOKUP(Tabla15[[#This Row],[N° 
Evento]],'Eventos de riesgos'!B:D,3,0)</f>
        <v>Ago</v>
      </c>
      <c r="Q167" s="60">
        <f>VLOOKUP(Tabla15[[#This Row],[N° 
Evento]],'Eventos de riesgos'!B:E,4,0)</f>
        <v>45526.581250000003</v>
      </c>
      <c r="R167" s="60">
        <f>VLOOKUP(Tabla15[[#This Row],[N° 
Evento]],'Eventos de riesgos'!B:F,5,0)</f>
        <v>45527.581944444442</v>
      </c>
      <c r="S167" s="60">
        <f>VLOOKUP(Tabla15[[#This Row],[N° 
Evento]],'Eventos de riesgos'!B:G,6,0)</f>
        <v>45527.581944444442</v>
      </c>
      <c r="T167" s="63" t="str">
        <f>VLOOKUP(Tabla15[[#This Row],[N° 
Evento]],'Eventos de riesgos'!B:H,7,0)</f>
        <v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v>
      </c>
      <c r="U167" s="61">
        <f>VLOOKUP(Tabla15[[#This Row],[N° 
Evento]],'Eventos de riesgos'!B:I,8,0)</f>
        <v>0</v>
      </c>
      <c r="V167" s="61">
        <f>VLOOKUP(Tabla15[[#This Row],[N° 
Evento]],'Eventos de riesgos'!B:J,9,0)</f>
        <v>0</v>
      </c>
      <c r="W167" s="61">
        <f>VLOOKUP(Tabla15[[#This Row],[N° 
Evento]],'Eventos de riesgos'!B:K,10,0)</f>
        <v>0</v>
      </c>
      <c r="X167" s="59" t="str">
        <f>VLOOKUP(Tabla15[[#This Row],[N° 
Evento]],'Eventos de riesgos'!B:L,11,0)</f>
        <v>7 - Ejecución y Administración de Procesos</v>
      </c>
      <c r="Y167" s="59" t="str">
        <f>VLOOKUP(Tabla15[[#This Row],[N° 
Evento]],'Eventos de riesgos'!B:M,12,0)</f>
        <v>71 - Recepción, Ejecución y Mantenimiento de Operaciones</v>
      </c>
      <c r="Z167" s="59" t="str">
        <f>VLOOKUP(Tabla15[[#This Row],[N° 
Evento]],'Eventos de riesgos'!B:N,13,0)</f>
        <v>714 - Ejecución Errónea de Modelos o de Sistemas</v>
      </c>
      <c r="AA167" s="59" t="str">
        <f>+VLOOKUP(Tabla15[[#This Row],[N° 
Evento]],'Eventos de riesgos'!$B$1:$AA$87,23,0)</f>
        <v>Suspensión de la operación de crédito</v>
      </c>
      <c r="AB167" s="54" t="str">
        <f>VLOOKUP(Tabla15[[#This Row],[N° 
Evento]],'Eventos de riesgos'!B:O,14,0)</f>
        <v>Ninguna</v>
      </c>
      <c r="AC167" s="60">
        <f>VLOOKUP(Tabla15[[#This Row],[N° 
Evento]],'Eventos de riesgos'!B:P,15,0)</f>
        <v>45535.581944444442</v>
      </c>
      <c r="AD167" s="54" t="str">
        <f>VLOOKUP(Tabla15[[#This Row],[N° 
Evento]],'Eventos de riesgos'!B:Q,16,0)</f>
        <v>Varios tipos de crédito</v>
      </c>
      <c r="AE167" s="54" t="str">
        <f>VLOOKUP(Tabla15[[#This Row],[N° 
Evento]],'Eventos de riesgos'!B:R,17,0)</f>
        <v>Ninguno</v>
      </c>
      <c r="AF167" s="56" t="str">
        <f>VLOOKUP(Tabla15[[#This Row],[N° 
Evento]],'Eventos de riesgos'!B:V,21,0)</f>
        <v>Aprobado</v>
      </c>
      <c r="AG167" s="59" t="str">
        <f>VLOOKUP(Tabla15[[#This Row],[N° 
Evento]],'Eventos de riesgos'!B:W,22,0)</f>
        <v>20/08/2024 13:59:12: Registrado
10/09/2024 16:09:58: Creado
14/09/2024 23:22:20: Actualizado
18/09/2024 08:53:39: Acrualizado</v>
      </c>
    </row>
    <row r="168" spans="3:33" ht="59" customHeight="1" x14ac:dyDescent="0.55000000000000004">
      <c r="C168" s="43" t="str">
        <f>+Tabla15[[#This Row],[N° 
Evento]]&amp;"-"&amp;Tabla15[[#This Row],[N° Tarea]]</f>
        <v>63-2</v>
      </c>
      <c r="D168" s="54">
        <v>63</v>
      </c>
      <c r="E168" s="54">
        <v>2</v>
      </c>
      <c r="F168" s="55" t="s">
        <v>508</v>
      </c>
      <c r="G168" s="44" t="s">
        <v>1052</v>
      </c>
      <c r="H168" s="59" t="s">
        <v>765</v>
      </c>
      <c r="I168" s="56" t="s">
        <v>259</v>
      </c>
      <c r="J168" s="57">
        <v>45526</v>
      </c>
      <c r="K168" s="57">
        <v>45527</v>
      </c>
      <c r="L168" s="47" t="str">
        <f>IF(Tabla15[[#This Row],[Fecha de Finalización]]&gt;0,"Cerrada","En Proceso")</f>
        <v>Cerrada</v>
      </c>
      <c r="M168" s="58">
        <f t="shared" si="5"/>
        <v>1</v>
      </c>
      <c r="N168" s="59" t="s">
        <v>880</v>
      </c>
      <c r="O168" s="54">
        <f>VLOOKUP(Tabla15[[#This Row],[N° 
Evento]],'Eventos de riesgos'!B:C,2,0)</f>
        <v>2024</v>
      </c>
      <c r="P168" s="54" t="str">
        <f>VLOOKUP(Tabla15[[#This Row],[N° 
Evento]],'Eventos de riesgos'!B:D,3,0)</f>
        <v>Ago</v>
      </c>
      <c r="Q168" s="60">
        <f>VLOOKUP(Tabla15[[#This Row],[N° 
Evento]],'Eventos de riesgos'!B:E,4,0)</f>
        <v>45526.581250000003</v>
      </c>
      <c r="R168" s="60">
        <f>VLOOKUP(Tabla15[[#This Row],[N° 
Evento]],'Eventos de riesgos'!B:F,5,0)</f>
        <v>45527.581944444442</v>
      </c>
      <c r="S168" s="60">
        <f>VLOOKUP(Tabla15[[#This Row],[N° 
Evento]],'Eventos de riesgos'!B:G,6,0)</f>
        <v>45527.581944444442</v>
      </c>
      <c r="T168" s="63" t="str">
        <f>VLOOKUP(Tabla15[[#This Row],[N° 
Evento]],'Eventos de riesgos'!B:H,7,0)</f>
        <v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v>
      </c>
      <c r="U168" s="61">
        <f>VLOOKUP(Tabla15[[#This Row],[N° 
Evento]],'Eventos de riesgos'!B:I,8,0)</f>
        <v>0</v>
      </c>
      <c r="V168" s="61">
        <f>VLOOKUP(Tabla15[[#This Row],[N° 
Evento]],'Eventos de riesgos'!B:J,9,0)</f>
        <v>0</v>
      </c>
      <c r="W168" s="61">
        <f>VLOOKUP(Tabla15[[#This Row],[N° 
Evento]],'Eventos de riesgos'!B:K,10,0)</f>
        <v>0</v>
      </c>
      <c r="X168" s="59" t="str">
        <f>VLOOKUP(Tabla15[[#This Row],[N° 
Evento]],'Eventos de riesgos'!B:L,11,0)</f>
        <v>7 - Ejecución y Administración de Procesos</v>
      </c>
      <c r="Y168" s="59" t="str">
        <f>VLOOKUP(Tabla15[[#This Row],[N° 
Evento]],'Eventos de riesgos'!B:M,12,0)</f>
        <v>71 - Recepción, Ejecución y Mantenimiento de Operaciones</v>
      </c>
      <c r="Z168" s="59" t="str">
        <f>VLOOKUP(Tabla15[[#This Row],[N° 
Evento]],'Eventos de riesgos'!B:N,13,0)</f>
        <v>714 - Ejecución Errónea de Modelos o de Sistemas</v>
      </c>
      <c r="AA168" s="59" t="str">
        <f>+VLOOKUP(Tabla15[[#This Row],[N° 
Evento]],'Eventos de riesgos'!$B$1:$AA$87,23,0)</f>
        <v>Suspensión de la operación de crédito</v>
      </c>
      <c r="AB168" s="54" t="str">
        <f>VLOOKUP(Tabla15[[#This Row],[N° 
Evento]],'Eventos de riesgos'!B:O,14,0)</f>
        <v>Ninguna</v>
      </c>
      <c r="AC168" s="60">
        <f>VLOOKUP(Tabla15[[#This Row],[N° 
Evento]],'Eventos de riesgos'!B:P,15,0)</f>
        <v>45535.581944444442</v>
      </c>
      <c r="AD168" s="54" t="str">
        <f>VLOOKUP(Tabla15[[#This Row],[N° 
Evento]],'Eventos de riesgos'!B:Q,16,0)</f>
        <v>Varios tipos de crédito</v>
      </c>
      <c r="AE168" s="54" t="str">
        <f>VLOOKUP(Tabla15[[#This Row],[N° 
Evento]],'Eventos de riesgos'!B:R,17,0)</f>
        <v>Ninguno</v>
      </c>
      <c r="AF168" s="56" t="str">
        <f>VLOOKUP(Tabla15[[#This Row],[N° 
Evento]],'Eventos de riesgos'!B:V,21,0)</f>
        <v>Aprobado</v>
      </c>
      <c r="AG168" s="59" t="str">
        <f>VLOOKUP(Tabla15[[#This Row],[N° 
Evento]],'Eventos de riesgos'!B:W,22,0)</f>
        <v>20/08/2024 13:59:12: Registrado
10/09/2024 16:09:58: Creado
14/09/2024 23:22:20: Actualizado
18/09/2024 08:53:39: Acrualizado</v>
      </c>
    </row>
    <row r="169" spans="3:33" ht="59" customHeight="1" x14ac:dyDescent="0.55000000000000004">
      <c r="C169" s="43" t="str">
        <f>+Tabla15[[#This Row],[N° 
Evento]]&amp;"-"&amp;Tabla15[[#This Row],[N° Tarea]]</f>
        <v>63-3</v>
      </c>
      <c r="D169" s="54">
        <v>63</v>
      </c>
      <c r="E169" s="54">
        <v>3</v>
      </c>
      <c r="F169" s="55" t="s">
        <v>881</v>
      </c>
      <c r="G169" s="44" t="s">
        <v>1053</v>
      </c>
      <c r="H169" s="59" t="s">
        <v>765</v>
      </c>
      <c r="I169" s="56" t="s">
        <v>259</v>
      </c>
      <c r="J169" s="57">
        <v>45526</v>
      </c>
      <c r="K169" s="57">
        <v>45548</v>
      </c>
      <c r="L169" s="47" t="str">
        <f>IF(Tabla15[[#This Row],[Fecha de Finalización]]&gt;0,"Cerrada","En Proceso")</f>
        <v>Cerrada</v>
      </c>
      <c r="M169" s="58">
        <f t="shared" si="5"/>
        <v>22</v>
      </c>
      <c r="N169" s="59" t="s">
        <v>565</v>
      </c>
      <c r="O169" s="54">
        <f>VLOOKUP(Tabla15[[#This Row],[N° 
Evento]],'Eventos de riesgos'!B:C,2,0)</f>
        <v>2024</v>
      </c>
      <c r="P169" s="54" t="str">
        <f>VLOOKUP(Tabla15[[#This Row],[N° 
Evento]],'Eventos de riesgos'!B:D,3,0)</f>
        <v>Ago</v>
      </c>
      <c r="Q169" s="60">
        <f>VLOOKUP(Tabla15[[#This Row],[N° 
Evento]],'Eventos de riesgos'!B:E,4,0)</f>
        <v>45526.581250000003</v>
      </c>
      <c r="R169" s="60">
        <f>VLOOKUP(Tabla15[[#This Row],[N° 
Evento]],'Eventos de riesgos'!B:F,5,0)</f>
        <v>45527.581944444442</v>
      </c>
      <c r="S169" s="60">
        <f>VLOOKUP(Tabla15[[#This Row],[N° 
Evento]],'Eventos de riesgos'!B:G,6,0)</f>
        <v>45527.581944444442</v>
      </c>
      <c r="T169" s="63" t="str">
        <f>VLOOKUP(Tabla15[[#This Row],[N° 
Evento]],'Eventos de riesgos'!B:H,7,0)</f>
        <v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v>
      </c>
      <c r="U169" s="61">
        <f>VLOOKUP(Tabla15[[#This Row],[N° 
Evento]],'Eventos de riesgos'!B:I,8,0)</f>
        <v>0</v>
      </c>
      <c r="V169" s="61">
        <f>VLOOKUP(Tabla15[[#This Row],[N° 
Evento]],'Eventos de riesgos'!B:J,9,0)</f>
        <v>0</v>
      </c>
      <c r="W169" s="61">
        <f>VLOOKUP(Tabla15[[#This Row],[N° 
Evento]],'Eventos de riesgos'!B:K,10,0)</f>
        <v>0</v>
      </c>
      <c r="X169" s="59" t="str">
        <f>VLOOKUP(Tabla15[[#This Row],[N° 
Evento]],'Eventos de riesgos'!B:L,11,0)</f>
        <v>7 - Ejecución y Administración de Procesos</v>
      </c>
      <c r="Y169" s="59" t="str">
        <f>VLOOKUP(Tabla15[[#This Row],[N° 
Evento]],'Eventos de riesgos'!B:M,12,0)</f>
        <v>71 - Recepción, Ejecución y Mantenimiento de Operaciones</v>
      </c>
      <c r="Z169" s="59" t="str">
        <f>VLOOKUP(Tabla15[[#This Row],[N° 
Evento]],'Eventos de riesgos'!B:N,13,0)</f>
        <v>714 - Ejecución Errónea de Modelos o de Sistemas</v>
      </c>
      <c r="AA169" s="59" t="str">
        <f>+VLOOKUP(Tabla15[[#This Row],[N° 
Evento]],'Eventos de riesgos'!$B$1:$AA$87,23,0)</f>
        <v>Suspensión de la operación de crédito</v>
      </c>
      <c r="AB169" s="54" t="str">
        <f>VLOOKUP(Tabla15[[#This Row],[N° 
Evento]],'Eventos de riesgos'!B:O,14,0)</f>
        <v>Ninguna</v>
      </c>
      <c r="AC169" s="60">
        <f>VLOOKUP(Tabla15[[#This Row],[N° 
Evento]],'Eventos de riesgos'!B:P,15,0)</f>
        <v>45535.581944444442</v>
      </c>
      <c r="AD169" s="54" t="str">
        <f>VLOOKUP(Tabla15[[#This Row],[N° 
Evento]],'Eventos de riesgos'!B:Q,16,0)</f>
        <v>Varios tipos de crédito</v>
      </c>
      <c r="AE169" s="54" t="str">
        <f>VLOOKUP(Tabla15[[#This Row],[N° 
Evento]],'Eventos de riesgos'!B:R,17,0)</f>
        <v>Ninguno</v>
      </c>
      <c r="AF169" s="56" t="str">
        <f>VLOOKUP(Tabla15[[#This Row],[N° 
Evento]],'Eventos de riesgos'!B:V,21,0)</f>
        <v>Aprobado</v>
      </c>
      <c r="AG169" s="59" t="str">
        <f>VLOOKUP(Tabla15[[#This Row],[N° 
Evento]],'Eventos de riesgos'!B:W,22,0)</f>
        <v>20/08/2024 13:59:12: Registrado
10/09/2024 16:09:58: Creado
14/09/2024 23:22:20: Actualizado
18/09/2024 08:53:39: Acrualizado</v>
      </c>
    </row>
    <row r="170" spans="3:33" ht="59" customHeight="1" x14ac:dyDescent="0.55000000000000004">
      <c r="C170" s="54" t="str">
        <f>+Tabla15[[#This Row],[N° 
Evento]]&amp;"-"&amp;Tabla15[[#This Row],[N° Tarea]]</f>
        <v>64-1</v>
      </c>
      <c r="D170" s="54">
        <v>64</v>
      </c>
      <c r="E170" s="54">
        <v>1</v>
      </c>
      <c r="F170" s="55" t="s">
        <v>529</v>
      </c>
      <c r="G170" s="44" t="s">
        <v>1052</v>
      </c>
      <c r="H170" s="59" t="s">
        <v>776</v>
      </c>
      <c r="I170" s="59" t="s">
        <v>530</v>
      </c>
      <c r="J170" s="57">
        <v>45516</v>
      </c>
      <c r="K170" s="57">
        <v>45534</v>
      </c>
      <c r="L170" s="47" t="str">
        <f>IF(Tabla15[[#This Row],[Fecha de Finalización]]&gt;0,"Cerrada","En Proceso")</f>
        <v>Cerrada</v>
      </c>
      <c r="M170" s="58">
        <f t="shared" si="5"/>
        <v>18</v>
      </c>
      <c r="N170" s="59" t="s">
        <v>882</v>
      </c>
      <c r="O170" s="54">
        <f>VLOOKUP(Tabla15[[#This Row],[N° 
Evento]],'Eventos de riesgos'!B:C,2,0)</f>
        <v>2024</v>
      </c>
      <c r="P170" s="54" t="str">
        <f>VLOOKUP(Tabla15[[#This Row],[N° 
Evento]],'Eventos de riesgos'!B:D,3,0)</f>
        <v>Sep</v>
      </c>
      <c r="Q170" s="60">
        <f>VLOOKUP(Tabla15[[#This Row],[N° 
Evento]],'Eventos de riesgos'!B:E,4,0)</f>
        <v>45516.40902777778</v>
      </c>
      <c r="R170" s="60">
        <f>VLOOKUP(Tabla15[[#This Row],[N° 
Evento]],'Eventos de riesgos'!B:F,5,0)</f>
        <v>45516.409722222219</v>
      </c>
      <c r="S170" s="60">
        <f>VLOOKUP(Tabla15[[#This Row],[N° 
Evento]],'Eventos de riesgos'!B:G,6,0)</f>
        <v>45518.409722222219</v>
      </c>
      <c r="T170"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0" s="61">
        <f>VLOOKUP(Tabla15[[#This Row],[N° 
Evento]],'Eventos de riesgos'!B:I,8,0)</f>
        <v>104402</v>
      </c>
      <c r="V170" s="61">
        <f>VLOOKUP(Tabla15[[#This Row],[N° 
Evento]],'Eventos de riesgos'!B:J,9,0)</f>
        <v>0</v>
      </c>
      <c r="W170" s="61">
        <f>VLOOKUP(Tabla15[[#This Row],[N° 
Evento]],'Eventos de riesgos'!B:K,10,0)</f>
        <v>0</v>
      </c>
      <c r="X170" s="59" t="str">
        <f>VLOOKUP(Tabla15[[#This Row],[N° 
Evento]],'Eventos de riesgos'!B:L,11,0)</f>
        <v>7 - Ejecución y Administración de Procesos</v>
      </c>
      <c r="Y170" s="59" t="str">
        <f>VLOOKUP(Tabla15[[#This Row],[N° 
Evento]],'Eventos de riesgos'!B:M,12,0)</f>
        <v>71 - Recepción, Ejecución y Mantenimiento de Operaciones</v>
      </c>
      <c r="Z170" s="59" t="str">
        <f>VLOOKUP(Tabla15[[#This Row],[N° 
Evento]],'Eventos de riesgos'!B:N,13,0)</f>
        <v>714 - Ejecución Errónea de Modelos o de Sistemas</v>
      </c>
      <c r="AA170" s="59" t="str">
        <f>+VLOOKUP(Tabla15[[#This Row],[N° 
Evento]],'Eventos de riesgos'!$B$1:$AA$87,23,0)</f>
        <v>Falla en renovación automática de CDATs</v>
      </c>
      <c r="AB170" s="54" t="str">
        <f>VLOOKUP(Tabla15[[#This Row],[N° 
Evento]],'Eventos de riesgos'!B:O,14,0)</f>
        <v>Ninguna</v>
      </c>
      <c r="AC170" s="60">
        <f>VLOOKUP(Tabla15[[#This Row],[N° 
Evento]],'Eventos de riesgos'!B:P,15,0)</f>
        <v>45535.55</v>
      </c>
      <c r="AD170" s="54" t="str">
        <f>VLOOKUP(Tabla15[[#This Row],[N° 
Evento]],'Eventos de riesgos'!B:Q,16,0)</f>
        <v>CDAT</v>
      </c>
      <c r="AE170" s="54" t="str">
        <f>VLOOKUP(Tabla15[[#This Row],[N° 
Evento]],'Eventos de riesgos'!B:R,17,0)</f>
        <v>Ninguno</v>
      </c>
      <c r="AF170" s="56" t="str">
        <f>VLOOKUP(Tabla15[[#This Row],[N° 
Evento]],'Eventos de riesgos'!B:V,21,0)</f>
        <v>Aprobado</v>
      </c>
      <c r="AG170" s="59" t="str">
        <f>VLOOKUP(Tabla15[[#This Row],[N° 
Evento]],'Eventos de riesgos'!B:W,22,0)</f>
        <v>18/09/2024 10:02:45: Creación
17/10/2024 12:34:31: .
17/10/2024 16:58:51: Actualizado
18/10/2024 13:14:29: Actualizado</v>
      </c>
    </row>
    <row r="171" spans="3:33" ht="59" customHeight="1" x14ac:dyDescent="0.55000000000000004">
      <c r="C171" s="54" t="str">
        <f>+Tabla15[[#This Row],[N° 
Evento]]&amp;"-"&amp;Tabla15[[#This Row],[N° Tarea]]</f>
        <v>64-2</v>
      </c>
      <c r="D171" s="54">
        <v>64</v>
      </c>
      <c r="E171" s="54">
        <v>2</v>
      </c>
      <c r="F171" s="55" t="s">
        <v>540</v>
      </c>
      <c r="G171" s="44" t="s">
        <v>1052</v>
      </c>
      <c r="H171" s="59" t="s">
        <v>509</v>
      </c>
      <c r="I171" s="56" t="s">
        <v>511</v>
      </c>
      <c r="J171" s="57">
        <v>45516</v>
      </c>
      <c r="K171" s="57">
        <v>45516</v>
      </c>
      <c r="L171" s="47" t="str">
        <f>IF(Tabla15[[#This Row],[Fecha de Finalización]]&gt;0,"Cerrada","En Proceso")</f>
        <v>Cerrada</v>
      </c>
      <c r="M171" s="58">
        <f t="shared" si="5"/>
        <v>0</v>
      </c>
      <c r="N171" s="59" t="s">
        <v>541</v>
      </c>
      <c r="O171" s="54">
        <f>VLOOKUP(Tabla15[[#This Row],[N° 
Evento]],'Eventos de riesgos'!B:C,2,0)</f>
        <v>2024</v>
      </c>
      <c r="P171" s="54" t="str">
        <f>VLOOKUP(Tabla15[[#This Row],[N° 
Evento]],'Eventos de riesgos'!B:D,3,0)</f>
        <v>Sep</v>
      </c>
      <c r="Q171" s="60">
        <f>VLOOKUP(Tabla15[[#This Row],[N° 
Evento]],'Eventos de riesgos'!B:E,4,0)</f>
        <v>45516.40902777778</v>
      </c>
      <c r="R171" s="60">
        <f>VLOOKUP(Tabla15[[#This Row],[N° 
Evento]],'Eventos de riesgos'!B:F,5,0)</f>
        <v>45516.409722222219</v>
      </c>
      <c r="S171" s="60">
        <f>VLOOKUP(Tabla15[[#This Row],[N° 
Evento]],'Eventos de riesgos'!B:G,6,0)</f>
        <v>45518.409722222219</v>
      </c>
      <c r="T171"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1" s="61">
        <f>VLOOKUP(Tabla15[[#This Row],[N° 
Evento]],'Eventos de riesgos'!B:I,8,0)</f>
        <v>104402</v>
      </c>
      <c r="V171" s="61">
        <f>VLOOKUP(Tabla15[[#This Row],[N° 
Evento]],'Eventos de riesgos'!B:J,9,0)</f>
        <v>0</v>
      </c>
      <c r="W171" s="61">
        <f>VLOOKUP(Tabla15[[#This Row],[N° 
Evento]],'Eventos de riesgos'!B:K,10,0)</f>
        <v>0</v>
      </c>
      <c r="X171" s="59" t="str">
        <f>VLOOKUP(Tabla15[[#This Row],[N° 
Evento]],'Eventos de riesgos'!B:L,11,0)</f>
        <v>7 - Ejecución y Administración de Procesos</v>
      </c>
      <c r="Y171" s="59" t="str">
        <f>VLOOKUP(Tabla15[[#This Row],[N° 
Evento]],'Eventos de riesgos'!B:M,12,0)</f>
        <v>71 - Recepción, Ejecución y Mantenimiento de Operaciones</v>
      </c>
      <c r="Z171" s="59" t="str">
        <f>VLOOKUP(Tabla15[[#This Row],[N° 
Evento]],'Eventos de riesgos'!B:N,13,0)</f>
        <v>714 - Ejecución Errónea de Modelos o de Sistemas</v>
      </c>
      <c r="AA171" s="59" t="str">
        <f>+VLOOKUP(Tabla15[[#This Row],[N° 
Evento]],'Eventos de riesgos'!$B$1:$AA$87,23,0)</f>
        <v>Falla en renovación automática de CDATs</v>
      </c>
      <c r="AB171" s="54" t="str">
        <f>VLOOKUP(Tabla15[[#This Row],[N° 
Evento]],'Eventos de riesgos'!B:O,14,0)</f>
        <v>Ninguna</v>
      </c>
      <c r="AC171" s="60">
        <f>VLOOKUP(Tabla15[[#This Row],[N° 
Evento]],'Eventos de riesgos'!B:P,15,0)</f>
        <v>45535.55</v>
      </c>
      <c r="AD171" s="54" t="str">
        <f>VLOOKUP(Tabla15[[#This Row],[N° 
Evento]],'Eventos de riesgos'!B:Q,16,0)</f>
        <v>CDAT</v>
      </c>
      <c r="AE171" s="54" t="str">
        <f>VLOOKUP(Tabla15[[#This Row],[N° 
Evento]],'Eventos de riesgos'!B:R,17,0)</f>
        <v>Ninguno</v>
      </c>
      <c r="AF171" s="56" t="str">
        <f>VLOOKUP(Tabla15[[#This Row],[N° 
Evento]],'Eventos de riesgos'!B:V,21,0)</f>
        <v>Aprobado</v>
      </c>
      <c r="AG171" s="59" t="str">
        <f>VLOOKUP(Tabla15[[#This Row],[N° 
Evento]],'Eventos de riesgos'!B:W,22,0)</f>
        <v>18/09/2024 10:02:45: Creación
17/10/2024 12:34:31: .
17/10/2024 16:58:51: Actualizado
18/10/2024 13:14:29: Actualizado</v>
      </c>
    </row>
    <row r="172" spans="3:33" ht="59" customHeight="1" x14ac:dyDescent="0.55000000000000004">
      <c r="C172" s="54" t="str">
        <f>+Tabla15[[#This Row],[N° 
Evento]]&amp;"-"&amp;Tabla15[[#This Row],[N° Tarea]]</f>
        <v>64-3</v>
      </c>
      <c r="D172" s="54">
        <v>64</v>
      </c>
      <c r="E172" s="54">
        <v>3</v>
      </c>
      <c r="F172" s="55" t="s">
        <v>539</v>
      </c>
      <c r="G172" s="44" t="s">
        <v>1052</v>
      </c>
      <c r="H172" s="59" t="s">
        <v>776</v>
      </c>
      <c r="I172" s="59" t="s">
        <v>530</v>
      </c>
      <c r="J172" s="57">
        <v>45516</v>
      </c>
      <c r="K172" s="57">
        <v>45550</v>
      </c>
      <c r="L172" s="47" t="str">
        <f>IF(Tabla15[[#This Row],[Fecha de Finalización]]&gt;0,"Cerrada","En Proceso")</f>
        <v>Cerrada</v>
      </c>
      <c r="M172" s="58">
        <f t="shared" si="5"/>
        <v>34</v>
      </c>
      <c r="N172" s="59" t="s">
        <v>537</v>
      </c>
      <c r="O172" s="54">
        <f>VLOOKUP(Tabla15[[#This Row],[N° 
Evento]],'Eventos de riesgos'!B:C,2,0)</f>
        <v>2024</v>
      </c>
      <c r="P172" s="54" t="str">
        <f>VLOOKUP(Tabla15[[#This Row],[N° 
Evento]],'Eventos de riesgos'!B:D,3,0)</f>
        <v>Sep</v>
      </c>
      <c r="Q172" s="60">
        <f>VLOOKUP(Tabla15[[#This Row],[N° 
Evento]],'Eventos de riesgos'!B:E,4,0)</f>
        <v>45516.40902777778</v>
      </c>
      <c r="R172" s="60">
        <f>VLOOKUP(Tabla15[[#This Row],[N° 
Evento]],'Eventos de riesgos'!B:F,5,0)</f>
        <v>45516.409722222219</v>
      </c>
      <c r="S172" s="60">
        <f>VLOOKUP(Tabla15[[#This Row],[N° 
Evento]],'Eventos de riesgos'!B:G,6,0)</f>
        <v>45518.409722222219</v>
      </c>
      <c r="T172"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2" s="61">
        <f>VLOOKUP(Tabla15[[#This Row],[N° 
Evento]],'Eventos de riesgos'!B:I,8,0)</f>
        <v>104402</v>
      </c>
      <c r="V172" s="61">
        <f>VLOOKUP(Tabla15[[#This Row],[N° 
Evento]],'Eventos de riesgos'!B:J,9,0)</f>
        <v>0</v>
      </c>
      <c r="W172" s="61">
        <f>VLOOKUP(Tabla15[[#This Row],[N° 
Evento]],'Eventos de riesgos'!B:K,10,0)</f>
        <v>0</v>
      </c>
      <c r="X172" s="59" t="str">
        <f>VLOOKUP(Tabla15[[#This Row],[N° 
Evento]],'Eventos de riesgos'!B:L,11,0)</f>
        <v>7 - Ejecución y Administración de Procesos</v>
      </c>
      <c r="Y172" s="59" t="str">
        <f>VLOOKUP(Tabla15[[#This Row],[N° 
Evento]],'Eventos de riesgos'!B:M,12,0)</f>
        <v>71 - Recepción, Ejecución y Mantenimiento de Operaciones</v>
      </c>
      <c r="Z172" s="59" t="str">
        <f>VLOOKUP(Tabla15[[#This Row],[N° 
Evento]],'Eventos de riesgos'!B:N,13,0)</f>
        <v>714 - Ejecución Errónea de Modelos o de Sistemas</v>
      </c>
      <c r="AA172" s="59" t="str">
        <f>+VLOOKUP(Tabla15[[#This Row],[N° 
Evento]],'Eventos de riesgos'!$B$1:$AA$87,23,0)</f>
        <v>Falla en renovación automática de CDATs</v>
      </c>
      <c r="AB172" s="54" t="str">
        <f>VLOOKUP(Tabla15[[#This Row],[N° 
Evento]],'Eventos de riesgos'!B:O,14,0)</f>
        <v>Ninguna</v>
      </c>
      <c r="AC172" s="60">
        <f>VLOOKUP(Tabla15[[#This Row],[N° 
Evento]],'Eventos de riesgos'!B:P,15,0)</f>
        <v>45535.55</v>
      </c>
      <c r="AD172" s="54" t="str">
        <f>VLOOKUP(Tabla15[[#This Row],[N° 
Evento]],'Eventos de riesgos'!B:Q,16,0)</f>
        <v>CDAT</v>
      </c>
      <c r="AE172" s="54" t="str">
        <f>VLOOKUP(Tabla15[[#This Row],[N° 
Evento]],'Eventos de riesgos'!B:R,17,0)</f>
        <v>Ninguno</v>
      </c>
      <c r="AF172" s="56" t="str">
        <f>VLOOKUP(Tabla15[[#This Row],[N° 
Evento]],'Eventos de riesgos'!B:V,21,0)</f>
        <v>Aprobado</v>
      </c>
      <c r="AG172" s="59" t="str">
        <f>VLOOKUP(Tabla15[[#This Row],[N° 
Evento]],'Eventos de riesgos'!B:W,22,0)</f>
        <v>18/09/2024 10:02:45: Creación
17/10/2024 12:34:31: .
17/10/2024 16:58:51: Actualizado
18/10/2024 13:14:29: Actualizado</v>
      </c>
    </row>
    <row r="173" spans="3:33" ht="59" customHeight="1" x14ac:dyDescent="0.55000000000000004">
      <c r="C173" s="54" t="str">
        <f>+Tabla15[[#This Row],[N° 
Evento]]&amp;"-"&amp;Tabla15[[#This Row],[N° Tarea]]</f>
        <v>64-4</v>
      </c>
      <c r="D173" s="54">
        <v>64</v>
      </c>
      <c r="E173" s="54">
        <v>4</v>
      </c>
      <c r="F173" s="55" t="s">
        <v>550</v>
      </c>
      <c r="G173" s="44" t="s">
        <v>1052</v>
      </c>
      <c r="H173" s="59" t="s">
        <v>509</v>
      </c>
      <c r="I173" s="56" t="s">
        <v>511</v>
      </c>
      <c r="J173" s="57">
        <v>45516</v>
      </c>
      <c r="K173" s="57">
        <v>45550</v>
      </c>
      <c r="L173" s="47" t="str">
        <f>IF(Tabla15[[#This Row],[Fecha de Finalización]]&gt;0,"Cerrada","En Proceso")</f>
        <v>Cerrada</v>
      </c>
      <c r="M173" s="58">
        <f t="shared" si="5"/>
        <v>34</v>
      </c>
      <c r="N173" s="59" t="s">
        <v>538</v>
      </c>
      <c r="O173" s="54">
        <f>VLOOKUP(Tabla15[[#This Row],[N° 
Evento]],'Eventos de riesgos'!B:C,2,0)</f>
        <v>2024</v>
      </c>
      <c r="P173" s="54" t="str">
        <f>VLOOKUP(Tabla15[[#This Row],[N° 
Evento]],'Eventos de riesgos'!B:D,3,0)</f>
        <v>Sep</v>
      </c>
      <c r="Q173" s="60">
        <f>VLOOKUP(Tabla15[[#This Row],[N° 
Evento]],'Eventos de riesgos'!B:E,4,0)</f>
        <v>45516.40902777778</v>
      </c>
      <c r="R173" s="60">
        <f>VLOOKUP(Tabla15[[#This Row],[N° 
Evento]],'Eventos de riesgos'!B:F,5,0)</f>
        <v>45516.409722222219</v>
      </c>
      <c r="S173" s="60">
        <f>VLOOKUP(Tabla15[[#This Row],[N° 
Evento]],'Eventos de riesgos'!B:G,6,0)</f>
        <v>45518.409722222219</v>
      </c>
      <c r="T173"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3" s="61">
        <f>VLOOKUP(Tabla15[[#This Row],[N° 
Evento]],'Eventos de riesgos'!B:I,8,0)</f>
        <v>104402</v>
      </c>
      <c r="V173" s="61">
        <f>VLOOKUP(Tabla15[[#This Row],[N° 
Evento]],'Eventos de riesgos'!B:J,9,0)</f>
        <v>0</v>
      </c>
      <c r="W173" s="61">
        <f>VLOOKUP(Tabla15[[#This Row],[N° 
Evento]],'Eventos de riesgos'!B:K,10,0)</f>
        <v>0</v>
      </c>
      <c r="X173" s="59" t="str">
        <f>VLOOKUP(Tabla15[[#This Row],[N° 
Evento]],'Eventos de riesgos'!B:L,11,0)</f>
        <v>7 - Ejecución y Administración de Procesos</v>
      </c>
      <c r="Y173" s="59" t="str">
        <f>VLOOKUP(Tabla15[[#This Row],[N° 
Evento]],'Eventos de riesgos'!B:M,12,0)</f>
        <v>71 - Recepción, Ejecución y Mantenimiento de Operaciones</v>
      </c>
      <c r="Z173" s="59" t="str">
        <f>VLOOKUP(Tabla15[[#This Row],[N° 
Evento]],'Eventos de riesgos'!B:N,13,0)</f>
        <v>714 - Ejecución Errónea de Modelos o de Sistemas</v>
      </c>
      <c r="AA173" s="59" t="str">
        <f>+VLOOKUP(Tabla15[[#This Row],[N° 
Evento]],'Eventos de riesgos'!$B$1:$AA$87,23,0)</f>
        <v>Falla en renovación automática de CDATs</v>
      </c>
      <c r="AB173" s="54" t="str">
        <f>VLOOKUP(Tabla15[[#This Row],[N° 
Evento]],'Eventos de riesgos'!B:O,14,0)</f>
        <v>Ninguna</v>
      </c>
      <c r="AC173" s="60">
        <f>VLOOKUP(Tabla15[[#This Row],[N° 
Evento]],'Eventos de riesgos'!B:P,15,0)</f>
        <v>45535.55</v>
      </c>
      <c r="AD173" s="54" t="str">
        <f>VLOOKUP(Tabla15[[#This Row],[N° 
Evento]],'Eventos de riesgos'!B:Q,16,0)</f>
        <v>CDAT</v>
      </c>
      <c r="AE173" s="54" t="str">
        <f>VLOOKUP(Tabla15[[#This Row],[N° 
Evento]],'Eventos de riesgos'!B:R,17,0)</f>
        <v>Ninguno</v>
      </c>
      <c r="AF173" s="56" t="str">
        <f>VLOOKUP(Tabla15[[#This Row],[N° 
Evento]],'Eventos de riesgos'!B:V,21,0)</f>
        <v>Aprobado</v>
      </c>
      <c r="AG173" s="59" t="str">
        <f>VLOOKUP(Tabla15[[#This Row],[N° 
Evento]],'Eventos de riesgos'!B:W,22,0)</f>
        <v>18/09/2024 10:02:45: Creación
17/10/2024 12:34:31: .
17/10/2024 16:58:51: Actualizado
18/10/2024 13:14:29: Actualizado</v>
      </c>
    </row>
    <row r="174" spans="3:33" ht="59" customHeight="1" x14ac:dyDescent="0.55000000000000004">
      <c r="C174" s="54" t="str">
        <f>+Tabla15[[#This Row],[N° 
Evento]]&amp;"-"&amp;Tabla15[[#This Row],[N° Tarea]]</f>
        <v>64-5</v>
      </c>
      <c r="D174" s="54">
        <v>64</v>
      </c>
      <c r="E174" s="54">
        <v>5</v>
      </c>
      <c r="F174" s="55" t="s">
        <v>549</v>
      </c>
      <c r="G174" s="44" t="s">
        <v>1052</v>
      </c>
      <c r="H174" s="44" t="s">
        <v>760</v>
      </c>
      <c r="I174" s="56" t="s">
        <v>95</v>
      </c>
      <c r="J174" s="57">
        <v>45516</v>
      </c>
      <c r="K174" s="57">
        <v>45534</v>
      </c>
      <c r="L174" s="47" t="str">
        <f>IF(Tabla15[[#This Row],[Fecha de Finalización]]&gt;0,"Cerrada","En Proceso")</f>
        <v>Cerrada</v>
      </c>
      <c r="M174" s="58">
        <f t="shared" si="5"/>
        <v>18</v>
      </c>
      <c r="N174" s="59" t="s">
        <v>883</v>
      </c>
      <c r="O174" s="54">
        <f>VLOOKUP(Tabla15[[#This Row],[N° 
Evento]],'Eventos de riesgos'!B:C,2,0)</f>
        <v>2024</v>
      </c>
      <c r="P174" s="54" t="str">
        <f>VLOOKUP(Tabla15[[#This Row],[N° 
Evento]],'Eventos de riesgos'!B:D,3,0)</f>
        <v>Sep</v>
      </c>
      <c r="Q174" s="60">
        <f>VLOOKUP(Tabla15[[#This Row],[N° 
Evento]],'Eventos de riesgos'!B:E,4,0)</f>
        <v>45516.40902777778</v>
      </c>
      <c r="R174" s="60">
        <f>VLOOKUP(Tabla15[[#This Row],[N° 
Evento]],'Eventos de riesgos'!B:F,5,0)</f>
        <v>45516.409722222219</v>
      </c>
      <c r="S174" s="60">
        <f>VLOOKUP(Tabla15[[#This Row],[N° 
Evento]],'Eventos de riesgos'!B:G,6,0)</f>
        <v>45518.409722222219</v>
      </c>
      <c r="T174"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4" s="61">
        <f>VLOOKUP(Tabla15[[#This Row],[N° 
Evento]],'Eventos de riesgos'!B:I,8,0)</f>
        <v>104402</v>
      </c>
      <c r="V174" s="61">
        <f>VLOOKUP(Tabla15[[#This Row],[N° 
Evento]],'Eventos de riesgos'!B:J,9,0)</f>
        <v>0</v>
      </c>
      <c r="W174" s="61">
        <f>VLOOKUP(Tabla15[[#This Row],[N° 
Evento]],'Eventos de riesgos'!B:K,10,0)</f>
        <v>0</v>
      </c>
      <c r="X174" s="59" t="str">
        <f>VLOOKUP(Tabla15[[#This Row],[N° 
Evento]],'Eventos de riesgos'!B:L,11,0)</f>
        <v>7 - Ejecución y Administración de Procesos</v>
      </c>
      <c r="Y174" s="59" t="str">
        <f>VLOOKUP(Tabla15[[#This Row],[N° 
Evento]],'Eventos de riesgos'!B:M,12,0)</f>
        <v>71 - Recepción, Ejecución y Mantenimiento de Operaciones</v>
      </c>
      <c r="Z174" s="59" t="str">
        <f>VLOOKUP(Tabla15[[#This Row],[N° 
Evento]],'Eventos de riesgos'!B:N,13,0)</f>
        <v>714 - Ejecución Errónea de Modelos o de Sistemas</v>
      </c>
      <c r="AA174" s="59" t="str">
        <f>+VLOOKUP(Tabla15[[#This Row],[N° 
Evento]],'Eventos de riesgos'!$B$1:$AA$87,23,0)</f>
        <v>Falla en renovación automática de CDATs</v>
      </c>
      <c r="AB174" s="54" t="str">
        <f>VLOOKUP(Tabla15[[#This Row],[N° 
Evento]],'Eventos de riesgos'!B:O,14,0)</f>
        <v>Ninguna</v>
      </c>
      <c r="AC174" s="60">
        <f>VLOOKUP(Tabla15[[#This Row],[N° 
Evento]],'Eventos de riesgos'!B:P,15,0)</f>
        <v>45535.55</v>
      </c>
      <c r="AD174" s="54" t="str">
        <f>VLOOKUP(Tabla15[[#This Row],[N° 
Evento]],'Eventos de riesgos'!B:Q,16,0)</f>
        <v>CDAT</v>
      </c>
      <c r="AE174" s="54" t="str">
        <f>VLOOKUP(Tabla15[[#This Row],[N° 
Evento]],'Eventos de riesgos'!B:R,17,0)</f>
        <v>Ninguno</v>
      </c>
      <c r="AF174" s="56" t="str">
        <f>VLOOKUP(Tabla15[[#This Row],[N° 
Evento]],'Eventos de riesgos'!B:V,21,0)</f>
        <v>Aprobado</v>
      </c>
      <c r="AG174" s="59" t="str">
        <f>VLOOKUP(Tabla15[[#This Row],[N° 
Evento]],'Eventos de riesgos'!B:W,22,0)</f>
        <v>18/09/2024 10:02:45: Creación
17/10/2024 12:34:31: .
17/10/2024 16:58:51: Actualizado
18/10/2024 13:14:29: Actualizado</v>
      </c>
    </row>
    <row r="175" spans="3:33" ht="59" customHeight="1" x14ac:dyDescent="0.55000000000000004">
      <c r="C175" s="54" t="str">
        <f>+Tabla15[[#This Row],[N° 
Evento]]&amp;"-"&amp;Tabla15[[#This Row],[N° Tarea]]</f>
        <v>65-1</v>
      </c>
      <c r="D175" s="54">
        <v>65</v>
      </c>
      <c r="E175" s="54">
        <v>1</v>
      </c>
      <c r="F175" s="55" t="s">
        <v>533</v>
      </c>
      <c r="G175" s="44" t="s">
        <v>1052</v>
      </c>
      <c r="H175" s="59" t="s">
        <v>509</v>
      </c>
      <c r="I175" s="56" t="s">
        <v>511</v>
      </c>
      <c r="J175" s="57">
        <v>45548</v>
      </c>
      <c r="K175" s="57">
        <v>45549</v>
      </c>
      <c r="L175" s="47" t="str">
        <f>IF(Tabla15[[#This Row],[Fecha de Finalización]]&gt;0,"Cerrada","En Proceso")</f>
        <v>Cerrada</v>
      </c>
      <c r="M175" s="58">
        <f t="shared" si="5"/>
        <v>1</v>
      </c>
      <c r="N175" s="59" t="s">
        <v>532</v>
      </c>
      <c r="O175" s="54">
        <f>VLOOKUP(Tabla15[[#This Row],[N° 
Evento]],'Eventos de riesgos'!B:C,2,0)</f>
        <v>2024</v>
      </c>
      <c r="P175" s="54" t="str">
        <f>VLOOKUP(Tabla15[[#This Row],[N° 
Evento]],'Eventos de riesgos'!B:D,3,0)</f>
        <v>Sep</v>
      </c>
      <c r="Q175" s="60">
        <f>VLOOKUP(Tabla15[[#This Row],[N° 
Evento]],'Eventos de riesgos'!B:E,4,0)</f>
        <v>45548.416666666664</v>
      </c>
      <c r="R175" s="60">
        <f>VLOOKUP(Tabla15[[#This Row],[N° 
Evento]],'Eventos de riesgos'!B:F,5,0)</f>
        <v>45566.646527777775</v>
      </c>
      <c r="S175" s="60">
        <f>VLOOKUP(Tabla15[[#This Row],[N° 
Evento]],'Eventos de riesgos'!B:G,6,0)</f>
        <v>45548.416666666664</v>
      </c>
      <c r="T175"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5" s="61">
        <f>VLOOKUP(Tabla15[[#This Row],[N° 
Evento]],'Eventos de riesgos'!B:I,8,0)</f>
        <v>0</v>
      </c>
      <c r="V175" s="61">
        <f>VLOOKUP(Tabla15[[#This Row],[N° 
Evento]],'Eventos de riesgos'!B:J,9,0)</f>
        <v>0</v>
      </c>
      <c r="W175" s="61">
        <f>VLOOKUP(Tabla15[[#This Row],[N° 
Evento]],'Eventos de riesgos'!B:K,10,0)</f>
        <v>0</v>
      </c>
      <c r="X175" s="59" t="str">
        <f>VLOOKUP(Tabla15[[#This Row],[N° 
Evento]],'Eventos de riesgos'!B:L,11,0)</f>
        <v>4 - Asociados o Clientes</v>
      </c>
      <c r="Y175" s="59" t="str">
        <f>VLOOKUP(Tabla15[[#This Row],[N° 
Evento]],'Eventos de riesgos'!B:M,12,0)</f>
        <v>43 - Productos o Servicios Defectuosos</v>
      </c>
      <c r="Z175" s="59" t="str">
        <f>VLOOKUP(Tabla15[[#This Row],[N° 
Evento]],'Eventos de riesgos'!B:N,13,0)</f>
        <v>431 - Defectos del Producto</v>
      </c>
      <c r="AA175" s="59" t="str">
        <f>+VLOOKUP(Tabla15[[#This Row],[N° 
Evento]],'Eventos de riesgos'!$B$1:$AA$87,23,0)</f>
        <v>Liquidación anticipada de ahorros programados por error del sistema</v>
      </c>
      <c r="AB175" s="54" t="str">
        <f>VLOOKUP(Tabla15[[#This Row],[N° 
Evento]],'Eventos de riesgos'!B:O,14,0)</f>
        <v>Ninguna</v>
      </c>
      <c r="AC175" s="60">
        <f>VLOOKUP(Tabla15[[#This Row],[N° 
Evento]],'Eventos de riesgos'!B:P,15,0)</f>
        <v>45565.621527777781</v>
      </c>
      <c r="AD175" s="54" t="str">
        <f>VLOOKUP(Tabla15[[#This Row],[N° 
Evento]],'Eventos de riesgos'!B:Q,16,0)</f>
        <v>Ahorro programado</v>
      </c>
      <c r="AE175" s="54" t="str">
        <f>VLOOKUP(Tabla15[[#This Row],[N° 
Evento]],'Eventos de riesgos'!B:R,17,0)</f>
        <v>Ninguno</v>
      </c>
      <c r="AF175" s="56" t="str">
        <f>VLOOKUP(Tabla15[[#This Row],[N° 
Evento]],'Eventos de riesgos'!B:V,21,0)</f>
        <v>Aprobado</v>
      </c>
      <c r="AG175" s="59" t="str">
        <f>VLOOKUP(Tabla15[[#This Row],[N° 
Evento]],'Eventos de riesgos'!B:W,22,0)</f>
        <v xml:space="preserve">
01/10/2024 15:36:36: Recibido
17/10/2024 19:49:57: Actualización</v>
      </c>
    </row>
    <row r="176" spans="3:33" ht="59" customHeight="1" x14ac:dyDescent="0.55000000000000004">
      <c r="C176" s="54" t="str">
        <f>+Tabla15[[#This Row],[N° 
Evento]]&amp;"-"&amp;Tabla15[[#This Row],[N° Tarea]]</f>
        <v>65-2</v>
      </c>
      <c r="D176" s="54">
        <v>65</v>
      </c>
      <c r="E176" s="54">
        <v>2</v>
      </c>
      <c r="F176" s="55" t="s">
        <v>542</v>
      </c>
      <c r="G176" s="44" t="s">
        <v>1052</v>
      </c>
      <c r="H176" s="59" t="s">
        <v>534</v>
      </c>
      <c r="I176" s="59" t="s">
        <v>535</v>
      </c>
      <c r="J176" s="57">
        <v>45548</v>
      </c>
      <c r="K176" s="57">
        <v>45565</v>
      </c>
      <c r="L176" s="47" t="str">
        <f>IF(Tabla15[[#This Row],[Fecha de Finalización]]&gt;0,"Cerrada","En Proceso")</f>
        <v>Cerrada</v>
      </c>
      <c r="M176" s="58">
        <f t="shared" si="5"/>
        <v>17</v>
      </c>
      <c r="N176" s="59" t="s">
        <v>884</v>
      </c>
      <c r="O176" s="54">
        <f>VLOOKUP(Tabla15[[#This Row],[N° 
Evento]],'Eventos de riesgos'!B:C,2,0)</f>
        <v>2024</v>
      </c>
      <c r="P176" s="54" t="str">
        <f>VLOOKUP(Tabla15[[#This Row],[N° 
Evento]],'Eventos de riesgos'!B:D,3,0)</f>
        <v>Sep</v>
      </c>
      <c r="Q176" s="60">
        <f>VLOOKUP(Tabla15[[#This Row],[N° 
Evento]],'Eventos de riesgos'!B:E,4,0)</f>
        <v>45548.416666666664</v>
      </c>
      <c r="R176" s="60">
        <f>VLOOKUP(Tabla15[[#This Row],[N° 
Evento]],'Eventos de riesgos'!B:F,5,0)</f>
        <v>45566.646527777775</v>
      </c>
      <c r="S176" s="60">
        <f>VLOOKUP(Tabla15[[#This Row],[N° 
Evento]],'Eventos de riesgos'!B:G,6,0)</f>
        <v>45548.416666666664</v>
      </c>
      <c r="T176"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6" s="61">
        <f>VLOOKUP(Tabla15[[#This Row],[N° 
Evento]],'Eventos de riesgos'!B:I,8,0)</f>
        <v>0</v>
      </c>
      <c r="V176" s="61">
        <f>VLOOKUP(Tabla15[[#This Row],[N° 
Evento]],'Eventos de riesgos'!B:J,9,0)</f>
        <v>0</v>
      </c>
      <c r="W176" s="61">
        <f>VLOOKUP(Tabla15[[#This Row],[N° 
Evento]],'Eventos de riesgos'!B:K,10,0)</f>
        <v>0</v>
      </c>
      <c r="X176" s="59" t="str">
        <f>VLOOKUP(Tabla15[[#This Row],[N° 
Evento]],'Eventos de riesgos'!B:L,11,0)</f>
        <v>4 - Asociados o Clientes</v>
      </c>
      <c r="Y176" s="59" t="str">
        <f>VLOOKUP(Tabla15[[#This Row],[N° 
Evento]],'Eventos de riesgos'!B:M,12,0)</f>
        <v>43 - Productos o Servicios Defectuosos</v>
      </c>
      <c r="Z176" s="59" t="str">
        <f>VLOOKUP(Tabla15[[#This Row],[N° 
Evento]],'Eventos de riesgos'!B:N,13,0)</f>
        <v>431 - Defectos del Producto</v>
      </c>
      <c r="AA176" s="59" t="str">
        <f>+VLOOKUP(Tabla15[[#This Row],[N° 
Evento]],'Eventos de riesgos'!$B$1:$AA$87,23,0)</f>
        <v>Liquidación anticipada de ahorros programados por error del sistema</v>
      </c>
      <c r="AB176" s="54" t="str">
        <f>VLOOKUP(Tabla15[[#This Row],[N° 
Evento]],'Eventos de riesgos'!B:O,14,0)</f>
        <v>Ninguna</v>
      </c>
      <c r="AC176" s="60">
        <f>VLOOKUP(Tabla15[[#This Row],[N° 
Evento]],'Eventos de riesgos'!B:P,15,0)</f>
        <v>45565.621527777781</v>
      </c>
      <c r="AD176" s="54" t="str">
        <f>VLOOKUP(Tabla15[[#This Row],[N° 
Evento]],'Eventos de riesgos'!B:Q,16,0)</f>
        <v>Ahorro programado</v>
      </c>
      <c r="AE176" s="54" t="str">
        <f>VLOOKUP(Tabla15[[#This Row],[N° 
Evento]],'Eventos de riesgos'!B:R,17,0)</f>
        <v>Ninguno</v>
      </c>
      <c r="AF176" s="56" t="str">
        <f>VLOOKUP(Tabla15[[#This Row],[N° 
Evento]],'Eventos de riesgos'!B:V,21,0)</f>
        <v>Aprobado</v>
      </c>
      <c r="AG176" s="59" t="str">
        <f>VLOOKUP(Tabla15[[#This Row],[N° 
Evento]],'Eventos de riesgos'!B:W,22,0)</f>
        <v xml:space="preserve">
01/10/2024 15:36:36: Recibido
17/10/2024 19:49:57: Actualización</v>
      </c>
    </row>
    <row r="177" spans="3:33" ht="59" customHeight="1" x14ac:dyDescent="0.55000000000000004">
      <c r="C177" s="54" t="str">
        <f>+Tabla15[[#This Row],[N° 
Evento]]&amp;"-"&amp;Tabla15[[#This Row],[N° Tarea]]</f>
        <v>65-3</v>
      </c>
      <c r="D177" s="54">
        <v>65</v>
      </c>
      <c r="E177" s="54">
        <v>3</v>
      </c>
      <c r="F177" s="55" t="s">
        <v>536</v>
      </c>
      <c r="G177" s="44" t="s">
        <v>1052</v>
      </c>
      <c r="H177" s="44" t="s">
        <v>760</v>
      </c>
      <c r="I177" s="56" t="s">
        <v>95</v>
      </c>
      <c r="J177" s="57">
        <v>45548</v>
      </c>
      <c r="K177" s="57">
        <v>45548</v>
      </c>
      <c r="L177" s="47" t="str">
        <f>IF(Tabla15[[#This Row],[Fecha de Finalización]]&gt;0,"Cerrada","En Proceso")</f>
        <v>Cerrada</v>
      </c>
      <c r="M177" s="58">
        <f t="shared" si="5"/>
        <v>0</v>
      </c>
      <c r="N177" s="59" t="s">
        <v>885</v>
      </c>
      <c r="O177" s="54">
        <f>VLOOKUP(Tabla15[[#This Row],[N° 
Evento]],'Eventos de riesgos'!B:C,2,0)</f>
        <v>2024</v>
      </c>
      <c r="P177" s="54" t="str">
        <f>VLOOKUP(Tabla15[[#This Row],[N° 
Evento]],'Eventos de riesgos'!B:D,3,0)</f>
        <v>Sep</v>
      </c>
      <c r="Q177" s="60">
        <f>VLOOKUP(Tabla15[[#This Row],[N° 
Evento]],'Eventos de riesgos'!B:E,4,0)</f>
        <v>45548.416666666664</v>
      </c>
      <c r="R177" s="60">
        <f>VLOOKUP(Tabla15[[#This Row],[N° 
Evento]],'Eventos de riesgos'!B:F,5,0)</f>
        <v>45566.646527777775</v>
      </c>
      <c r="S177" s="60">
        <f>VLOOKUP(Tabla15[[#This Row],[N° 
Evento]],'Eventos de riesgos'!B:G,6,0)</f>
        <v>45548.416666666664</v>
      </c>
      <c r="T177"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7" s="61">
        <f>VLOOKUP(Tabla15[[#This Row],[N° 
Evento]],'Eventos de riesgos'!B:I,8,0)</f>
        <v>0</v>
      </c>
      <c r="V177" s="61">
        <f>VLOOKUP(Tabla15[[#This Row],[N° 
Evento]],'Eventos de riesgos'!B:J,9,0)</f>
        <v>0</v>
      </c>
      <c r="W177" s="61">
        <f>VLOOKUP(Tabla15[[#This Row],[N° 
Evento]],'Eventos de riesgos'!B:K,10,0)</f>
        <v>0</v>
      </c>
      <c r="X177" s="59" t="str">
        <f>VLOOKUP(Tabla15[[#This Row],[N° 
Evento]],'Eventos de riesgos'!B:L,11,0)</f>
        <v>4 - Asociados o Clientes</v>
      </c>
      <c r="Y177" s="59" t="str">
        <f>VLOOKUP(Tabla15[[#This Row],[N° 
Evento]],'Eventos de riesgos'!B:M,12,0)</f>
        <v>43 - Productos o Servicios Defectuosos</v>
      </c>
      <c r="Z177" s="59" t="str">
        <f>VLOOKUP(Tabla15[[#This Row],[N° 
Evento]],'Eventos de riesgos'!B:N,13,0)</f>
        <v>431 - Defectos del Producto</v>
      </c>
      <c r="AA177" s="59" t="str">
        <f>+VLOOKUP(Tabla15[[#This Row],[N° 
Evento]],'Eventos de riesgos'!$B$1:$AA$87,23,0)</f>
        <v>Liquidación anticipada de ahorros programados por error del sistema</v>
      </c>
      <c r="AB177" s="54" t="str">
        <f>VLOOKUP(Tabla15[[#This Row],[N° 
Evento]],'Eventos de riesgos'!B:O,14,0)</f>
        <v>Ninguna</v>
      </c>
      <c r="AC177" s="60">
        <f>VLOOKUP(Tabla15[[#This Row],[N° 
Evento]],'Eventos de riesgos'!B:P,15,0)</f>
        <v>45565.621527777781</v>
      </c>
      <c r="AD177" s="54" t="str">
        <f>VLOOKUP(Tabla15[[#This Row],[N° 
Evento]],'Eventos de riesgos'!B:Q,16,0)</f>
        <v>Ahorro programado</v>
      </c>
      <c r="AE177" s="54" t="str">
        <f>VLOOKUP(Tabla15[[#This Row],[N° 
Evento]],'Eventos de riesgos'!B:R,17,0)</f>
        <v>Ninguno</v>
      </c>
      <c r="AF177" s="56" t="str">
        <f>VLOOKUP(Tabla15[[#This Row],[N° 
Evento]],'Eventos de riesgos'!B:V,21,0)</f>
        <v>Aprobado</v>
      </c>
      <c r="AG177" s="59" t="str">
        <f>VLOOKUP(Tabla15[[#This Row],[N° 
Evento]],'Eventos de riesgos'!B:W,22,0)</f>
        <v xml:space="preserve">
01/10/2024 15:36:36: Recibido
17/10/2024 19:49:57: Actualización</v>
      </c>
    </row>
    <row r="178" spans="3:33" ht="59" customHeight="1" x14ac:dyDescent="0.55000000000000004">
      <c r="C178" s="54" t="str">
        <f>+Tabla15[[#This Row],[N° 
Evento]]&amp;"-"&amp;Tabla15[[#This Row],[N° Tarea]]</f>
        <v>65-4</v>
      </c>
      <c r="D178" s="54">
        <v>65</v>
      </c>
      <c r="E178" s="54">
        <v>4</v>
      </c>
      <c r="F178" s="55" t="s">
        <v>543</v>
      </c>
      <c r="G178" s="44" t="s">
        <v>1052</v>
      </c>
      <c r="H178" s="44" t="s">
        <v>771</v>
      </c>
      <c r="I178" s="56" t="s">
        <v>273</v>
      </c>
      <c r="J178" s="57">
        <v>45548</v>
      </c>
      <c r="K178" s="57">
        <v>45565</v>
      </c>
      <c r="L178" s="47" t="str">
        <f>IF(Tabla15[[#This Row],[Fecha de Finalización]]&gt;0,"Cerrada","En Proceso")</f>
        <v>Cerrada</v>
      </c>
      <c r="M178" s="58">
        <f t="shared" si="5"/>
        <v>17</v>
      </c>
      <c r="N178" s="55" t="s">
        <v>544</v>
      </c>
      <c r="O178" s="54">
        <f>VLOOKUP(Tabla15[[#This Row],[N° 
Evento]],'Eventos de riesgos'!B:C,2,0)</f>
        <v>2024</v>
      </c>
      <c r="P178" s="54" t="str">
        <f>VLOOKUP(Tabla15[[#This Row],[N° 
Evento]],'Eventos de riesgos'!B:D,3,0)</f>
        <v>Sep</v>
      </c>
      <c r="Q178" s="60">
        <f>VLOOKUP(Tabla15[[#This Row],[N° 
Evento]],'Eventos de riesgos'!B:E,4,0)</f>
        <v>45548.416666666664</v>
      </c>
      <c r="R178" s="60">
        <f>VLOOKUP(Tabla15[[#This Row],[N° 
Evento]],'Eventos de riesgos'!B:F,5,0)</f>
        <v>45566.646527777775</v>
      </c>
      <c r="S178" s="60">
        <f>VLOOKUP(Tabla15[[#This Row],[N° 
Evento]],'Eventos de riesgos'!B:G,6,0)</f>
        <v>45548.416666666664</v>
      </c>
      <c r="T178"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8" s="61">
        <f>VLOOKUP(Tabla15[[#This Row],[N° 
Evento]],'Eventos de riesgos'!B:I,8,0)</f>
        <v>0</v>
      </c>
      <c r="V178" s="61">
        <f>VLOOKUP(Tabla15[[#This Row],[N° 
Evento]],'Eventos de riesgos'!B:J,9,0)</f>
        <v>0</v>
      </c>
      <c r="W178" s="61">
        <f>VLOOKUP(Tabla15[[#This Row],[N° 
Evento]],'Eventos de riesgos'!B:K,10,0)</f>
        <v>0</v>
      </c>
      <c r="X178" s="59" t="str">
        <f>VLOOKUP(Tabla15[[#This Row],[N° 
Evento]],'Eventos de riesgos'!B:L,11,0)</f>
        <v>4 - Asociados o Clientes</v>
      </c>
      <c r="Y178" s="59" t="str">
        <f>VLOOKUP(Tabla15[[#This Row],[N° 
Evento]],'Eventos de riesgos'!B:M,12,0)</f>
        <v>43 - Productos o Servicios Defectuosos</v>
      </c>
      <c r="Z178" s="59" t="str">
        <f>VLOOKUP(Tabla15[[#This Row],[N° 
Evento]],'Eventos de riesgos'!B:N,13,0)</f>
        <v>431 - Defectos del Producto</v>
      </c>
      <c r="AA178" s="59" t="str">
        <f>+VLOOKUP(Tabla15[[#This Row],[N° 
Evento]],'Eventos de riesgos'!$B$1:$AA$87,23,0)</f>
        <v>Liquidación anticipada de ahorros programados por error del sistema</v>
      </c>
      <c r="AB178" s="54" t="str">
        <f>VLOOKUP(Tabla15[[#This Row],[N° 
Evento]],'Eventos de riesgos'!B:O,14,0)</f>
        <v>Ninguna</v>
      </c>
      <c r="AC178" s="60">
        <f>VLOOKUP(Tabla15[[#This Row],[N° 
Evento]],'Eventos de riesgos'!B:P,15,0)</f>
        <v>45565.621527777781</v>
      </c>
      <c r="AD178" s="54" t="str">
        <f>VLOOKUP(Tabla15[[#This Row],[N° 
Evento]],'Eventos de riesgos'!B:Q,16,0)</f>
        <v>Ahorro programado</v>
      </c>
      <c r="AE178" s="54" t="str">
        <f>VLOOKUP(Tabla15[[#This Row],[N° 
Evento]],'Eventos de riesgos'!B:R,17,0)</f>
        <v>Ninguno</v>
      </c>
      <c r="AF178" s="56" t="str">
        <f>VLOOKUP(Tabla15[[#This Row],[N° 
Evento]],'Eventos de riesgos'!B:V,21,0)</f>
        <v>Aprobado</v>
      </c>
      <c r="AG178" s="59" t="str">
        <f>VLOOKUP(Tabla15[[#This Row],[N° 
Evento]],'Eventos de riesgos'!B:W,22,0)</f>
        <v xml:space="preserve">
01/10/2024 15:36:36: Recibido
17/10/2024 19:49:57: Actualización</v>
      </c>
    </row>
    <row r="179" spans="3:33" ht="59" customHeight="1" x14ac:dyDescent="0.55000000000000004">
      <c r="C179" s="54" t="str">
        <f>+Tabla15[[#This Row],[N° 
Evento]]&amp;"-"&amp;Tabla15[[#This Row],[N° Tarea]]</f>
        <v>66-1</v>
      </c>
      <c r="D179" s="54">
        <v>66</v>
      </c>
      <c r="E179" s="54">
        <v>1</v>
      </c>
      <c r="F179" s="55" t="s">
        <v>568</v>
      </c>
      <c r="G179" s="44" t="s">
        <v>1052</v>
      </c>
      <c r="H179" s="59" t="s">
        <v>777</v>
      </c>
      <c r="I179" s="59" t="s">
        <v>546</v>
      </c>
      <c r="J179" s="57">
        <v>45557</v>
      </c>
      <c r="K179" s="57">
        <v>45557</v>
      </c>
      <c r="L179" s="47" t="str">
        <f>IF(Tabla15[[#This Row],[Fecha de Finalización]]&gt;0,"Cerrada","En Proceso")</f>
        <v>Cerrada</v>
      </c>
      <c r="M179" s="58">
        <f t="shared" si="5"/>
        <v>0</v>
      </c>
      <c r="N179" s="55" t="s">
        <v>545</v>
      </c>
      <c r="O179" s="54">
        <f>VLOOKUP(Tabla15[[#This Row],[N° 
Evento]],'Eventos de riesgos'!B:C,2,0)</f>
        <v>2024</v>
      </c>
      <c r="P179" s="54" t="str">
        <f>VLOOKUP(Tabla15[[#This Row],[N° 
Evento]],'Eventos de riesgos'!B:D,3,0)</f>
        <v>Sep</v>
      </c>
      <c r="Q179" s="60">
        <f>VLOOKUP(Tabla15[[#This Row],[N° 
Evento]],'Eventos de riesgos'!B:E,4,0)</f>
        <v>45557.636111111111</v>
      </c>
      <c r="R179" s="60">
        <f>VLOOKUP(Tabla15[[#This Row],[N° 
Evento]],'Eventos de riesgos'!B:F,5,0)</f>
        <v>45557.636111111111</v>
      </c>
      <c r="S179" s="60">
        <f>VLOOKUP(Tabla15[[#This Row],[N° 
Evento]],'Eventos de riesgos'!B:G,6,0)</f>
        <v>45558.636111111111</v>
      </c>
      <c r="T179"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79" s="61">
        <f>VLOOKUP(Tabla15[[#This Row],[N° 
Evento]],'Eventos de riesgos'!B:I,8,0)</f>
        <v>0</v>
      </c>
      <c r="V179" s="61">
        <f>VLOOKUP(Tabla15[[#This Row],[N° 
Evento]],'Eventos de riesgos'!B:J,9,0)</f>
        <v>0</v>
      </c>
      <c r="W179" s="61">
        <f>VLOOKUP(Tabla15[[#This Row],[N° 
Evento]],'Eventos de riesgos'!B:K,10,0)</f>
        <v>0</v>
      </c>
      <c r="X179" s="59" t="str">
        <f>VLOOKUP(Tabla15[[#This Row],[N° 
Evento]],'Eventos de riesgos'!B:L,11,0)</f>
        <v>7 - Ejecución y Administración de Procesos</v>
      </c>
      <c r="Y179" s="59" t="str">
        <f>VLOOKUP(Tabla15[[#This Row],[N° 
Evento]],'Eventos de riesgos'!B:M,12,0)</f>
        <v>71 - Recepción, Ejecución y Mantenimiento de Operaciones</v>
      </c>
      <c r="Z179" s="59" t="str">
        <f>VLOOKUP(Tabla15[[#This Row],[N° 
Evento]],'Eventos de riesgos'!B:N,13,0)</f>
        <v>713 - Incumplimiento de Plazos o Responsabilidades</v>
      </c>
      <c r="AA179" s="59" t="str">
        <f>+VLOOKUP(Tabla15[[#This Row],[N° 
Evento]],'Eventos de riesgos'!$B$1:$AA$87,23,0)</f>
        <v>Fallas en la renovación del servicio funerario Coorserpark</v>
      </c>
      <c r="AB179" s="54" t="str">
        <f>VLOOKUP(Tabla15[[#This Row],[N° 
Evento]],'Eventos de riesgos'!B:O,14,0)</f>
        <v>Ninguna</v>
      </c>
      <c r="AC179" s="60">
        <f>VLOOKUP(Tabla15[[#This Row],[N° 
Evento]],'Eventos de riesgos'!B:P,15,0)</f>
        <v>45565.636805555558</v>
      </c>
      <c r="AD179" s="54" t="str">
        <f>VLOOKUP(Tabla15[[#This Row],[N° 
Evento]],'Eventos de riesgos'!B:Q,16,0)</f>
        <v>Beneficio funerario (Coorserpark)</v>
      </c>
      <c r="AE179" s="54" t="str">
        <f>VLOOKUP(Tabla15[[#This Row],[N° 
Evento]],'Eventos de riesgos'!B:R,17,0)</f>
        <v>Comunicación por PBX</v>
      </c>
      <c r="AF179" s="56" t="str">
        <f>VLOOKUP(Tabla15[[#This Row],[N° 
Evento]],'Eventos de riesgos'!B:V,21,0)</f>
        <v>Aprobado</v>
      </c>
      <c r="AG179" s="59" t="str">
        <f>VLOOKUP(Tabla15[[#This Row],[N° 
Evento]],'Eventos de riesgos'!B:W,22,0)</f>
        <v>17/10/2024 15:19:21: Actualizado
08/11/2024 16:30:35: Actualización con la información del comité de gerencia a cierre de septiembre</v>
      </c>
    </row>
    <row r="180" spans="3:33" ht="59" customHeight="1" x14ac:dyDescent="0.55000000000000004">
      <c r="C180" s="54" t="str">
        <f>+Tabla15[[#This Row],[N° 
Evento]]&amp;"-"&amp;Tabla15[[#This Row],[N° Tarea]]</f>
        <v>66-2</v>
      </c>
      <c r="D180" s="54">
        <v>66</v>
      </c>
      <c r="E180" s="54">
        <v>2</v>
      </c>
      <c r="F180" s="55" t="s">
        <v>569</v>
      </c>
      <c r="G180" s="44" t="s">
        <v>1053</v>
      </c>
      <c r="H180" s="59" t="s">
        <v>760</v>
      </c>
      <c r="I180" s="56" t="s">
        <v>95</v>
      </c>
      <c r="J180" s="57">
        <v>45557</v>
      </c>
      <c r="K180" s="57">
        <v>45565</v>
      </c>
      <c r="L180" s="47" t="str">
        <f>IF(Tabla15[[#This Row],[Fecha de Finalización]]&gt;0,"Cerrada","En Proceso")</f>
        <v>Cerrada</v>
      </c>
      <c r="M180" s="58">
        <f t="shared" si="5"/>
        <v>8</v>
      </c>
      <c r="N180" s="59" t="s">
        <v>570</v>
      </c>
      <c r="O180" s="54">
        <f>VLOOKUP(Tabla15[[#This Row],[N° 
Evento]],'Eventos de riesgos'!B:C,2,0)</f>
        <v>2024</v>
      </c>
      <c r="P180" s="54" t="str">
        <f>VLOOKUP(Tabla15[[#This Row],[N° 
Evento]],'Eventos de riesgos'!B:D,3,0)</f>
        <v>Sep</v>
      </c>
      <c r="Q180" s="60">
        <f>VLOOKUP(Tabla15[[#This Row],[N° 
Evento]],'Eventos de riesgos'!B:E,4,0)</f>
        <v>45557.636111111111</v>
      </c>
      <c r="R180" s="60">
        <f>VLOOKUP(Tabla15[[#This Row],[N° 
Evento]],'Eventos de riesgos'!B:F,5,0)</f>
        <v>45557.636111111111</v>
      </c>
      <c r="S180" s="60">
        <f>VLOOKUP(Tabla15[[#This Row],[N° 
Evento]],'Eventos de riesgos'!B:G,6,0)</f>
        <v>45558.636111111111</v>
      </c>
      <c r="T180"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80" s="61">
        <f>VLOOKUP(Tabla15[[#This Row],[N° 
Evento]],'Eventos de riesgos'!B:I,8,0)</f>
        <v>0</v>
      </c>
      <c r="V180" s="61">
        <f>VLOOKUP(Tabla15[[#This Row],[N° 
Evento]],'Eventos de riesgos'!B:J,9,0)</f>
        <v>0</v>
      </c>
      <c r="W180" s="61">
        <f>VLOOKUP(Tabla15[[#This Row],[N° 
Evento]],'Eventos de riesgos'!B:K,10,0)</f>
        <v>0</v>
      </c>
      <c r="X180" s="59" t="str">
        <f>VLOOKUP(Tabla15[[#This Row],[N° 
Evento]],'Eventos de riesgos'!B:L,11,0)</f>
        <v>7 - Ejecución y Administración de Procesos</v>
      </c>
      <c r="Y180" s="59" t="str">
        <f>VLOOKUP(Tabla15[[#This Row],[N° 
Evento]],'Eventos de riesgos'!B:M,12,0)</f>
        <v>71 - Recepción, Ejecución y Mantenimiento de Operaciones</v>
      </c>
      <c r="Z180" s="59" t="str">
        <f>VLOOKUP(Tabla15[[#This Row],[N° 
Evento]],'Eventos de riesgos'!B:N,13,0)</f>
        <v>713 - Incumplimiento de Plazos o Responsabilidades</v>
      </c>
      <c r="AA180" s="59" t="str">
        <f>+VLOOKUP(Tabla15[[#This Row],[N° 
Evento]],'Eventos de riesgos'!$B$1:$AA$87,23,0)</f>
        <v>Fallas en la renovación del servicio funerario Coorserpark</v>
      </c>
      <c r="AB180" s="54" t="str">
        <f>VLOOKUP(Tabla15[[#This Row],[N° 
Evento]],'Eventos de riesgos'!B:O,14,0)</f>
        <v>Ninguna</v>
      </c>
      <c r="AC180" s="60">
        <f>VLOOKUP(Tabla15[[#This Row],[N° 
Evento]],'Eventos de riesgos'!B:P,15,0)</f>
        <v>45565.636805555558</v>
      </c>
      <c r="AD180" s="54" t="str">
        <f>VLOOKUP(Tabla15[[#This Row],[N° 
Evento]],'Eventos de riesgos'!B:Q,16,0)</f>
        <v>Beneficio funerario (Coorserpark)</v>
      </c>
      <c r="AE180" s="54" t="str">
        <f>VLOOKUP(Tabla15[[#This Row],[N° 
Evento]],'Eventos de riesgos'!B:R,17,0)</f>
        <v>Comunicación por PBX</v>
      </c>
      <c r="AF180" s="56" t="str">
        <f>VLOOKUP(Tabla15[[#This Row],[N° 
Evento]],'Eventos de riesgos'!B:V,21,0)</f>
        <v>Aprobado</v>
      </c>
      <c r="AG180" s="59" t="str">
        <f>VLOOKUP(Tabla15[[#This Row],[N° 
Evento]],'Eventos de riesgos'!B:W,22,0)</f>
        <v>17/10/2024 15:19:21: Actualizado
08/11/2024 16:30:35: Actualización con la información del comité de gerencia a cierre de septiembre</v>
      </c>
    </row>
    <row r="181" spans="3:33" ht="59" customHeight="1" x14ac:dyDescent="0.55000000000000004">
      <c r="C181" s="54" t="str">
        <f>+Tabla15[[#This Row],[N° 
Evento]]&amp;"-"&amp;Tabla15[[#This Row],[N° Tarea]]</f>
        <v>66-3</v>
      </c>
      <c r="D181" s="54">
        <v>66</v>
      </c>
      <c r="E181" s="54">
        <v>3</v>
      </c>
      <c r="F181" s="55" t="s">
        <v>571</v>
      </c>
      <c r="G181" s="44" t="s">
        <v>1053</v>
      </c>
      <c r="H181" s="59" t="s">
        <v>760</v>
      </c>
      <c r="I181" s="56" t="s">
        <v>95</v>
      </c>
      <c r="J181" s="57">
        <v>45557</v>
      </c>
      <c r="K181" s="57">
        <v>45565</v>
      </c>
      <c r="L181" s="47" t="str">
        <f>IF(Tabla15[[#This Row],[Fecha de Finalización]]&gt;0,"Cerrada","En Proceso")</f>
        <v>Cerrada</v>
      </c>
      <c r="M181" s="58">
        <f t="shared" si="5"/>
        <v>8</v>
      </c>
      <c r="N181" s="59"/>
      <c r="O181" s="54">
        <f>VLOOKUP(Tabla15[[#This Row],[N° 
Evento]],'Eventos de riesgos'!B:C,2,0)</f>
        <v>2024</v>
      </c>
      <c r="P181" s="54" t="str">
        <f>VLOOKUP(Tabla15[[#This Row],[N° 
Evento]],'Eventos de riesgos'!B:D,3,0)</f>
        <v>Sep</v>
      </c>
      <c r="Q181" s="60">
        <f>VLOOKUP(Tabla15[[#This Row],[N° 
Evento]],'Eventos de riesgos'!B:E,4,0)</f>
        <v>45557.636111111111</v>
      </c>
      <c r="R181" s="60">
        <f>VLOOKUP(Tabla15[[#This Row],[N° 
Evento]],'Eventos de riesgos'!B:F,5,0)</f>
        <v>45557.636111111111</v>
      </c>
      <c r="S181" s="60">
        <f>VLOOKUP(Tabla15[[#This Row],[N° 
Evento]],'Eventos de riesgos'!B:G,6,0)</f>
        <v>45558.636111111111</v>
      </c>
      <c r="T181"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81" s="61">
        <f>VLOOKUP(Tabla15[[#This Row],[N° 
Evento]],'Eventos de riesgos'!B:I,8,0)</f>
        <v>0</v>
      </c>
      <c r="V181" s="61">
        <f>VLOOKUP(Tabla15[[#This Row],[N° 
Evento]],'Eventos de riesgos'!B:J,9,0)</f>
        <v>0</v>
      </c>
      <c r="W181" s="61">
        <f>VLOOKUP(Tabla15[[#This Row],[N° 
Evento]],'Eventos de riesgos'!B:K,10,0)</f>
        <v>0</v>
      </c>
      <c r="X181" s="59" t="str">
        <f>VLOOKUP(Tabla15[[#This Row],[N° 
Evento]],'Eventos de riesgos'!B:L,11,0)</f>
        <v>7 - Ejecución y Administración de Procesos</v>
      </c>
      <c r="Y181" s="59" t="str">
        <f>VLOOKUP(Tabla15[[#This Row],[N° 
Evento]],'Eventos de riesgos'!B:M,12,0)</f>
        <v>71 - Recepción, Ejecución y Mantenimiento de Operaciones</v>
      </c>
      <c r="Z181" s="59" t="str">
        <f>VLOOKUP(Tabla15[[#This Row],[N° 
Evento]],'Eventos de riesgos'!B:N,13,0)</f>
        <v>713 - Incumplimiento de Plazos o Responsabilidades</v>
      </c>
      <c r="AA181" s="59" t="str">
        <f>+VLOOKUP(Tabla15[[#This Row],[N° 
Evento]],'Eventos de riesgos'!$B$1:$AA$87,23,0)</f>
        <v>Fallas en la renovación del servicio funerario Coorserpark</v>
      </c>
      <c r="AB181" s="54" t="str">
        <f>VLOOKUP(Tabla15[[#This Row],[N° 
Evento]],'Eventos de riesgos'!B:O,14,0)</f>
        <v>Ninguna</v>
      </c>
      <c r="AC181" s="60">
        <f>VLOOKUP(Tabla15[[#This Row],[N° 
Evento]],'Eventos de riesgos'!B:P,15,0)</f>
        <v>45565.636805555558</v>
      </c>
      <c r="AD181" s="54" t="str">
        <f>VLOOKUP(Tabla15[[#This Row],[N° 
Evento]],'Eventos de riesgos'!B:Q,16,0)</f>
        <v>Beneficio funerario (Coorserpark)</v>
      </c>
      <c r="AE181" s="54" t="str">
        <f>VLOOKUP(Tabla15[[#This Row],[N° 
Evento]],'Eventos de riesgos'!B:R,17,0)</f>
        <v>Comunicación por PBX</v>
      </c>
      <c r="AF181" s="56" t="str">
        <f>VLOOKUP(Tabla15[[#This Row],[N° 
Evento]],'Eventos de riesgos'!B:V,21,0)</f>
        <v>Aprobado</v>
      </c>
      <c r="AG181" s="59" t="str">
        <f>VLOOKUP(Tabla15[[#This Row],[N° 
Evento]],'Eventos de riesgos'!B:W,22,0)</f>
        <v>17/10/2024 15:19:21: Actualizado
08/11/2024 16:30:35: Actualización con la información del comité de gerencia a cierre de septiembre</v>
      </c>
    </row>
    <row r="182" spans="3:33" ht="59" customHeight="1" x14ac:dyDescent="0.55000000000000004">
      <c r="C182" s="54" t="str">
        <f>+Tabla15[[#This Row],[N° 
Evento]]&amp;"-"&amp;Tabla15[[#This Row],[N° Tarea]]</f>
        <v>66-4</v>
      </c>
      <c r="D182" s="54">
        <v>66</v>
      </c>
      <c r="E182" s="54">
        <v>4</v>
      </c>
      <c r="F182" s="55" t="s">
        <v>886</v>
      </c>
      <c r="G182" s="44" t="s">
        <v>1053</v>
      </c>
      <c r="H182" s="59" t="s">
        <v>778</v>
      </c>
      <c r="I182" s="59" t="s">
        <v>591</v>
      </c>
      <c r="J182" s="57">
        <v>45565</v>
      </c>
      <c r="K182" s="57">
        <v>45688</v>
      </c>
      <c r="L182" s="47" t="str">
        <f>IF(Tabla15[[#This Row],[Fecha de Finalización]]&gt;0,"Cerrada","En Proceso")</f>
        <v>Cerrada</v>
      </c>
      <c r="M182" s="58">
        <f t="shared" ref="M182:M224" si="6">+K182-J182</f>
        <v>123</v>
      </c>
      <c r="N182" s="59" t="s">
        <v>887</v>
      </c>
      <c r="O182" s="54">
        <f>VLOOKUP(Tabla15[[#This Row],[N° 
Evento]],'Eventos de riesgos'!B:C,2,0)</f>
        <v>2024</v>
      </c>
      <c r="P182" s="54" t="str">
        <f>VLOOKUP(Tabla15[[#This Row],[N° 
Evento]],'Eventos de riesgos'!B:D,3,0)</f>
        <v>Sep</v>
      </c>
      <c r="Q182" s="60">
        <f>VLOOKUP(Tabla15[[#This Row],[N° 
Evento]],'Eventos de riesgos'!B:E,4,0)</f>
        <v>45557.636111111111</v>
      </c>
      <c r="R182" s="60">
        <f>VLOOKUP(Tabla15[[#This Row],[N° 
Evento]],'Eventos de riesgos'!B:F,5,0)</f>
        <v>45557.636111111111</v>
      </c>
      <c r="S182" s="60">
        <f>VLOOKUP(Tabla15[[#This Row],[N° 
Evento]],'Eventos de riesgos'!B:G,6,0)</f>
        <v>45558.636111111111</v>
      </c>
      <c r="T182"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82" s="61">
        <f>VLOOKUP(Tabla15[[#This Row],[N° 
Evento]],'Eventos de riesgos'!B:I,8,0)</f>
        <v>0</v>
      </c>
      <c r="V182" s="61">
        <f>VLOOKUP(Tabla15[[#This Row],[N° 
Evento]],'Eventos de riesgos'!B:J,9,0)</f>
        <v>0</v>
      </c>
      <c r="W182" s="61">
        <f>VLOOKUP(Tabla15[[#This Row],[N° 
Evento]],'Eventos de riesgos'!B:K,10,0)</f>
        <v>0</v>
      </c>
      <c r="X182" s="59" t="str">
        <f>VLOOKUP(Tabla15[[#This Row],[N° 
Evento]],'Eventos de riesgos'!B:L,11,0)</f>
        <v>7 - Ejecución y Administración de Procesos</v>
      </c>
      <c r="Y182" s="59" t="str">
        <f>VLOOKUP(Tabla15[[#This Row],[N° 
Evento]],'Eventos de riesgos'!B:M,12,0)</f>
        <v>71 - Recepción, Ejecución y Mantenimiento de Operaciones</v>
      </c>
      <c r="Z182" s="59" t="str">
        <f>VLOOKUP(Tabla15[[#This Row],[N° 
Evento]],'Eventos de riesgos'!B:N,13,0)</f>
        <v>713 - Incumplimiento de Plazos o Responsabilidades</v>
      </c>
      <c r="AA182" s="59" t="str">
        <f>+VLOOKUP(Tabla15[[#This Row],[N° 
Evento]],'Eventos de riesgos'!$B$1:$AA$87,23,0)</f>
        <v>Fallas en la renovación del servicio funerario Coorserpark</v>
      </c>
      <c r="AB182" s="54" t="str">
        <f>VLOOKUP(Tabla15[[#This Row],[N° 
Evento]],'Eventos de riesgos'!B:O,14,0)</f>
        <v>Ninguna</v>
      </c>
      <c r="AC182" s="60">
        <f>VLOOKUP(Tabla15[[#This Row],[N° 
Evento]],'Eventos de riesgos'!B:P,15,0)</f>
        <v>45565.636805555558</v>
      </c>
      <c r="AD182" s="54" t="str">
        <f>VLOOKUP(Tabla15[[#This Row],[N° 
Evento]],'Eventos de riesgos'!B:Q,16,0)</f>
        <v>Beneficio funerario (Coorserpark)</v>
      </c>
      <c r="AE182" s="54" t="str">
        <f>VLOOKUP(Tabla15[[#This Row],[N° 
Evento]],'Eventos de riesgos'!B:R,17,0)</f>
        <v>Comunicación por PBX</v>
      </c>
      <c r="AF182" s="56" t="str">
        <f>VLOOKUP(Tabla15[[#This Row],[N° 
Evento]],'Eventos de riesgos'!B:V,21,0)</f>
        <v>Aprobado</v>
      </c>
      <c r="AG182" s="59" t="str">
        <f>VLOOKUP(Tabla15[[#This Row],[N° 
Evento]],'Eventos de riesgos'!B:W,22,0)</f>
        <v>17/10/2024 15:19:21: Actualizado
08/11/2024 16:30:35: Actualización con la información del comité de gerencia a cierre de septiembre</v>
      </c>
    </row>
    <row r="183" spans="3:33" ht="59" customHeight="1" x14ac:dyDescent="0.55000000000000004">
      <c r="C183" s="54" t="str">
        <f>+Tabla15[[#This Row],[N° 
Evento]]&amp;"-"&amp;Tabla15[[#This Row],[N° Tarea]]</f>
        <v>67-1</v>
      </c>
      <c r="D183" s="54">
        <v>67</v>
      </c>
      <c r="E183" s="54">
        <v>1</v>
      </c>
      <c r="F183" s="55" t="s">
        <v>584</v>
      </c>
      <c r="G183" s="44" t="s">
        <v>1052</v>
      </c>
      <c r="H183" s="59" t="s">
        <v>779</v>
      </c>
      <c r="I183" s="59" t="s">
        <v>888</v>
      </c>
      <c r="J183" s="57">
        <v>45566</v>
      </c>
      <c r="K183" s="57">
        <v>45566</v>
      </c>
      <c r="L183" s="47" t="str">
        <f>IF(Tabla15[[#This Row],[Fecha de Finalización]]&gt;0,"Cerrada","En Proceso")</f>
        <v>Cerrada</v>
      </c>
      <c r="M183" s="58">
        <f t="shared" si="6"/>
        <v>0</v>
      </c>
      <c r="N183" s="59" t="s">
        <v>583</v>
      </c>
      <c r="O183" s="54">
        <f>VLOOKUP(Tabla15[[#This Row],[N° 
Evento]],'Eventos de riesgos'!B:C,2,0)</f>
        <v>2024</v>
      </c>
      <c r="P183" s="54" t="str">
        <f>VLOOKUP(Tabla15[[#This Row],[N° 
Evento]],'Eventos de riesgos'!B:D,3,0)</f>
        <v>Sep</v>
      </c>
      <c r="Q183" s="60">
        <f>VLOOKUP(Tabla15[[#This Row],[N° 
Evento]],'Eventos de riesgos'!B:E,4,0)</f>
        <v>45548.416666666664</v>
      </c>
      <c r="R183" s="60">
        <f>VLOOKUP(Tabla15[[#This Row],[N° 
Evento]],'Eventos de riesgos'!B:F,5,0)</f>
        <v>45565.694444444445</v>
      </c>
      <c r="S183" s="60">
        <f>VLOOKUP(Tabla15[[#This Row],[N° 
Evento]],'Eventos de riesgos'!B:G,6,0)</f>
        <v>45566.694444444445</v>
      </c>
      <c r="T183"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3" s="61">
        <f>VLOOKUP(Tabla15[[#This Row],[N° 
Evento]],'Eventos de riesgos'!B:I,8,0)</f>
        <v>0</v>
      </c>
      <c r="V183" s="61">
        <f>VLOOKUP(Tabla15[[#This Row],[N° 
Evento]],'Eventos de riesgos'!B:J,9,0)</f>
        <v>0</v>
      </c>
      <c r="W183" s="61">
        <f>VLOOKUP(Tabla15[[#This Row],[N° 
Evento]],'Eventos de riesgos'!B:K,10,0)</f>
        <v>0</v>
      </c>
      <c r="X183" s="59" t="str">
        <f>VLOOKUP(Tabla15[[#This Row],[N° 
Evento]],'Eventos de riesgos'!B:L,11,0)</f>
        <v>4 - Asociados o Clientes</v>
      </c>
      <c r="Y183" s="59" t="str">
        <f>VLOOKUP(Tabla15[[#This Row],[N° 
Evento]],'Eventos de riesgos'!B:M,12,0)</f>
        <v>41 - Adecuación, Divulgación de Información y Confianza</v>
      </c>
      <c r="Z183" s="59" t="str">
        <f>VLOOKUP(Tabla15[[#This Row],[N° 
Evento]],'Eventos de riesgos'!B:N,13,0)</f>
        <v>415 - Ventas / Colocaciones Agresivas</v>
      </c>
      <c r="AA183" s="59" t="str">
        <f>+VLOOKUP(Tabla15[[#This Row],[N° 
Evento]],'Eventos de riesgos'!$B$1:$AA$87,23,0)</f>
        <v>Inconformidad de asociados que reciben publicidad por mensajes de texto</v>
      </c>
      <c r="AB183" s="54" t="str">
        <f>VLOOKUP(Tabla15[[#This Row],[N° 
Evento]],'Eventos de riesgos'!B:O,14,0)</f>
        <v>Ninguna</v>
      </c>
      <c r="AC183" s="60">
        <f>VLOOKUP(Tabla15[[#This Row],[N° 
Evento]],'Eventos de riesgos'!B:P,15,0)</f>
        <v>45565.636805555558</v>
      </c>
      <c r="AD183" s="54" t="str">
        <f>VLOOKUP(Tabla15[[#This Row],[N° 
Evento]],'Eventos de riesgos'!B:Q,16,0)</f>
        <v>Tarjeta crédito</v>
      </c>
      <c r="AE183" s="54" t="str">
        <f>VLOOKUP(Tabla15[[#This Row],[N° 
Evento]],'Eventos de riesgos'!B:R,17,0)</f>
        <v>Mensajería de texto (SMS)</v>
      </c>
      <c r="AF183" s="56" t="str">
        <f>VLOOKUP(Tabla15[[#This Row],[N° 
Evento]],'Eventos de riesgos'!B:V,21,0)</f>
        <v>Aprobado</v>
      </c>
      <c r="AG183" s="59" t="str">
        <f>VLOOKUP(Tabla15[[#This Row],[N° 
Evento]],'Eventos de riesgos'!B:W,22,0)</f>
        <v>null
17/10/2024 17:12:33: Actualizado</v>
      </c>
    </row>
    <row r="184" spans="3:33" ht="59" customHeight="1" x14ac:dyDescent="0.55000000000000004">
      <c r="C184" s="54" t="str">
        <f>+Tabla15[[#This Row],[N° 
Evento]]&amp;"-"&amp;Tabla15[[#This Row],[N° Tarea]]</f>
        <v>67-2</v>
      </c>
      <c r="D184" s="54">
        <v>67</v>
      </c>
      <c r="E184" s="54">
        <v>2</v>
      </c>
      <c r="F184" s="55" t="s">
        <v>547</v>
      </c>
      <c r="G184" s="44" t="s">
        <v>1053</v>
      </c>
      <c r="H184" s="59" t="s">
        <v>780</v>
      </c>
      <c r="I184" s="59" t="s">
        <v>889</v>
      </c>
      <c r="J184" s="57">
        <v>45566</v>
      </c>
      <c r="K184" s="57">
        <v>45688</v>
      </c>
      <c r="L184" s="47" t="str">
        <f>IF(Tabla15[[#This Row],[Fecha de Finalización]]&gt;0,"Cerrada","En Proceso")</f>
        <v>Cerrada</v>
      </c>
      <c r="M184" s="58">
        <f t="shared" si="6"/>
        <v>122</v>
      </c>
      <c r="N184" s="59" t="s">
        <v>890</v>
      </c>
      <c r="O184" s="54">
        <f>VLOOKUP(Tabla15[[#This Row],[N° 
Evento]],'Eventos de riesgos'!B:C,2,0)</f>
        <v>2024</v>
      </c>
      <c r="P184" s="54" t="str">
        <f>VLOOKUP(Tabla15[[#This Row],[N° 
Evento]],'Eventos de riesgos'!B:D,3,0)</f>
        <v>Sep</v>
      </c>
      <c r="Q184" s="60">
        <f>VLOOKUP(Tabla15[[#This Row],[N° 
Evento]],'Eventos de riesgos'!B:E,4,0)</f>
        <v>45548.416666666664</v>
      </c>
      <c r="R184" s="60">
        <f>VLOOKUP(Tabla15[[#This Row],[N° 
Evento]],'Eventos de riesgos'!B:F,5,0)</f>
        <v>45565.694444444445</v>
      </c>
      <c r="S184" s="60">
        <f>VLOOKUP(Tabla15[[#This Row],[N° 
Evento]],'Eventos de riesgos'!B:G,6,0)</f>
        <v>45566.694444444445</v>
      </c>
      <c r="T184"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4" s="61">
        <f>VLOOKUP(Tabla15[[#This Row],[N° 
Evento]],'Eventos de riesgos'!B:I,8,0)</f>
        <v>0</v>
      </c>
      <c r="V184" s="61">
        <f>VLOOKUP(Tabla15[[#This Row],[N° 
Evento]],'Eventos de riesgos'!B:J,9,0)</f>
        <v>0</v>
      </c>
      <c r="W184" s="61">
        <f>VLOOKUP(Tabla15[[#This Row],[N° 
Evento]],'Eventos de riesgos'!B:K,10,0)</f>
        <v>0</v>
      </c>
      <c r="X184" s="59" t="str">
        <f>VLOOKUP(Tabla15[[#This Row],[N° 
Evento]],'Eventos de riesgos'!B:L,11,0)</f>
        <v>4 - Asociados o Clientes</v>
      </c>
      <c r="Y184" s="59" t="str">
        <f>VLOOKUP(Tabla15[[#This Row],[N° 
Evento]],'Eventos de riesgos'!B:M,12,0)</f>
        <v>41 - Adecuación, Divulgación de Información y Confianza</v>
      </c>
      <c r="Z184" s="59" t="str">
        <f>VLOOKUP(Tabla15[[#This Row],[N° 
Evento]],'Eventos de riesgos'!B:N,13,0)</f>
        <v>415 - Ventas / Colocaciones Agresivas</v>
      </c>
      <c r="AA184" s="59" t="str">
        <f>+VLOOKUP(Tabla15[[#This Row],[N° 
Evento]],'Eventos de riesgos'!$B$1:$AA$87,23,0)</f>
        <v>Inconformidad de asociados que reciben publicidad por mensajes de texto</v>
      </c>
      <c r="AB184" s="54" t="str">
        <f>VLOOKUP(Tabla15[[#This Row],[N° 
Evento]],'Eventos de riesgos'!B:O,14,0)</f>
        <v>Ninguna</v>
      </c>
      <c r="AC184" s="60">
        <f>VLOOKUP(Tabla15[[#This Row],[N° 
Evento]],'Eventos de riesgos'!B:P,15,0)</f>
        <v>45565.636805555558</v>
      </c>
      <c r="AD184" s="54" t="str">
        <f>VLOOKUP(Tabla15[[#This Row],[N° 
Evento]],'Eventos de riesgos'!B:Q,16,0)</f>
        <v>Tarjeta crédito</v>
      </c>
      <c r="AE184" s="54" t="str">
        <f>VLOOKUP(Tabla15[[#This Row],[N° 
Evento]],'Eventos de riesgos'!B:R,17,0)</f>
        <v>Mensajería de texto (SMS)</v>
      </c>
      <c r="AF184" s="56" t="str">
        <f>VLOOKUP(Tabla15[[#This Row],[N° 
Evento]],'Eventos de riesgos'!B:V,21,0)</f>
        <v>Aprobado</v>
      </c>
      <c r="AG184" s="59" t="str">
        <f>VLOOKUP(Tabla15[[#This Row],[N° 
Evento]],'Eventos de riesgos'!B:W,22,0)</f>
        <v>null
17/10/2024 17:12:33: Actualizado</v>
      </c>
    </row>
    <row r="185" spans="3:33" ht="59" customHeight="1" x14ac:dyDescent="0.55000000000000004">
      <c r="C185" s="54" t="str">
        <f>+Tabla15[[#This Row],[N° 
Evento]]&amp;"-"&amp;Tabla15[[#This Row],[N° Tarea]]</f>
        <v>67-3</v>
      </c>
      <c r="D185" s="54">
        <v>67</v>
      </c>
      <c r="E185" s="54">
        <v>3</v>
      </c>
      <c r="F185" s="55" t="s">
        <v>548</v>
      </c>
      <c r="G185" s="44" t="s">
        <v>1053</v>
      </c>
      <c r="H185" s="59" t="s">
        <v>592</v>
      </c>
      <c r="I185" s="59" t="s">
        <v>891</v>
      </c>
      <c r="J185" s="57">
        <v>45566</v>
      </c>
      <c r="K185" s="57">
        <v>45688</v>
      </c>
      <c r="L185" s="47" t="str">
        <f>IF(Tabla15[[#This Row],[Fecha de Finalización]]&gt;0,"Cerrada","En Proceso")</f>
        <v>Cerrada</v>
      </c>
      <c r="M185" s="58">
        <f t="shared" si="6"/>
        <v>122</v>
      </c>
      <c r="N185" s="59" t="s">
        <v>892</v>
      </c>
      <c r="O185" s="54">
        <f>VLOOKUP(Tabla15[[#This Row],[N° 
Evento]],'Eventos de riesgos'!B:C,2,0)</f>
        <v>2024</v>
      </c>
      <c r="P185" s="54" t="str">
        <f>VLOOKUP(Tabla15[[#This Row],[N° 
Evento]],'Eventos de riesgos'!B:D,3,0)</f>
        <v>Sep</v>
      </c>
      <c r="Q185" s="60">
        <f>VLOOKUP(Tabla15[[#This Row],[N° 
Evento]],'Eventos de riesgos'!B:E,4,0)</f>
        <v>45548.416666666664</v>
      </c>
      <c r="R185" s="60">
        <f>VLOOKUP(Tabla15[[#This Row],[N° 
Evento]],'Eventos de riesgos'!B:F,5,0)</f>
        <v>45565.694444444445</v>
      </c>
      <c r="S185" s="60">
        <f>VLOOKUP(Tabla15[[#This Row],[N° 
Evento]],'Eventos de riesgos'!B:G,6,0)</f>
        <v>45566.694444444445</v>
      </c>
      <c r="T185"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5" s="61">
        <f>VLOOKUP(Tabla15[[#This Row],[N° 
Evento]],'Eventos de riesgos'!B:I,8,0)</f>
        <v>0</v>
      </c>
      <c r="V185" s="61">
        <f>VLOOKUP(Tabla15[[#This Row],[N° 
Evento]],'Eventos de riesgos'!B:J,9,0)</f>
        <v>0</v>
      </c>
      <c r="W185" s="61">
        <f>VLOOKUP(Tabla15[[#This Row],[N° 
Evento]],'Eventos de riesgos'!B:K,10,0)</f>
        <v>0</v>
      </c>
      <c r="X185" s="59" t="str">
        <f>VLOOKUP(Tabla15[[#This Row],[N° 
Evento]],'Eventos de riesgos'!B:L,11,0)</f>
        <v>4 - Asociados o Clientes</v>
      </c>
      <c r="Y185" s="59" t="str">
        <f>VLOOKUP(Tabla15[[#This Row],[N° 
Evento]],'Eventos de riesgos'!B:M,12,0)</f>
        <v>41 - Adecuación, Divulgación de Información y Confianza</v>
      </c>
      <c r="Z185" s="59" t="str">
        <f>VLOOKUP(Tabla15[[#This Row],[N° 
Evento]],'Eventos de riesgos'!B:N,13,0)</f>
        <v>415 - Ventas / Colocaciones Agresivas</v>
      </c>
      <c r="AA185" s="59" t="str">
        <f>+VLOOKUP(Tabla15[[#This Row],[N° 
Evento]],'Eventos de riesgos'!$B$1:$AA$87,23,0)</f>
        <v>Inconformidad de asociados que reciben publicidad por mensajes de texto</v>
      </c>
      <c r="AB185" s="54" t="str">
        <f>VLOOKUP(Tabla15[[#This Row],[N° 
Evento]],'Eventos de riesgos'!B:O,14,0)</f>
        <v>Ninguna</v>
      </c>
      <c r="AC185" s="60">
        <f>VLOOKUP(Tabla15[[#This Row],[N° 
Evento]],'Eventos de riesgos'!B:P,15,0)</f>
        <v>45565.636805555558</v>
      </c>
      <c r="AD185" s="54" t="str">
        <f>VLOOKUP(Tabla15[[#This Row],[N° 
Evento]],'Eventos de riesgos'!B:Q,16,0)</f>
        <v>Tarjeta crédito</v>
      </c>
      <c r="AE185" s="54" t="str">
        <f>VLOOKUP(Tabla15[[#This Row],[N° 
Evento]],'Eventos de riesgos'!B:R,17,0)</f>
        <v>Mensajería de texto (SMS)</v>
      </c>
      <c r="AF185" s="56" t="str">
        <f>VLOOKUP(Tabla15[[#This Row],[N° 
Evento]],'Eventos de riesgos'!B:V,21,0)</f>
        <v>Aprobado</v>
      </c>
      <c r="AG185" s="59" t="str">
        <f>VLOOKUP(Tabla15[[#This Row],[N° 
Evento]],'Eventos de riesgos'!B:W,22,0)</f>
        <v>null
17/10/2024 17:12:33: Actualizado</v>
      </c>
    </row>
    <row r="186" spans="3:33" ht="59" customHeight="1" x14ac:dyDescent="0.55000000000000004">
      <c r="C186" s="54" t="str">
        <f>+Tabla15[[#This Row],[N° 
Evento]]&amp;"-"&amp;Tabla15[[#This Row],[N° Tarea]]</f>
        <v>67-4</v>
      </c>
      <c r="D186" s="54">
        <v>67</v>
      </c>
      <c r="E186" s="54">
        <v>4</v>
      </c>
      <c r="F186" s="55" t="s">
        <v>633</v>
      </c>
      <c r="G186" s="44" t="s">
        <v>1053</v>
      </c>
      <c r="H186" s="59" t="s">
        <v>224</v>
      </c>
      <c r="I186" s="59" t="s">
        <v>269</v>
      </c>
      <c r="J186" s="57">
        <v>45566</v>
      </c>
      <c r="K186" s="57">
        <v>45688</v>
      </c>
      <c r="L186" s="47" t="str">
        <f>IF(Tabla15[[#This Row],[Fecha de Finalización]]&gt;0,"Cerrada","En Proceso")</f>
        <v>Cerrada</v>
      </c>
      <c r="M186" s="58">
        <f t="shared" si="6"/>
        <v>122</v>
      </c>
      <c r="N186" s="59" t="s">
        <v>634</v>
      </c>
      <c r="O186" s="54">
        <f>VLOOKUP(Tabla15[[#This Row],[N° 
Evento]],'Eventos de riesgos'!B:C,2,0)</f>
        <v>2024</v>
      </c>
      <c r="P186" s="54" t="str">
        <f>VLOOKUP(Tabla15[[#This Row],[N° 
Evento]],'Eventos de riesgos'!B:D,3,0)</f>
        <v>Sep</v>
      </c>
      <c r="Q186" s="60">
        <f>VLOOKUP(Tabla15[[#This Row],[N° 
Evento]],'Eventos de riesgos'!B:E,4,0)</f>
        <v>45548.416666666664</v>
      </c>
      <c r="R186" s="60">
        <f>VLOOKUP(Tabla15[[#This Row],[N° 
Evento]],'Eventos de riesgos'!B:F,5,0)</f>
        <v>45565.694444444445</v>
      </c>
      <c r="S186" s="60">
        <f>VLOOKUP(Tabla15[[#This Row],[N° 
Evento]],'Eventos de riesgos'!B:G,6,0)</f>
        <v>45566.694444444445</v>
      </c>
      <c r="T186"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6" s="61">
        <f>VLOOKUP(Tabla15[[#This Row],[N° 
Evento]],'Eventos de riesgos'!B:I,8,0)</f>
        <v>0</v>
      </c>
      <c r="V186" s="61">
        <f>VLOOKUP(Tabla15[[#This Row],[N° 
Evento]],'Eventos de riesgos'!B:J,9,0)</f>
        <v>0</v>
      </c>
      <c r="W186" s="61">
        <f>VLOOKUP(Tabla15[[#This Row],[N° 
Evento]],'Eventos de riesgos'!B:K,10,0)</f>
        <v>0</v>
      </c>
      <c r="X186" s="59" t="str">
        <f>VLOOKUP(Tabla15[[#This Row],[N° 
Evento]],'Eventos de riesgos'!B:L,11,0)</f>
        <v>4 - Asociados o Clientes</v>
      </c>
      <c r="Y186" s="59" t="str">
        <f>VLOOKUP(Tabla15[[#This Row],[N° 
Evento]],'Eventos de riesgos'!B:M,12,0)</f>
        <v>41 - Adecuación, Divulgación de Información y Confianza</v>
      </c>
      <c r="Z186" s="59" t="str">
        <f>VLOOKUP(Tabla15[[#This Row],[N° 
Evento]],'Eventos de riesgos'!B:N,13,0)</f>
        <v>415 - Ventas / Colocaciones Agresivas</v>
      </c>
      <c r="AA186" s="59" t="str">
        <f>+VLOOKUP(Tabla15[[#This Row],[N° 
Evento]],'Eventos de riesgos'!$B$1:$AA$87,23,0)</f>
        <v>Inconformidad de asociados que reciben publicidad por mensajes de texto</v>
      </c>
      <c r="AB186" s="54" t="str">
        <f>VLOOKUP(Tabla15[[#This Row],[N° 
Evento]],'Eventos de riesgos'!B:O,14,0)</f>
        <v>Ninguna</v>
      </c>
      <c r="AC186" s="60">
        <f>VLOOKUP(Tabla15[[#This Row],[N° 
Evento]],'Eventos de riesgos'!B:P,15,0)</f>
        <v>45565.636805555558</v>
      </c>
      <c r="AD186" s="54" t="str">
        <f>VLOOKUP(Tabla15[[#This Row],[N° 
Evento]],'Eventos de riesgos'!B:Q,16,0)</f>
        <v>Tarjeta crédito</v>
      </c>
      <c r="AE186" s="54" t="str">
        <f>VLOOKUP(Tabla15[[#This Row],[N° 
Evento]],'Eventos de riesgos'!B:R,17,0)</f>
        <v>Mensajería de texto (SMS)</v>
      </c>
      <c r="AF186" s="56" t="str">
        <f>VLOOKUP(Tabla15[[#This Row],[N° 
Evento]],'Eventos de riesgos'!B:V,21,0)</f>
        <v>Aprobado</v>
      </c>
      <c r="AG186" s="59" t="str">
        <f>VLOOKUP(Tabla15[[#This Row],[N° 
Evento]],'Eventos de riesgos'!B:W,22,0)</f>
        <v>null
17/10/2024 17:12:33: Actualizado</v>
      </c>
    </row>
    <row r="187" spans="3:33" ht="59" customHeight="1" x14ac:dyDescent="0.55000000000000004">
      <c r="C187" s="54" t="str">
        <f>+Tabla15[[#This Row],[N° 
Evento]]&amp;"-"&amp;Tabla15[[#This Row],[N° Tarea]]</f>
        <v>68-1</v>
      </c>
      <c r="D187" s="54">
        <v>68</v>
      </c>
      <c r="E187" s="54">
        <v>1</v>
      </c>
      <c r="F187" s="55" t="s">
        <v>585</v>
      </c>
      <c r="G187" s="44" t="s">
        <v>1053</v>
      </c>
      <c r="H187" s="59" t="s">
        <v>509</v>
      </c>
      <c r="I187" s="56" t="s">
        <v>511</v>
      </c>
      <c r="J187" s="57">
        <v>45597</v>
      </c>
      <c r="K187" s="57">
        <v>45597</v>
      </c>
      <c r="L187" s="47" t="str">
        <f>IF(Tabla15[[#This Row],[Fecha de Finalización]]&gt;0,"Cerrada","En Proceso")</f>
        <v>Cerrada</v>
      </c>
      <c r="M187" s="58">
        <f t="shared" si="6"/>
        <v>0</v>
      </c>
      <c r="N187" s="55" t="s">
        <v>553</v>
      </c>
      <c r="O187" s="54">
        <f>VLOOKUP(Tabla15[[#This Row],[N° 
Evento]],'Eventos de riesgos'!B:C,2,0)</f>
        <v>2024</v>
      </c>
      <c r="P187" s="54" t="str">
        <f>VLOOKUP(Tabla15[[#This Row],[N° 
Evento]],'Eventos de riesgos'!B:D,3,0)</f>
        <v xml:space="preserve">Oct </v>
      </c>
      <c r="Q187" s="60">
        <f>VLOOKUP(Tabla15[[#This Row],[N° 
Evento]],'Eventos de riesgos'!B:E,4,0)</f>
        <v>45566.345833333333</v>
      </c>
      <c r="R187" s="60">
        <f>VLOOKUP(Tabla15[[#This Row],[N° 
Evento]],'Eventos de riesgos'!B:F,5,0)</f>
        <v>45596.345833333333</v>
      </c>
      <c r="S187" s="60">
        <f>VLOOKUP(Tabla15[[#This Row],[N° 
Evento]],'Eventos de riesgos'!B:G,6,0)</f>
        <v>45597.345833333333</v>
      </c>
      <c r="T187"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87" s="61">
        <f>VLOOKUP(Tabla15[[#This Row],[N° 
Evento]],'Eventos de riesgos'!B:I,8,0)</f>
        <v>6911400</v>
      </c>
      <c r="V187" s="61">
        <f>VLOOKUP(Tabla15[[#This Row],[N° 
Evento]],'Eventos de riesgos'!B:J,9,0)</f>
        <v>0</v>
      </c>
      <c r="W187" s="61">
        <f>VLOOKUP(Tabla15[[#This Row],[N° 
Evento]],'Eventos de riesgos'!B:K,10,0)</f>
        <v>0</v>
      </c>
      <c r="X187" s="59" t="str">
        <f>VLOOKUP(Tabla15[[#This Row],[N° 
Evento]],'Eventos de riesgos'!B:L,11,0)</f>
        <v>2 - Fraude Externo</v>
      </c>
      <c r="Y187" s="59" t="str">
        <f>VLOOKUP(Tabla15[[#This Row],[N° 
Evento]],'Eventos de riesgos'!B:M,12,0)</f>
        <v>22 - Hurto y Fraude</v>
      </c>
      <c r="Z187" s="59" t="str">
        <f>VLOOKUP(Tabla15[[#This Row],[N° 
Evento]],'Eventos de riesgos'!B:N,13,0)</f>
        <v>221 - Robo o Hurto</v>
      </c>
      <c r="AA187" s="59" t="str">
        <f>+VLOOKUP(Tabla15[[#This Row],[N° 
Evento]],'Eventos de riesgos'!$B$1:$AA$87,23,0)</f>
        <v>Hurtos mediante la triangulación de operaciones en cuentas de asociados</v>
      </c>
      <c r="AB187" s="54" t="str">
        <f>VLOOKUP(Tabla15[[#This Row],[N° 
Evento]],'Eventos de riesgos'!B:O,14,0)</f>
        <v>Ninguna</v>
      </c>
      <c r="AC187" s="60">
        <f>VLOOKUP(Tabla15[[#This Row],[N° 
Evento]],'Eventos de riesgos'!B:P,15,0)</f>
        <v>45626.353472222225</v>
      </c>
      <c r="AD187" s="54" t="str">
        <f>VLOOKUP(Tabla15[[#This Row],[N° 
Evento]],'Eventos de riesgos'!B:Q,16,0)</f>
        <v>Ahorros voluntarios</v>
      </c>
      <c r="AE187" s="54" t="str">
        <f>VLOOKUP(Tabla15[[#This Row],[N° 
Evento]],'Eventos de riesgos'!B:R,17,0)</f>
        <v>Cooperativa Digital</v>
      </c>
      <c r="AF187" s="56" t="str">
        <f>VLOOKUP(Tabla15[[#This Row],[N° 
Evento]],'Eventos de riesgos'!B:V,21,0)</f>
        <v>Aprobado</v>
      </c>
      <c r="AG187"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88" spans="3:33" ht="59" customHeight="1" x14ac:dyDescent="0.55000000000000004">
      <c r="C188" s="54" t="str">
        <f>+Tabla15[[#This Row],[N° 
Evento]]&amp;"-"&amp;Tabla15[[#This Row],[N° Tarea]]</f>
        <v>68-2</v>
      </c>
      <c r="D188" s="54">
        <v>68</v>
      </c>
      <c r="E188" s="54">
        <v>2</v>
      </c>
      <c r="F188" s="55" t="s">
        <v>557</v>
      </c>
      <c r="G188" s="44" t="s">
        <v>1052</v>
      </c>
      <c r="H188" s="55" t="s">
        <v>554</v>
      </c>
      <c r="I188" s="55" t="s">
        <v>554</v>
      </c>
      <c r="J188" s="57">
        <v>45597</v>
      </c>
      <c r="K188" s="57">
        <v>45601</v>
      </c>
      <c r="L188" s="47" t="str">
        <f>IF(Tabla15[[#This Row],[Fecha de Finalización]]&gt;0,"Cerrada","En Proceso")</f>
        <v>Cerrada</v>
      </c>
      <c r="M188" s="58">
        <f t="shared" si="6"/>
        <v>4</v>
      </c>
      <c r="N188" s="59" t="s">
        <v>555</v>
      </c>
      <c r="O188" s="54">
        <f>VLOOKUP(Tabla15[[#This Row],[N° 
Evento]],'Eventos de riesgos'!B:C,2,0)</f>
        <v>2024</v>
      </c>
      <c r="P188" s="54" t="str">
        <f>VLOOKUP(Tabla15[[#This Row],[N° 
Evento]],'Eventos de riesgos'!B:D,3,0)</f>
        <v xml:space="preserve">Oct </v>
      </c>
      <c r="Q188" s="60">
        <f>VLOOKUP(Tabla15[[#This Row],[N° 
Evento]],'Eventos de riesgos'!B:E,4,0)</f>
        <v>45566.345833333333</v>
      </c>
      <c r="R188" s="60">
        <f>VLOOKUP(Tabla15[[#This Row],[N° 
Evento]],'Eventos de riesgos'!B:F,5,0)</f>
        <v>45596.345833333333</v>
      </c>
      <c r="S188" s="60">
        <f>VLOOKUP(Tabla15[[#This Row],[N° 
Evento]],'Eventos de riesgos'!B:G,6,0)</f>
        <v>45597.345833333333</v>
      </c>
      <c r="T188"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88" s="61">
        <f>VLOOKUP(Tabla15[[#This Row],[N° 
Evento]],'Eventos de riesgos'!B:I,8,0)</f>
        <v>6911400</v>
      </c>
      <c r="V188" s="61">
        <f>VLOOKUP(Tabla15[[#This Row],[N° 
Evento]],'Eventos de riesgos'!B:J,9,0)</f>
        <v>0</v>
      </c>
      <c r="W188" s="61">
        <f>VLOOKUP(Tabla15[[#This Row],[N° 
Evento]],'Eventos de riesgos'!B:K,10,0)</f>
        <v>0</v>
      </c>
      <c r="X188" s="59" t="str">
        <f>VLOOKUP(Tabla15[[#This Row],[N° 
Evento]],'Eventos de riesgos'!B:L,11,0)</f>
        <v>2 - Fraude Externo</v>
      </c>
      <c r="Y188" s="59" t="str">
        <f>VLOOKUP(Tabla15[[#This Row],[N° 
Evento]],'Eventos de riesgos'!B:M,12,0)</f>
        <v>22 - Hurto y Fraude</v>
      </c>
      <c r="Z188" s="59" t="str">
        <f>VLOOKUP(Tabla15[[#This Row],[N° 
Evento]],'Eventos de riesgos'!B:N,13,0)</f>
        <v>221 - Robo o Hurto</v>
      </c>
      <c r="AA188" s="59" t="str">
        <f>+VLOOKUP(Tabla15[[#This Row],[N° 
Evento]],'Eventos de riesgos'!$B$1:$AA$87,23,0)</f>
        <v>Hurtos mediante la triangulación de operaciones en cuentas de asociados</v>
      </c>
      <c r="AB188" s="54" t="str">
        <f>VLOOKUP(Tabla15[[#This Row],[N° 
Evento]],'Eventos de riesgos'!B:O,14,0)</f>
        <v>Ninguna</v>
      </c>
      <c r="AC188" s="60">
        <f>VLOOKUP(Tabla15[[#This Row],[N° 
Evento]],'Eventos de riesgos'!B:P,15,0)</f>
        <v>45626.353472222225</v>
      </c>
      <c r="AD188" s="54" t="str">
        <f>VLOOKUP(Tabla15[[#This Row],[N° 
Evento]],'Eventos de riesgos'!B:Q,16,0)</f>
        <v>Ahorros voluntarios</v>
      </c>
      <c r="AE188" s="54" t="str">
        <f>VLOOKUP(Tabla15[[#This Row],[N° 
Evento]],'Eventos de riesgos'!B:R,17,0)</f>
        <v>Cooperativa Digital</v>
      </c>
      <c r="AF188" s="56" t="str">
        <f>VLOOKUP(Tabla15[[#This Row],[N° 
Evento]],'Eventos de riesgos'!B:V,21,0)</f>
        <v>Aprobado</v>
      </c>
      <c r="AG188"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89" spans="3:33" ht="59" customHeight="1" x14ac:dyDescent="0.55000000000000004">
      <c r="C189" s="54" t="str">
        <f>+Tabla15[[#This Row],[N° 
Evento]]&amp;"-"&amp;Tabla15[[#This Row],[N° Tarea]]</f>
        <v>68-3</v>
      </c>
      <c r="D189" s="54">
        <v>68</v>
      </c>
      <c r="E189" s="54">
        <v>3</v>
      </c>
      <c r="F189" s="55" t="s">
        <v>558</v>
      </c>
      <c r="G189" s="44" t="s">
        <v>1053</v>
      </c>
      <c r="H189" s="59" t="s">
        <v>760</v>
      </c>
      <c r="I189" s="56" t="s">
        <v>95</v>
      </c>
      <c r="J189" s="57">
        <v>45601</v>
      </c>
      <c r="K189" s="57">
        <v>45601</v>
      </c>
      <c r="L189" s="47" t="str">
        <f>IF(Tabla15[[#This Row],[Fecha de Finalización]]&gt;0,"Cerrada","En Proceso")</f>
        <v>Cerrada</v>
      </c>
      <c r="M189" s="58">
        <f t="shared" si="6"/>
        <v>0</v>
      </c>
      <c r="N189" s="59" t="s">
        <v>556</v>
      </c>
      <c r="O189" s="54">
        <f>VLOOKUP(Tabla15[[#This Row],[N° 
Evento]],'Eventos de riesgos'!B:C,2,0)</f>
        <v>2024</v>
      </c>
      <c r="P189" s="54" t="str">
        <f>VLOOKUP(Tabla15[[#This Row],[N° 
Evento]],'Eventos de riesgos'!B:D,3,0)</f>
        <v xml:space="preserve">Oct </v>
      </c>
      <c r="Q189" s="60">
        <f>VLOOKUP(Tabla15[[#This Row],[N° 
Evento]],'Eventos de riesgos'!B:E,4,0)</f>
        <v>45566.345833333333</v>
      </c>
      <c r="R189" s="60">
        <f>VLOOKUP(Tabla15[[#This Row],[N° 
Evento]],'Eventos de riesgos'!B:F,5,0)</f>
        <v>45596.345833333333</v>
      </c>
      <c r="S189" s="60">
        <f>VLOOKUP(Tabla15[[#This Row],[N° 
Evento]],'Eventos de riesgos'!B:G,6,0)</f>
        <v>45597.345833333333</v>
      </c>
      <c r="T189"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89" s="61">
        <f>VLOOKUP(Tabla15[[#This Row],[N° 
Evento]],'Eventos de riesgos'!B:I,8,0)</f>
        <v>6911400</v>
      </c>
      <c r="V189" s="61">
        <f>VLOOKUP(Tabla15[[#This Row],[N° 
Evento]],'Eventos de riesgos'!B:J,9,0)</f>
        <v>0</v>
      </c>
      <c r="W189" s="61">
        <f>VLOOKUP(Tabla15[[#This Row],[N° 
Evento]],'Eventos de riesgos'!B:K,10,0)</f>
        <v>0</v>
      </c>
      <c r="X189" s="59" t="str">
        <f>VLOOKUP(Tabla15[[#This Row],[N° 
Evento]],'Eventos de riesgos'!B:L,11,0)</f>
        <v>2 - Fraude Externo</v>
      </c>
      <c r="Y189" s="59" t="str">
        <f>VLOOKUP(Tabla15[[#This Row],[N° 
Evento]],'Eventos de riesgos'!B:M,12,0)</f>
        <v>22 - Hurto y Fraude</v>
      </c>
      <c r="Z189" s="59" t="str">
        <f>VLOOKUP(Tabla15[[#This Row],[N° 
Evento]],'Eventos de riesgos'!B:N,13,0)</f>
        <v>221 - Robo o Hurto</v>
      </c>
      <c r="AA189" s="59" t="str">
        <f>+VLOOKUP(Tabla15[[#This Row],[N° 
Evento]],'Eventos de riesgos'!$B$1:$AA$87,23,0)</f>
        <v>Hurtos mediante la triangulación de operaciones en cuentas de asociados</v>
      </c>
      <c r="AB189" s="54" t="str">
        <f>VLOOKUP(Tabla15[[#This Row],[N° 
Evento]],'Eventos de riesgos'!B:O,14,0)</f>
        <v>Ninguna</v>
      </c>
      <c r="AC189" s="60">
        <f>VLOOKUP(Tabla15[[#This Row],[N° 
Evento]],'Eventos de riesgos'!B:P,15,0)</f>
        <v>45626.353472222225</v>
      </c>
      <c r="AD189" s="54" t="str">
        <f>VLOOKUP(Tabla15[[#This Row],[N° 
Evento]],'Eventos de riesgos'!B:Q,16,0)</f>
        <v>Ahorros voluntarios</v>
      </c>
      <c r="AE189" s="54" t="str">
        <f>VLOOKUP(Tabla15[[#This Row],[N° 
Evento]],'Eventos de riesgos'!B:R,17,0)</f>
        <v>Cooperativa Digital</v>
      </c>
      <c r="AF189" s="56" t="str">
        <f>VLOOKUP(Tabla15[[#This Row],[N° 
Evento]],'Eventos de riesgos'!B:V,21,0)</f>
        <v>Aprobado</v>
      </c>
      <c r="AG189"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0" spans="3:33" ht="59" customHeight="1" x14ac:dyDescent="0.55000000000000004">
      <c r="C190" s="54" t="str">
        <f>+Tabla15[[#This Row],[N° 
Evento]]&amp;"-"&amp;Tabla15[[#This Row],[N° Tarea]]</f>
        <v>68-4</v>
      </c>
      <c r="D190" s="54">
        <v>68</v>
      </c>
      <c r="E190" s="54">
        <v>4</v>
      </c>
      <c r="F190" s="55" t="s">
        <v>893</v>
      </c>
      <c r="G190" s="44" t="s">
        <v>1052</v>
      </c>
      <c r="H190" s="55" t="s">
        <v>554</v>
      </c>
      <c r="I190" s="55" t="s">
        <v>554</v>
      </c>
      <c r="J190" s="57">
        <v>45601</v>
      </c>
      <c r="K190" s="57">
        <v>45601</v>
      </c>
      <c r="L190" s="47" t="str">
        <f>IF(Tabla15[[#This Row],[Fecha de Finalización]]&gt;0,"Cerrada","En Proceso")</f>
        <v>Cerrada</v>
      </c>
      <c r="M190" s="58">
        <f t="shared" si="6"/>
        <v>0</v>
      </c>
      <c r="N190" s="59" t="s">
        <v>559</v>
      </c>
      <c r="O190" s="54">
        <f>VLOOKUP(Tabla15[[#This Row],[N° 
Evento]],'Eventos de riesgos'!B:C,2,0)</f>
        <v>2024</v>
      </c>
      <c r="P190" s="54" t="str">
        <f>VLOOKUP(Tabla15[[#This Row],[N° 
Evento]],'Eventos de riesgos'!B:D,3,0)</f>
        <v xml:space="preserve">Oct </v>
      </c>
      <c r="Q190" s="60">
        <f>VLOOKUP(Tabla15[[#This Row],[N° 
Evento]],'Eventos de riesgos'!B:E,4,0)</f>
        <v>45566.345833333333</v>
      </c>
      <c r="R190" s="60">
        <f>VLOOKUP(Tabla15[[#This Row],[N° 
Evento]],'Eventos de riesgos'!B:F,5,0)</f>
        <v>45596.345833333333</v>
      </c>
      <c r="S190" s="60">
        <f>VLOOKUP(Tabla15[[#This Row],[N° 
Evento]],'Eventos de riesgos'!B:G,6,0)</f>
        <v>45597.345833333333</v>
      </c>
      <c r="T190"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0" s="61">
        <f>VLOOKUP(Tabla15[[#This Row],[N° 
Evento]],'Eventos de riesgos'!B:I,8,0)</f>
        <v>6911400</v>
      </c>
      <c r="V190" s="61">
        <f>VLOOKUP(Tabla15[[#This Row],[N° 
Evento]],'Eventos de riesgos'!B:J,9,0)</f>
        <v>0</v>
      </c>
      <c r="W190" s="61">
        <f>VLOOKUP(Tabla15[[#This Row],[N° 
Evento]],'Eventos de riesgos'!B:K,10,0)</f>
        <v>0</v>
      </c>
      <c r="X190" s="59" t="str">
        <f>VLOOKUP(Tabla15[[#This Row],[N° 
Evento]],'Eventos de riesgos'!B:L,11,0)</f>
        <v>2 - Fraude Externo</v>
      </c>
      <c r="Y190" s="59" t="str">
        <f>VLOOKUP(Tabla15[[#This Row],[N° 
Evento]],'Eventos de riesgos'!B:M,12,0)</f>
        <v>22 - Hurto y Fraude</v>
      </c>
      <c r="Z190" s="59" t="str">
        <f>VLOOKUP(Tabla15[[#This Row],[N° 
Evento]],'Eventos de riesgos'!B:N,13,0)</f>
        <v>221 - Robo o Hurto</v>
      </c>
      <c r="AA190" s="59" t="str">
        <f>+VLOOKUP(Tabla15[[#This Row],[N° 
Evento]],'Eventos de riesgos'!$B$1:$AA$87,23,0)</f>
        <v>Hurtos mediante la triangulación de operaciones en cuentas de asociados</v>
      </c>
      <c r="AB190" s="54" t="str">
        <f>VLOOKUP(Tabla15[[#This Row],[N° 
Evento]],'Eventos de riesgos'!B:O,14,0)</f>
        <v>Ninguna</v>
      </c>
      <c r="AC190" s="60">
        <f>VLOOKUP(Tabla15[[#This Row],[N° 
Evento]],'Eventos de riesgos'!B:P,15,0)</f>
        <v>45626.353472222225</v>
      </c>
      <c r="AD190" s="54" t="str">
        <f>VLOOKUP(Tabla15[[#This Row],[N° 
Evento]],'Eventos de riesgos'!B:Q,16,0)</f>
        <v>Ahorros voluntarios</v>
      </c>
      <c r="AE190" s="54" t="str">
        <f>VLOOKUP(Tabla15[[#This Row],[N° 
Evento]],'Eventos de riesgos'!B:R,17,0)</f>
        <v>Cooperativa Digital</v>
      </c>
      <c r="AF190" s="56" t="str">
        <f>VLOOKUP(Tabla15[[#This Row],[N° 
Evento]],'Eventos de riesgos'!B:V,21,0)</f>
        <v>Aprobado</v>
      </c>
      <c r="AG190"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1" spans="3:33" ht="59" customHeight="1" x14ac:dyDescent="0.55000000000000004">
      <c r="C191" s="54" t="str">
        <f>+Tabla15[[#This Row],[N° 
Evento]]&amp;"-"&amp;Tabla15[[#This Row],[N° Tarea]]</f>
        <v>68-6</v>
      </c>
      <c r="D191" s="54">
        <v>68</v>
      </c>
      <c r="E191" s="54">
        <v>6</v>
      </c>
      <c r="F191" s="55" t="s">
        <v>894</v>
      </c>
      <c r="G191" s="44" t="s">
        <v>1052</v>
      </c>
      <c r="H191" s="59" t="s">
        <v>509</v>
      </c>
      <c r="I191" s="56" t="s">
        <v>511</v>
      </c>
      <c r="J191" s="57">
        <v>45601</v>
      </c>
      <c r="K191" s="57">
        <v>45601</v>
      </c>
      <c r="L191" s="47" t="str">
        <f>IF(Tabla15[[#This Row],[Fecha de Finalización]]&gt;0,"Cerrada","En Proceso")</f>
        <v>Cerrada</v>
      </c>
      <c r="M191" s="58">
        <f t="shared" si="6"/>
        <v>0</v>
      </c>
      <c r="N191" s="59" t="s">
        <v>560</v>
      </c>
      <c r="O191" s="54">
        <f>VLOOKUP(Tabla15[[#This Row],[N° 
Evento]],'Eventos de riesgos'!B:C,2,0)</f>
        <v>2024</v>
      </c>
      <c r="P191" s="54" t="str">
        <f>VLOOKUP(Tabla15[[#This Row],[N° 
Evento]],'Eventos de riesgos'!B:D,3,0)</f>
        <v xml:space="preserve">Oct </v>
      </c>
      <c r="Q191" s="60">
        <f>VLOOKUP(Tabla15[[#This Row],[N° 
Evento]],'Eventos de riesgos'!B:E,4,0)</f>
        <v>45566.345833333333</v>
      </c>
      <c r="R191" s="60">
        <f>VLOOKUP(Tabla15[[#This Row],[N° 
Evento]],'Eventos de riesgos'!B:F,5,0)</f>
        <v>45596.345833333333</v>
      </c>
      <c r="S191" s="60">
        <f>VLOOKUP(Tabla15[[#This Row],[N° 
Evento]],'Eventos de riesgos'!B:G,6,0)</f>
        <v>45597.345833333333</v>
      </c>
      <c r="T191"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1" s="61">
        <f>VLOOKUP(Tabla15[[#This Row],[N° 
Evento]],'Eventos de riesgos'!B:I,8,0)</f>
        <v>6911400</v>
      </c>
      <c r="V191" s="61">
        <f>VLOOKUP(Tabla15[[#This Row],[N° 
Evento]],'Eventos de riesgos'!B:J,9,0)</f>
        <v>0</v>
      </c>
      <c r="W191" s="61">
        <f>VLOOKUP(Tabla15[[#This Row],[N° 
Evento]],'Eventos de riesgos'!B:K,10,0)</f>
        <v>0</v>
      </c>
      <c r="X191" s="59" t="str">
        <f>VLOOKUP(Tabla15[[#This Row],[N° 
Evento]],'Eventos de riesgos'!B:L,11,0)</f>
        <v>2 - Fraude Externo</v>
      </c>
      <c r="Y191" s="59" t="str">
        <f>VLOOKUP(Tabla15[[#This Row],[N° 
Evento]],'Eventos de riesgos'!B:M,12,0)</f>
        <v>22 - Hurto y Fraude</v>
      </c>
      <c r="Z191" s="59" t="str">
        <f>VLOOKUP(Tabla15[[#This Row],[N° 
Evento]],'Eventos de riesgos'!B:N,13,0)</f>
        <v>221 - Robo o Hurto</v>
      </c>
      <c r="AA191" s="59" t="str">
        <f>+VLOOKUP(Tabla15[[#This Row],[N° 
Evento]],'Eventos de riesgos'!$B$1:$AA$87,23,0)</f>
        <v>Hurtos mediante la triangulación de operaciones en cuentas de asociados</v>
      </c>
      <c r="AB191" s="54" t="str">
        <f>VLOOKUP(Tabla15[[#This Row],[N° 
Evento]],'Eventos de riesgos'!B:O,14,0)</f>
        <v>Ninguna</v>
      </c>
      <c r="AC191" s="60">
        <f>VLOOKUP(Tabla15[[#This Row],[N° 
Evento]],'Eventos de riesgos'!B:P,15,0)</f>
        <v>45626.353472222225</v>
      </c>
      <c r="AD191" s="54" t="str">
        <f>VLOOKUP(Tabla15[[#This Row],[N° 
Evento]],'Eventos de riesgos'!B:Q,16,0)</f>
        <v>Ahorros voluntarios</v>
      </c>
      <c r="AE191" s="54" t="str">
        <f>VLOOKUP(Tabla15[[#This Row],[N° 
Evento]],'Eventos de riesgos'!B:R,17,0)</f>
        <v>Cooperativa Digital</v>
      </c>
      <c r="AF191" s="56" t="str">
        <f>VLOOKUP(Tabla15[[#This Row],[N° 
Evento]],'Eventos de riesgos'!B:V,21,0)</f>
        <v>Aprobado</v>
      </c>
      <c r="AG191"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2" spans="3:33" ht="59" customHeight="1" x14ac:dyDescent="0.55000000000000004">
      <c r="C192" s="54" t="str">
        <f>+Tabla15[[#This Row],[N° 
Evento]]&amp;"-"&amp;Tabla15[[#This Row],[N° Tarea]]</f>
        <v>68-7</v>
      </c>
      <c r="D192" s="54">
        <v>68</v>
      </c>
      <c r="E192" s="54">
        <v>7</v>
      </c>
      <c r="F192" s="55" t="s">
        <v>895</v>
      </c>
      <c r="G192" s="44" t="s">
        <v>1052</v>
      </c>
      <c r="H192" s="59" t="s">
        <v>760</v>
      </c>
      <c r="I192" s="56" t="s">
        <v>95</v>
      </c>
      <c r="J192" s="57">
        <v>45601</v>
      </c>
      <c r="K192" s="57">
        <v>45298</v>
      </c>
      <c r="L192" s="47" t="str">
        <f>IF(Tabla15[[#This Row],[Fecha de Finalización]]&gt;0,"Cerrada","En Proceso")</f>
        <v>Cerrada</v>
      </c>
      <c r="M192" s="58">
        <f t="shared" si="6"/>
        <v>-303</v>
      </c>
      <c r="N192" s="59" t="s">
        <v>896</v>
      </c>
      <c r="O192" s="54">
        <f>VLOOKUP(Tabla15[[#This Row],[N° 
Evento]],'Eventos de riesgos'!B:C,2,0)</f>
        <v>2024</v>
      </c>
      <c r="P192" s="54" t="str">
        <f>VLOOKUP(Tabla15[[#This Row],[N° 
Evento]],'Eventos de riesgos'!B:D,3,0)</f>
        <v xml:space="preserve">Oct </v>
      </c>
      <c r="Q192" s="60">
        <f>VLOOKUP(Tabla15[[#This Row],[N° 
Evento]],'Eventos de riesgos'!B:E,4,0)</f>
        <v>45566.345833333333</v>
      </c>
      <c r="R192" s="60">
        <f>VLOOKUP(Tabla15[[#This Row],[N° 
Evento]],'Eventos de riesgos'!B:F,5,0)</f>
        <v>45596.345833333333</v>
      </c>
      <c r="S192" s="60">
        <f>VLOOKUP(Tabla15[[#This Row],[N° 
Evento]],'Eventos de riesgos'!B:G,6,0)</f>
        <v>45597.345833333333</v>
      </c>
      <c r="T192"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2" s="61">
        <f>VLOOKUP(Tabla15[[#This Row],[N° 
Evento]],'Eventos de riesgos'!B:I,8,0)</f>
        <v>6911400</v>
      </c>
      <c r="V192" s="61">
        <f>VLOOKUP(Tabla15[[#This Row],[N° 
Evento]],'Eventos de riesgos'!B:J,9,0)</f>
        <v>0</v>
      </c>
      <c r="W192" s="61">
        <f>VLOOKUP(Tabla15[[#This Row],[N° 
Evento]],'Eventos de riesgos'!B:K,10,0)</f>
        <v>0</v>
      </c>
      <c r="X192" s="59" t="str">
        <f>VLOOKUP(Tabla15[[#This Row],[N° 
Evento]],'Eventos de riesgos'!B:L,11,0)</f>
        <v>2 - Fraude Externo</v>
      </c>
      <c r="Y192" s="59" t="str">
        <f>VLOOKUP(Tabla15[[#This Row],[N° 
Evento]],'Eventos de riesgos'!B:M,12,0)</f>
        <v>22 - Hurto y Fraude</v>
      </c>
      <c r="Z192" s="59" t="str">
        <f>VLOOKUP(Tabla15[[#This Row],[N° 
Evento]],'Eventos de riesgos'!B:N,13,0)</f>
        <v>221 - Robo o Hurto</v>
      </c>
      <c r="AA192" s="59" t="str">
        <f>+VLOOKUP(Tabla15[[#This Row],[N° 
Evento]],'Eventos de riesgos'!$B$1:$AA$87,23,0)</f>
        <v>Hurtos mediante la triangulación de operaciones en cuentas de asociados</v>
      </c>
      <c r="AB192" s="54" t="str">
        <f>VLOOKUP(Tabla15[[#This Row],[N° 
Evento]],'Eventos de riesgos'!B:O,14,0)</f>
        <v>Ninguna</v>
      </c>
      <c r="AC192" s="60">
        <f>VLOOKUP(Tabla15[[#This Row],[N° 
Evento]],'Eventos de riesgos'!B:P,15,0)</f>
        <v>45626.353472222225</v>
      </c>
      <c r="AD192" s="54" t="str">
        <f>VLOOKUP(Tabla15[[#This Row],[N° 
Evento]],'Eventos de riesgos'!B:Q,16,0)</f>
        <v>Ahorros voluntarios</v>
      </c>
      <c r="AE192" s="54" t="str">
        <f>VLOOKUP(Tabla15[[#This Row],[N° 
Evento]],'Eventos de riesgos'!B:R,17,0)</f>
        <v>Cooperativa Digital</v>
      </c>
      <c r="AF192" s="56" t="str">
        <f>VLOOKUP(Tabla15[[#This Row],[N° 
Evento]],'Eventos de riesgos'!B:V,21,0)</f>
        <v>Aprobado</v>
      </c>
      <c r="AG192"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3" spans="3:33" ht="59" customHeight="1" x14ac:dyDescent="0.55000000000000004">
      <c r="C193" s="54" t="str">
        <f>+Tabla15[[#This Row],[N° 
Evento]]&amp;"-"&amp;Tabla15[[#This Row],[N° Tarea]]</f>
        <v>68-8</v>
      </c>
      <c r="D193" s="54">
        <v>68</v>
      </c>
      <c r="E193" s="54">
        <v>8</v>
      </c>
      <c r="F193" s="55" t="s">
        <v>562</v>
      </c>
      <c r="G193" s="44" t="s">
        <v>1053</v>
      </c>
      <c r="H193" s="59" t="s">
        <v>509</v>
      </c>
      <c r="I193" s="56" t="s">
        <v>511</v>
      </c>
      <c r="J193" s="57">
        <v>45601</v>
      </c>
      <c r="K193" s="57">
        <v>45601</v>
      </c>
      <c r="L193" s="47" t="str">
        <f>IF(Tabla15[[#This Row],[Fecha de Finalización]]&gt;0,"Cerrada","En Proceso")</f>
        <v>Cerrada</v>
      </c>
      <c r="M193" s="58">
        <f t="shared" si="6"/>
        <v>0</v>
      </c>
      <c r="N193" s="59" t="s">
        <v>563</v>
      </c>
      <c r="O193" s="54">
        <f>VLOOKUP(Tabla15[[#This Row],[N° 
Evento]],'Eventos de riesgos'!B:C,2,0)</f>
        <v>2024</v>
      </c>
      <c r="P193" s="54" t="str">
        <f>VLOOKUP(Tabla15[[#This Row],[N° 
Evento]],'Eventos de riesgos'!B:D,3,0)</f>
        <v xml:space="preserve">Oct </v>
      </c>
      <c r="Q193" s="60">
        <f>VLOOKUP(Tabla15[[#This Row],[N° 
Evento]],'Eventos de riesgos'!B:E,4,0)</f>
        <v>45566.345833333333</v>
      </c>
      <c r="R193" s="60">
        <f>VLOOKUP(Tabla15[[#This Row],[N° 
Evento]],'Eventos de riesgos'!B:F,5,0)</f>
        <v>45596.345833333333</v>
      </c>
      <c r="S193" s="60">
        <f>VLOOKUP(Tabla15[[#This Row],[N° 
Evento]],'Eventos de riesgos'!B:G,6,0)</f>
        <v>45597.345833333333</v>
      </c>
      <c r="T193"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3" s="61">
        <f>VLOOKUP(Tabla15[[#This Row],[N° 
Evento]],'Eventos de riesgos'!B:I,8,0)</f>
        <v>6911400</v>
      </c>
      <c r="V193" s="61">
        <f>VLOOKUP(Tabla15[[#This Row],[N° 
Evento]],'Eventos de riesgos'!B:J,9,0)</f>
        <v>0</v>
      </c>
      <c r="W193" s="61">
        <f>VLOOKUP(Tabla15[[#This Row],[N° 
Evento]],'Eventos de riesgos'!B:K,10,0)</f>
        <v>0</v>
      </c>
      <c r="X193" s="59" t="str">
        <f>VLOOKUP(Tabla15[[#This Row],[N° 
Evento]],'Eventos de riesgos'!B:L,11,0)</f>
        <v>2 - Fraude Externo</v>
      </c>
      <c r="Y193" s="59" t="str">
        <f>VLOOKUP(Tabla15[[#This Row],[N° 
Evento]],'Eventos de riesgos'!B:M,12,0)</f>
        <v>22 - Hurto y Fraude</v>
      </c>
      <c r="Z193" s="59" t="str">
        <f>VLOOKUP(Tabla15[[#This Row],[N° 
Evento]],'Eventos de riesgos'!B:N,13,0)</f>
        <v>221 - Robo o Hurto</v>
      </c>
      <c r="AA193" s="59" t="str">
        <f>+VLOOKUP(Tabla15[[#This Row],[N° 
Evento]],'Eventos de riesgos'!$B$1:$AA$87,23,0)</f>
        <v>Hurtos mediante la triangulación de operaciones en cuentas de asociados</v>
      </c>
      <c r="AB193" s="54" t="str">
        <f>VLOOKUP(Tabla15[[#This Row],[N° 
Evento]],'Eventos de riesgos'!B:O,14,0)</f>
        <v>Ninguna</v>
      </c>
      <c r="AC193" s="60">
        <f>VLOOKUP(Tabla15[[#This Row],[N° 
Evento]],'Eventos de riesgos'!B:P,15,0)</f>
        <v>45626.353472222225</v>
      </c>
      <c r="AD193" s="54" t="str">
        <f>VLOOKUP(Tabla15[[#This Row],[N° 
Evento]],'Eventos de riesgos'!B:Q,16,0)</f>
        <v>Ahorros voluntarios</v>
      </c>
      <c r="AE193" s="54" t="str">
        <f>VLOOKUP(Tabla15[[#This Row],[N° 
Evento]],'Eventos de riesgos'!B:R,17,0)</f>
        <v>Cooperativa Digital</v>
      </c>
      <c r="AF193" s="56" t="str">
        <f>VLOOKUP(Tabla15[[#This Row],[N° 
Evento]],'Eventos de riesgos'!B:V,21,0)</f>
        <v>Aprobado</v>
      </c>
      <c r="AG193"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4" spans="3:33" ht="59" customHeight="1" x14ac:dyDescent="0.55000000000000004">
      <c r="C194" s="54" t="str">
        <f>+Tabla15[[#This Row],[N° 
Evento]]&amp;"-"&amp;Tabla15[[#This Row],[N° Tarea]]</f>
        <v>68-9</v>
      </c>
      <c r="D194" s="54">
        <v>68</v>
      </c>
      <c r="E194" s="54">
        <v>9</v>
      </c>
      <c r="F194" s="55" t="s">
        <v>897</v>
      </c>
      <c r="G194" s="44" t="s">
        <v>1052</v>
      </c>
      <c r="H194" s="59" t="s">
        <v>276</v>
      </c>
      <c r="I194" s="56" t="s">
        <v>98</v>
      </c>
      <c r="J194" s="57">
        <v>45601</v>
      </c>
      <c r="K194" s="57">
        <v>45601</v>
      </c>
      <c r="L194" s="47" t="str">
        <f>IF(Tabla15[[#This Row],[Fecha de Finalización]]&gt;0,"Cerrada","En Proceso")</f>
        <v>Cerrada</v>
      </c>
      <c r="M194" s="58">
        <f t="shared" si="6"/>
        <v>0</v>
      </c>
      <c r="N194" s="59" t="s">
        <v>561</v>
      </c>
      <c r="O194" s="54">
        <f>VLOOKUP(Tabla15[[#This Row],[N° 
Evento]],'Eventos de riesgos'!B:C,2,0)</f>
        <v>2024</v>
      </c>
      <c r="P194" s="54" t="str">
        <f>VLOOKUP(Tabla15[[#This Row],[N° 
Evento]],'Eventos de riesgos'!B:D,3,0)</f>
        <v xml:space="preserve">Oct </v>
      </c>
      <c r="Q194" s="60">
        <f>VLOOKUP(Tabla15[[#This Row],[N° 
Evento]],'Eventos de riesgos'!B:E,4,0)</f>
        <v>45566.345833333333</v>
      </c>
      <c r="R194" s="60">
        <f>VLOOKUP(Tabla15[[#This Row],[N° 
Evento]],'Eventos de riesgos'!B:F,5,0)</f>
        <v>45596.345833333333</v>
      </c>
      <c r="S194" s="60">
        <f>VLOOKUP(Tabla15[[#This Row],[N° 
Evento]],'Eventos de riesgos'!B:G,6,0)</f>
        <v>45597.345833333333</v>
      </c>
      <c r="T194"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4" s="61">
        <f>VLOOKUP(Tabla15[[#This Row],[N° 
Evento]],'Eventos de riesgos'!B:I,8,0)</f>
        <v>6911400</v>
      </c>
      <c r="V194" s="61">
        <f>VLOOKUP(Tabla15[[#This Row],[N° 
Evento]],'Eventos de riesgos'!B:J,9,0)</f>
        <v>0</v>
      </c>
      <c r="W194" s="61">
        <f>VLOOKUP(Tabla15[[#This Row],[N° 
Evento]],'Eventos de riesgos'!B:K,10,0)</f>
        <v>0</v>
      </c>
      <c r="X194" s="59" t="str">
        <f>VLOOKUP(Tabla15[[#This Row],[N° 
Evento]],'Eventos de riesgos'!B:L,11,0)</f>
        <v>2 - Fraude Externo</v>
      </c>
      <c r="Y194" s="59" t="str">
        <f>VLOOKUP(Tabla15[[#This Row],[N° 
Evento]],'Eventos de riesgos'!B:M,12,0)</f>
        <v>22 - Hurto y Fraude</v>
      </c>
      <c r="Z194" s="59" t="str">
        <f>VLOOKUP(Tabla15[[#This Row],[N° 
Evento]],'Eventos de riesgos'!B:N,13,0)</f>
        <v>221 - Robo o Hurto</v>
      </c>
      <c r="AA194" s="59" t="str">
        <f>+VLOOKUP(Tabla15[[#This Row],[N° 
Evento]],'Eventos de riesgos'!$B$1:$AA$87,23,0)</f>
        <v>Hurtos mediante la triangulación de operaciones en cuentas de asociados</v>
      </c>
      <c r="AB194" s="54" t="str">
        <f>VLOOKUP(Tabla15[[#This Row],[N° 
Evento]],'Eventos de riesgos'!B:O,14,0)</f>
        <v>Ninguna</v>
      </c>
      <c r="AC194" s="60">
        <f>VLOOKUP(Tabla15[[#This Row],[N° 
Evento]],'Eventos de riesgos'!B:P,15,0)</f>
        <v>45626.353472222225</v>
      </c>
      <c r="AD194" s="54" t="str">
        <f>VLOOKUP(Tabla15[[#This Row],[N° 
Evento]],'Eventos de riesgos'!B:Q,16,0)</f>
        <v>Ahorros voluntarios</v>
      </c>
      <c r="AE194" s="54" t="str">
        <f>VLOOKUP(Tabla15[[#This Row],[N° 
Evento]],'Eventos de riesgos'!B:R,17,0)</f>
        <v>Cooperativa Digital</v>
      </c>
      <c r="AF194" s="56" t="str">
        <f>VLOOKUP(Tabla15[[#This Row],[N° 
Evento]],'Eventos de riesgos'!B:V,21,0)</f>
        <v>Aprobado</v>
      </c>
      <c r="AG194"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5" spans="3:33" ht="59" customHeight="1" x14ac:dyDescent="0.55000000000000004">
      <c r="C195" s="54" t="str">
        <f>+Tabla15[[#This Row],[N° 
Evento]]&amp;"-"&amp;Tabla15[[#This Row],[N° Tarea]]</f>
        <v>68-10</v>
      </c>
      <c r="D195" s="54">
        <v>68</v>
      </c>
      <c r="E195" s="54">
        <v>10</v>
      </c>
      <c r="F195" s="55" t="s">
        <v>898</v>
      </c>
      <c r="G195" s="44" t="s">
        <v>1052</v>
      </c>
      <c r="H195" s="55" t="s">
        <v>554</v>
      </c>
      <c r="I195" s="55" t="s">
        <v>554</v>
      </c>
      <c r="J195" s="57">
        <v>45601</v>
      </c>
      <c r="K195" s="57">
        <v>45601</v>
      </c>
      <c r="L195" s="47" t="str">
        <f>IF(Tabla15[[#This Row],[Fecha de Finalización]]&gt;0,"Cerrada","En Proceso")</f>
        <v>Cerrada</v>
      </c>
      <c r="M195" s="58">
        <f t="shared" si="6"/>
        <v>0</v>
      </c>
      <c r="N195" s="59" t="s">
        <v>564</v>
      </c>
      <c r="O195" s="54">
        <f>VLOOKUP(Tabla15[[#This Row],[N° 
Evento]],'Eventos de riesgos'!B:C,2,0)</f>
        <v>2024</v>
      </c>
      <c r="P195" s="54" t="str">
        <f>VLOOKUP(Tabla15[[#This Row],[N° 
Evento]],'Eventos de riesgos'!B:D,3,0)</f>
        <v xml:space="preserve">Oct </v>
      </c>
      <c r="Q195" s="60">
        <f>VLOOKUP(Tabla15[[#This Row],[N° 
Evento]],'Eventos de riesgos'!B:E,4,0)</f>
        <v>45566.345833333333</v>
      </c>
      <c r="R195" s="60">
        <f>VLOOKUP(Tabla15[[#This Row],[N° 
Evento]],'Eventos de riesgos'!B:F,5,0)</f>
        <v>45596.345833333333</v>
      </c>
      <c r="S195" s="60">
        <f>VLOOKUP(Tabla15[[#This Row],[N° 
Evento]],'Eventos de riesgos'!B:G,6,0)</f>
        <v>45597.345833333333</v>
      </c>
      <c r="T195"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5" s="61">
        <f>VLOOKUP(Tabla15[[#This Row],[N° 
Evento]],'Eventos de riesgos'!B:I,8,0)</f>
        <v>6911400</v>
      </c>
      <c r="V195" s="61">
        <f>VLOOKUP(Tabla15[[#This Row],[N° 
Evento]],'Eventos de riesgos'!B:J,9,0)</f>
        <v>0</v>
      </c>
      <c r="W195" s="61">
        <f>VLOOKUP(Tabla15[[#This Row],[N° 
Evento]],'Eventos de riesgos'!B:K,10,0)</f>
        <v>0</v>
      </c>
      <c r="X195" s="59" t="str">
        <f>VLOOKUP(Tabla15[[#This Row],[N° 
Evento]],'Eventos de riesgos'!B:L,11,0)</f>
        <v>2 - Fraude Externo</v>
      </c>
      <c r="Y195" s="59" t="str">
        <f>VLOOKUP(Tabla15[[#This Row],[N° 
Evento]],'Eventos de riesgos'!B:M,12,0)</f>
        <v>22 - Hurto y Fraude</v>
      </c>
      <c r="Z195" s="59" t="str">
        <f>VLOOKUP(Tabla15[[#This Row],[N° 
Evento]],'Eventos de riesgos'!B:N,13,0)</f>
        <v>221 - Robo o Hurto</v>
      </c>
      <c r="AA195" s="59" t="str">
        <f>+VLOOKUP(Tabla15[[#This Row],[N° 
Evento]],'Eventos de riesgos'!$B$1:$AA$87,23,0)</f>
        <v>Hurtos mediante la triangulación de operaciones en cuentas de asociados</v>
      </c>
      <c r="AB195" s="54" t="str">
        <f>VLOOKUP(Tabla15[[#This Row],[N° 
Evento]],'Eventos de riesgos'!B:O,14,0)</f>
        <v>Ninguna</v>
      </c>
      <c r="AC195" s="60">
        <f>VLOOKUP(Tabla15[[#This Row],[N° 
Evento]],'Eventos de riesgos'!B:P,15,0)</f>
        <v>45626.353472222225</v>
      </c>
      <c r="AD195" s="54" t="str">
        <f>VLOOKUP(Tabla15[[#This Row],[N° 
Evento]],'Eventos de riesgos'!B:Q,16,0)</f>
        <v>Ahorros voluntarios</v>
      </c>
      <c r="AE195" s="54" t="str">
        <f>VLOOKUP(Tabla15[[#This Row],[N° 
Evento]],'Eventos de riesgos'!B:R,17,0)</f>
        <v>Cooperativa Digital</v>
      </c>
      <c r="AF195" s="56" t="str">
        <f>VLOOKUP(Tabla15[[#This Row],[N° 
Evento]],'Eventos de riesgos'!B:V,21,0)</f>
        <v>Aprobado</v>
      </c>
      <c r="AG195"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6" spans="3:33" ht="59" customHeight="1" x14ac:dyDescent="0.55000000000000004">
      <c r="C196" s="54" t="str">
        <f>+Tabla15[[#This Row],[N° 
Evento]]&amp;"-"&amp;Tabla15[[#This Row],[N° Tarea]]</f>
        <v>68-11</v>
      </c>
      <c r="D196" s="54">
        <v>68</v>
      </c>
      <c r="E196" s="54">
        <v>11</v>
      </c>
      <c r="F196" s="55" t="s">
        <v>576</v>
      </c>
      <c r="G196" s="44" t="s">
        <v>1052</v>
      </c>
      <c r="H196" s="59" t="s">
        <v>577</v>
      </c>
      <c r="I196" s="59" t="s">
        <v>578</v>
      </c>
      <c r="J196" s="57">
        <v>45601</v>
      </c>
      <c r="K196" s="57">
        <v>45601</v>
      </c>
      <c r="L196" s="47" t="str">
        <f>IF(Tabla15[[#This Row],[Fecha de Finalización]]&gt;0,"Cerrada","En Proceso")</f>
        <v>Cerrada</v>
      </c>
      <c r="M196" s="58">
        <f t="shared" si="6"/>
        <v>0</v>
      </c>
      <c r="N196" s="59" t="s">
        <v>575</v>
      </c>
      <c r="O196" s="54">
        <f>VLOOKUP(Tabla15[[#This Row],[N° 
Evento]],'Eventos de riesgos'!B:C,2,0)</f>
        <v>2024</v>
      </c>
      <c r="P196" s="54" t="str">
        <f>VLOOKUP(Tabla15[[#This Row],[N° 
Evento]],'Eventos de riesgos'!B:D,3,0)</f>
        <v xml:space="preserve">Oct </v>
      </c>
      <c r="Q196" s="60">
        <f>VLOOKUP(Tabla15[[#This Row],[N° 
Evento]],'Eventos de riesgos'!B:E,4,0)</f>
        <v>45566.345833333333</v>
      </c>
      <c r="R196" s="60">
        <f>VLOOKUP(Tabla15[[#This Row],[N° 
Evento]],'Eventos de riesgos'!B:F,5,0)</f>
        <v>45596.345833333333</v>
      </c>
      <c r="S196" s="60">
        <f>VLOOKUP(Tabla15[[#This Row],[N° 
Evento]],'Eventos de riesgos'!B:G,6,0)</f>
        <v>45597.345833333333</v>
      </c>
      <c r="T196"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6" s="61">
        <f>VLOOKUP(Tabla15[[#This Row],[N° 
Evento]],'Eventos de riesgos'!B:I,8,0)</f>
        <v>6911400</v>
      </c>
      <c r="V196" s="61">
        <f>VLOOKUP(Tabla15[[#This Row],[N° 
Evento]],'Eventos de riesgos'!B:J,9,0)</f>
        <v>0</v>
      </c>
      <c r="W196" s="61">
        <f>VLOOKUP(Tabla15[[#This Row],[N° 
Evento]],'Eventos de riesgos'!B:K,10,0)</f>
        <v>0</v>
      </c>
      <c r="X196" s="59" t="str">
        <f>VLOOKUP(Tabla15[[#This Row],[N° 
Evento]],'Eventos de riesgos'!B:L,11,0)</f>
        <v>2 - Fraude Externo</v>
      </c>
      <c r="Y196" s="59" t="str">
        <f>VLOOKUP(Tabla15[[#This Row],[N° 
Evento]],'Eventos de riesgos'!B:M,12,0)</f>
        <v>22 - Hurto y Fraude</v>
      </c>
      <c r="Z196" s="59" t="str">
        <f>VLOOKUP(Tabla15[[#This Row],[N° 
Evento]],'Eventos de riesgos'!B:N,13,0)</f>
        <v>221 - Robo o Hurto</v>
      </c>
      <c r="AA196" s="59" t="str">
        <f>+VLOOKUP(Tabla15[[#This Row],[N° 
Evento]],'Eventos de riesgos'!$B$1:$AA$87,23,0)</f>
        <v>Hurtos mediante la triangulación de operaciones en cuentas de asociados</v>
      </c>
      <c r="AB196" s="54" t="str">
        <f>VLOOKUP(Tabla15[[#This Row],[N° 
Evento]],'Eventos de riesgos'!B:O,14,0)</f>
        <v>Ninguna</v>
      </c>
      <c r="AC196" s="60">
        <f>VLOOKUP(Tabla15[[#This Row],[N° 
Evento]],'Eventos de riesgos'!B:P,15,0)</f>
        <v>45626.353472222225</v>
      </c>
      <c r="AD196" s="54" t="str">
        <f>VLOOKUP(Tabla15[[#This Row],[N° 
Evento]],'Eventos de riesgos'!B:Q,16,0)</f>
        <v>Ahorros voluntarios</v>
      </c>
      <c r="AE196" s="54" t="str">
        <f>VLOOKUP(Tabla15[[#This Row],[N° 
Evento]],'Eventos de riesgos'!B:R,17,0)</f>
        <v>Cooperativa Digital</v>
      </c>
      <c r="AF196" s="56" t="str">
        <f>VLOOKUP(Tabla15[[#This Row],[N° 
Evento]],'Eventos de riesgos'!B:V,21,0)</f>
        <v>Aprobado</v>
      </c>
      <c r="AG196"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7" spans="3:33" ht="59" customHeight="1" x14ac:dyDescent="0.55000000000000004">
      <c r="C197" s="54" t="str">
        <f>+Tabla15[[#This Row],[N° 
Evento]]&amp;"-"&amp;Tabla15[[#This Row],[N° Tarea]]</f>
        <v>68-12</v>
      </c>
      <c r="D197" s="54">
        <v>68</v>
      </c>
      <c r="E197" s="54">
        <v>12</v>
      </c>
      <c r="F197" s="55" t="s">
        <v>581</v>
      </c>
      <c r="G197" s="44" t="s">
        <v>1052</v>
      </c>
      <c r="H197" s="59" t="s">
        <v>233</v>
      </c>
      <c r="I197" s="59" t="s">
        <v>240</v>
      </c>
      <c r="J197" s="57">
        <v>45603</v>
      </c>
      <c r="K197" s="57">
        <v>45626</v>
      </c>
      <c r="L197" s="47" t="str">
        <f>IF(Tabla15[[#This Row],[Fecha de Finalización]]&gt;0,"Cerrada","En Proceso")</f>
        <v>Cerrada</v>
      </c>
      <c r="M197" s="58">
        <f t="shared" si="6"/>
        <v>23</v>
      </c>
      <c r="N197" s="59" t="s">
        <v>899</v>
      </c>
      <c r="O197" s="54">
        <f>VLOOKUP(Tabla15[[#This Row],[N° 
Evento]],'Eventos de riesgos'!B:C,2,0)</f>
        <v>2024</v>
      </c>
      <c r="P197" s="54" t="str">
        <f>VLOOKUP(Tabla15[[#This Row],[N° 
Evento]],'Eventos de riesgos'!B:D,3,0)</f>
        <v xml:space="preserve">Oct </v>
      </c>
      <c r="Q197" s="60">
        <f>VLOOKUP(Tabla15[[#This Row],[N° 
Evento]],'Eventos de riesgos'!B:E,4,0)</f>
        <v>45566.345833333333</v>
      </c>
      <c r="R197" s="60">
        <f>VLOOKUP(Tabla15[[#This Row],[N° 
Evento]],'Eventos de riesgos'!B:F,5,0)</f>
        <v>45596.345833333333</v>
      </c>
      <c r="S197" s="60">
        <f>VLOOKUP(Tabla15[[#This Row],[N° 
Evento]],'Eventos de riesgos'!B:G,6,0)</f>
        <v>45597.345833333333</v>
      </c>
      <c r="T197"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7" s="61">
        <f>VLOOKUP(Tabla15[[#This Row],[N° 
Evento]],'Eventos de riesgos'!B:I,8,0)</f>
        <v>6911400</v>
      </c>
      <c r="V197" s="61">
        <f>VLOOKUP(Tabla15[[#This Row],[N° 
Evento]],'Eventos de riesgos'!B:J,9,0)</f>
        <v>0</v>
      </c>
      <c r="W197" s="61">
        <f>VLOOKUP(Tabla15[[#This Row],[N° 
Evento]],'Eventos de riesgos'!B:K,10,0)</f>
        <v>0</v>
      </c>
      <c r="X197" s="59" t="str">
        <f>VLOOKUP(Tabla15[[#This Row],[N° 
Evento]],'Eventos de riesgos'!B:L,11,0)</f>
        <v>2 - Fraude Externo</v>
      </c>
      <c r="Y197" s="59" t="str">
        <f>VLOOKUP(Tabla15[[#This Row],[N° 
Evento]],'Eventos de riesgos'!B:M,12,0)</f>
        <v>22 - Hurto y Fraude</v>
      </c>
      <c r="Z197" s="59" t="str">
        <f>VLOOKUP(Tabla15[[#This Row],[N° 
Evento]],'Eventos de riesgos'!B:N,13,0)</f>
        <v>221 - Robo o Hurto</v>
      </c>
      <c r="AA197" s="59" t="str">
        <f>+VLOOKUP(Tabla15[[#This Row],[N° 
Evento]],'Eventos de riesgos'!$B$1:$AA$87,23,0)</f>
        <v>Hurtos mediante la triangulación de operaciones en cuentas de asociados</v>
      </c>
      <c r="AB197" s="54" t="str">
        <f>VLOOKUP(Tabla15[[#This Row],[N° 
Evento]],'Eventos de riesgos'!B:O,14,0)</f>
        <v>Ninguna</v>
      </c>
      <c r="AC197" s="60">
        <f>VLOOKUP(Tabla15[[#This Row],[N° 
Evento]],'Eventos de riesgos'!B:P,15,0)</f>
        <v>45626.353472222225</v>
      </c>
      <c r="AD197" s="54" t="str">
        <f>VLOOKUP(Tabla15[[#This Row],[N° 
Evento]],'Eventos de riesgos'!B:Q,16,0)</f>
        <v>Ahorros voluntarios</v>
      </c>
      <c r="AE197" s="54" t="str">
        <f>VLOOKUP(Tabla15[[#This Row],[N° 
Evento]],'Eventos de riesgos'!B:R,17,0)</f>
        <v>Cooperativa Digital</v>
      </c>
      <c r="AF197" s="56" t="str">
        <f>VLOOKUP(Tabla15[[#This Row],[N° 
Evento]],'Eventos de riesgos'!B:V,21,0)</f>
        <v>Aprobado</v>
      </c>
      <c r="AG197"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8" spans="3:33" ht="59" customHeight="1" x14ac:dyDescent="0.55000000000000004">
      <c r="C198" s="54" t="str">
        <f>+Tabla15[[#This Row],[N° 
Evento]]&amp;"-"&amp;Tabla15[[#This Row],[N° Tarea]]</f>
        <v>68-13</v>
      </c>
      <c r="D198" s="54">
        <v>68</v>
      </c>
      <c r="E198" s="54">
        <v>13</v>
      </c>
      <c r="F198" s="55" t="s">
        <v>900</v>
      </c>
      <c r="G198" s="44" t="s">
        <v>1053</v>
      </c>
      <c r="H198" s="59" t="s">
        <v>582</v>
      </c>
      <c r="I198" s="59" t="s">
        <v>269</v>
      </c>
      <c r="J198" s="57">
        <v>45603</v>
      </c>
      <c r="K198" s="57">
        <v>45603</v>
      </c>
      <c r="L198" s="47" t="str">
        <f>IF(Tabla15[[#This Row],[Fecha de Finalización]]&gt;0,"Cerrada","En Proceso")</f>
        <v>Cerrada</v>
      </c>
      <c r="M198" s="58">
        <f t="shared" si="6"/>
        <v>0</v>
      </c>
      <c r="N198" s="59" t="s">
        <v>901</v>
      </c>
      <c r="O198" s="54">
        <f>VLOOKUP(Tabla15[[#This Row],[N° 
Evento]],'Eventos de riesgos'!B:C,2,0)</f>
        <v>2024</v>
      </c>
      <c r="P198" s="54" t="str">
        <f>VLOOKUP(Tabla15[[#This Row],[N° 
Evento]],'Eventos de riesgos'!B:D,3,0)</f>
        <v xml:space="preserve">Oct </v>
      </c>
      <c r="Q198" s="60">
        <f>VLOOKUP(Tabla15[[#This Row],[N° 
Evento]],'Eventos de riesgos'!B:E,4,0)</f>
        <v>45566.345833333333</v>
      </c>
      <c r="R198" s="60">
        <f>VLOOKUP(Tabla15[[#This Row],[N° 
Evento]],'Eventos de riesgos'!B:F,5,0)</f>
        <v>45596.345833333333</v>
      </c>
      <c r="S198" s="60">
        <f>VLOOKUP(Tabla15[[#This Row],[N° 
Evento]],'Eventos de riesgos'!B:G,6,0)</f>
        <v>45597.345833333333</v>
      </c>
      <c r="T198"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8" s="61">
        <f>VLOOKUP(Tabla15[[#This Row],[N° 
Evento]],'Eventos de riesgos'!B:I,8,0)</f>
        <v>6911400</v>
      </c>
      <c r="V198" s="61">
        <f>VLOOKUP(Tabla15[[#This Row],[N° 
Evento]],'Eventos de riesgos'!B:J,9,0)</f>
        <v>0</v>
      </c>
      <c r="W198" s="61">
        <f>VLOOKUP(Tabla15[[#This Row],[N° 
Evento]],'Eventos de riesgos'!B:K,10,0)</f>
        <v>0</v>
      </c>
      <c r="X198" s="59" t="str">
        <f>VLOOKUP(Tabla15[[#This Row],[N° 
Evento]],'Eventos de riesgos'!B:L,11,0)</f>
        <v>2 - Fraude Externo</v>
      </c>
      <c r="Y198" s="59" t="str">
        <f>VLOOKUP(Tabla15[[#This Row],[N° 
Evento]],'Eventos de riesgos'!B:M,12,0)</f>
        <v>22 - Hurto y Fraude</v>
      </c>
      <c r="Z198" s="59" t="str">
        <f>VLOOKUP(Tabla15[[#This Row],[N° 
Evento]],'Eventos de riesgos'!B:N,13,0)</f>
        <v>221 - Robo o Hurto</v>
      </c>
      <c r="AA198" s="59" t="str">
        <f>+VLOOKUP(Tabla15[[#This Row],[N° 
Evento]],'Eventos de riesgos'!$B$1:$AA$87,23,0)</f>
        <v>Hurtos mediante la triangulación de operaciones en cuentas de asociados</v>
      </c>
      <c r="AB198" s="54" t="str">
        <f>VLOOKUP(Tabla15[[#This Row],[N° 
Evento]],'Eventos de riesgos'!B:O,14,0)</f>
        <v>Ninguna</v>
      </c>
      <c r="AC198" s="60">
        <f>VLOOKUP(Tabla15[[#This Row],[N° 
Evento]],'Eventos de riesgos'!B:P,15,0)</f>
        <v>45626.353472222225</v>
      </c>
      <c r="AD198" s="54" t="str">
        <f>VLOOKUP(Tabla15[[#This Row],[N° 
Evento]],'Eventos de riesgos'!B:Q,16,0)</f>
        <v>Ahorros voluntarios</v>
      </c>
      <c r="AE198" s="54" t="str">
        <f>VLOOKUP(Tabla15[[#This Row],[N° 
Evento]],'Eventos de riesgos'!B:R,17,0)</f>
        <v>Cooperativa Digital</v>
      </c>
      <c r="AF198" s="56" t="str">
        <f>VLOOKUP(Tabla15[[#This Row],[N° 
Evento]],'Eventos de riesgos'!B:V,21,0)</f>
        <v>Aprobado</v>
      </c>
      <c r="AG198"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9" spans="3:33" ht="59" customHeight="1" x14ac:dyDescent="0.55000000000000004">
      <c r="C199" s="54" t="str">
        <f>+Tabla15[[#This Row],[N° 
Evento]]&amp;"-"&amp;Tabla15[[#This Row],[N° Tarea]]</f>
        <v>68-13</v>
      </c>
      <c r="D199" s="54">
        <v>68</v>
      </c>
      <c r="E199" s="54">
        <v>13</v>
      </c>
      <c r="F199" s="55" t="s">
        <v>593</v>
      </c>
      <c r="G199" s="44" t="s">
        <v>1053</v>
      </c>
      <c r="H199" s="59" t="s">
        <v>516</v>
      </c>
      <c r="I199" s="59" t="s">
        <v>514</v>
      </c>
      <c r="J199" s="57">
        <v>45603</v>
      </c>
      <c r="K199" s="57">
        <v>45688</v>
      </c>
      <c r="L199" s="47" t="str">
        <f>IF(Tabla15[[#This Row],[Fecha de Finalización]]&gt;0,"Cerrada","En Proceso")</f>
        <v>Cerrada</v>
      </c>
      <c r="M199" s="58">
        <f t="shared" si="6"/>
        <v>85</v>
      </c>
      <c r="N199" s="59" t="s">
        <v>635</v>
      </c>
      <c r="O199" s="54">
        <f>VLOOKUP(Tabla15[[#This Row],[N° 
Evento]],'Eventos de riesgos'!B:C,2,0)</f>
        <v>2024</v>
      </c>
      <c r="P199" s="54" t="str">
        <f>VLOOKUP(Tabla15[[#This Row],[N° 
Evento]],'Eventos de riesgos'!B:D,3,0)</f>
        <v xml:space="preserve">Oct </v>
      </c>
      <c r="Q199" s="60">
        <f>VLOOKUP(Tabla15[[#This Row],[N° 
Evento]],'Eventos de riesgos'!B:E,4,0)</f>
        <v>45566.345833333333</v>
      </c>
      <c r="R199" s="60">
        <f>VLOOKUP(Tabla15[[#This Row],[N° 
Evento]],'Eventos de riesgos'!B:F,5,0)</f>
        <v>45596.345833333333</v>
      </c>
      <c r="S199" s="60">
        <f>VLOOKUP(Tabla15[[#This Row],[N° 
Evento]],'Eventos de riesgos'!B:G,6,0)</f>
        <v>45597.345833333333</v>
      </c>
      <c r="T199"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9" s="61">
        <f>VLOOKUP(Tabla15[[#This Row],[N° 
Evento]],'Eventos de riesgos'!B:I,8,0)</f>
        <v>6911400</v>
      </c>
      <c r="V199" s="61">
        <f>VLOOKUP(Tabla15[[#This Row],[N° 
Evento]],'Eventos de riesgos'!B:J,9,0)</f>
        <v>0</v>
      </c>
      <c r="W199" s="61">
        <f>VLOOKUP(Tabla15[[#This Row],[N° 
Evento]],'Eventos de riesgos'!B:K,10,0)</f>
        <v>0</v>
      </c>
      <c r="X199" s="59" t="str">
        <f>VLOOKUP(Tabla15[[#This Row],[N° 
Evento]],'Eventos de riesgos'!B:L,11,0)</f>
        <v>2 - Fraude Externo</v>
      </c>
      <c r="Y199" s="59" t="str">
        <f>VLOOKUP(Tabla15[[#This Row],[N° 
Evento]],'Eventos de riesgos'!B:M,12,0)</f>
        <v>22 - Hurto y Fraude</v>
      </c>
      <c r="Z199" s="59" t="str">
        <f>VLOOKUP(Tabla15[[#This Row],[N° 
Evento]],'Eventos de riesgos'!B:N,13,0)</f>
        <v>221 - Robo o Hurto</v>
      </c>
      <c r="AA199" s="59" t="str">
        <f>+VLOOKUP(Tabla15[[#This Row],[N° 
Evento]],'Eventos de riesgos'!$B$1:$AA$87,23,0)</f>
        <v>Hurtos mediante la triangulación de operaciones en cuentas de asociados</v>
      </c>
      <c r="AB199" s="54" t="str">
        <f>VLOOKUP(Tabla15[[#This Row],[N° 
Evento]],'Eventos de riesgos'!B:O,14,0)</f>
        <v>Ninguna</v>
      </c>
      <c r="AC199" s="60">
        <f>VLOOKUP(Tabla15[[#This Row],[N° 
Evento]],'Eventos de riesgos'!B:P,15,0)</f>
        <v>45626.353472222225</v>
      </c>
      <c r="AD199" s="54" t="str">
        <f>VLOOKUP(Tabla15[[#This Row],[N° 
Evento]],'Eventos de riesgos'!B:Q,16,0)</f>
        <v>Ahorros voluntarios</v>
      </c>
      <c r="AE199" s="54" t="str">
        <f>VLOOKUP(Tabla15[[#This Row],[N° 
Evento]],'Eventos de riesgos'!B:R,17,0)</f>
        <v>Cooperativa Digital</v>
      </c>
      <c r="AF199" s="56" t="str">
        <f>VLOOKUP(Tabla15[[#This Row],[N° 
Evento]],'Eventos de riesgos'!B:V,21,0)</f>
        <v>Aprobado</v>
      </c>
      <c r="AG199"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0" spans="3:33" ht="59" customHeight="1" x14ac:dyDescent="0.55000000000000004">
      <c r="C200" s="54" t="str">
        <f>+Tabla15[[#This Row],[N° 
Evento]]&amp;"-"&amp;Tabla15[[#This Row],[N° Tarea]]</f>
        <v>68-14</v>
      </c>
      <c r="D200" s="54">
        <v>68</v>
      </c>
      <c r="E200" s="54">
        <v>14</v>
      </c>
      <c r="F200" s="55" t="s">
        <v>610</v>
      </c>
      <c r="G200" s="44" t="s">
        <v>1053</v>
      </c>
      <c r="H200" s="59" t="s">
        <v>940</v>
      </c>
      <c r="I200" s="59" t="s">
        <v>617</v>
      </c>
      <c r="J200" s="57">
        <v>45621</v>
      </c>
      <c r="K200" s="57">
        <v>45621</v>
      </c>
      <c r="L200" s="47" t="str">
        <f>IF(Tabla15[[#This Row],[Fecha de Finalización]]&gt;0,"Cerrada","En Proceso")</f>
        <v>Cerrada</v>
      </c>
      <c r="M200" s="58">
        <f t="shared" si="6"/>
        <v>0</v>
      </c>
      <c r="N200" s="59" t="s">
        <v>902</v>
      </c>
      <c r="O200" s="54">
        <f>VLOOKUP(Tabla15[[#This Row],[N° 
Evento]],'Eventos de riesgos'!B:C,2,0)</f>
        <v>2024</v>
      </c>
      <c r="P200" s="54" t="str">
        <f>VLOOKUP(Tabla15[[#This Row],[N° 
Evento]],'Eventos de riesgos'!B:D,3,0)</f>
        <v xml:space="preserve">Oct </v>
      </c>
      <c r="Q200" s="60">
        <f>VLOOKUP(Tabla15[[#This Row],[N° 
Evento]],'Eventos de riesgos'!B:E,4,0)</f>
        <v>45566.345833333333</v>
      </c>
      <c r="R200" s="60">
        <f>VLOOKUP(Tabla15[[#This Row],[N° 
Evento]],'Eventos de riesgos'!B:F,5,0)</f>
        <v>45596.345833333333</v>
      </c>
      <c r="S200" s="60">
        <f>VLOOKUP(Tabla15[[#This Row],[N° 
Evento]],'Eventos de riesgos'!B:G,6,0)</f>
        <v>45597.345833333333</v>
      </c>
      <c r="T200"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0" s="61">
        <f>VLOOKUP(Tabla15[[#This Row],[N° 
Evento]],'Eventos de riesgos'!B:I,8,0)</f>
        <v>6911400</v>
      </c>
      <c r="V200" s="61">
        <f>VLOOKUP(Tabla15[[#This Row],[N° 
Evento]],'Eventos de riesgos'!B:J,9,0)</f>
        <v>0</v>
      </c>
      <c r="W200" s="61">
        <f>VLOOKUP(Tabla15[[#This Row],[N° 
Evento]],'Eventos de riesgos'!B:K,10,0)</f>
        <v>0</v>
      </c>
      <c r="X200" s="59" t="str">
        <f>VLOOKUP(Tabla15[[#This Row],[N° 
Evento]],'Eventos de riesgos'!B:L,11,0)</f>
        <v>2 - Fraude Externo</v>
      </c>
      <c r="Y200" s="59" t="str">
        <f>VLOOKUP(Tabla15[[#This Row],[N° 
Evento]],'Eventos de riesgos'!B:M,12,0)</f>
        <v>22 - Hurto y Fraude</v>
      </c>
      <c r="Z200" s="59" t="str">
        <f>VLOOKUP(Tabla15[[#This Row],[N° 
Evento]],'Eventos de riesgos'!B:N,13,0)</f>
        <v>221 - Robo o Hurto</v>
      </c>
      <c r="AA200" s="59" t="str">
        <f>+VLOOKUP(Tabla15[[#This Row],[N° 
Evento]],'Eventos de riesgos'!$B$1:$AA$87,23,0)</f>
        <v>Hurtos mediante la triangulación de operaciones en cuentas de asociados</v>
      </c>
      <c r="AB200" s="54" t="str">
        <f>VLOOKUP(Tabla15[[#This Row],[N° 
Evento]],'Eventos de riesgos'!B:O,14,0)</f>
        <v>Ninguna</v>
      </c>
      <c r="AC200" s="60">
        <f>VLOOKUP(Tabla15[[#This Row],[N° 
Evento]],'Eventos de riesgos'!B:P,15,0)</f>
        <v>45626.353472222225</v>
      </c>
      <c r="AD200" s="54" t="str">
        <f>VLOOKUP(Tabla15[[#This Row],[N° 
Evento]],'Eventos de riesgos'!B:Q,16,0)</f>
        <v>Ahorros voluntarios</v>
      </c>
      <c r="AE200" s="54" t="str">
        <f>VLOOKUP(Tabla15[[#This Row],[N° 
Evento]],'Eventos de riesgos'!B:R,17,0)</f>
        <v>Cooperativa Digital</v>
      </c>
      <c r="AF200" s="56" t="str">
        <f>VLOOKUP(Tabla15[[#This Row],[N° 
Evento]],'Eventos de riesgos'!B:V,21,0)</f>
        <v>Aprobado</v>
      </c>
      <c r="AG200"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1" spans="3:33" ht="59" customHeight="1" x14ac:dyDescent="0.55000000000000004">
      <c r="C201" s="54" t="str">
        <f>+Tabla15[[#This Row],[N° 
Evento]]&amp;"-"&amp;Tabla15[[#This Row],[N° Tarea]]</f>
        <v>68-15</v>
      </c>
      <c r="D201" s="54">
        <v>68</v>
      </c>
      <c r="E201" s="54">
        <v>15</v>
      </c>
      <c r="F201" s="55" t="s">
        <v>611</v>
      </c>
      <c r="G201" s="44" t="s">
        <v>1052</v>
      </c>
      <c r="H201" s="59" t="s">
        <v>765</v>
      </c>
      <c r="I201" s="56" t="s">
        <v>259</v>
      </c>
      <c r="J201" s="57">
        <v>45621</v>
      </c>
      <c r="K201" s="57">
        <v>45623</v>
      </c>
      <c r="L201" s="47" t="str">
        <f>IF(Tabla15[[#This Row],[Fecha de Finalización]]&gt;0,"Cerrada","En Proceso")</f>
        <v>Cerrada</v>
      </c>
      <c r="M201" s="58">
        <f t="shared" si="6"/>
        <v>2</v>
      </c>
      <c r="N201" s="59"/>
      <c r="O201" s="54">
        <f>VLOOKUP(Tabla15[[#This Row],[N° 
Evento]],'Eventos de riesgos'!B:C,2,0)</f>
        <v>2024</v>
      </c>
      <c r="P201" s="54" t="str">
        <f>VLOOKUP(Tabla15[[#This Row],[N° 
Evento]],'Eventos de riesgos'!B:D,3,0)</f>
        <v xml:space="preserve">Oct </v>
      </c>
      <c r="Q201" s="60">
        <f>VLOOKUP(Tabla15[[#This Row],[N° 
Evento]],'Eventos de riesgos'!B:E,4,0)</f>
        <v>45566.345833333333</v>
      </c>
      <c r="R201" s="60">
        <f>VLOOKUP(Tabla15[[#This Row],[N° 
Evento]],'Eventos de riesgos'!B:F,5,0)</f>
        <v>45596.345833333333</v>
      </c>
      <c r="S201" s="60">
        <f>VLOOKUP(Tabla15[[#This Row],[N° 
Evento]],'Eventos de riesgos'!B:G,6,0)</f>
        <v>45597.345833333333</v>
      </c>
      <c r="T201"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1" s="61">
        <f>VLOOKUP(Tabla15[[#This Row],[N° 
Evento]],'Eventos de riesgos'!B:I,8,0)</f>
        <v>6911400</v>
      </c>
      <c r="V201" s="61">
        <f>VLOOKUP(Tabla15[[#This Row],[N° 
Evento]],'Eventos de riesgos'!B:J,9,0)</f>
        <v>0</v>
      </c>
      <c r="W201" s="61">
        <f>VLOOKUP(Tabla15[[#This Row],[N° 
Evento]],'Eventos de riesgos'!B:K,10,0)</f>
        <v>0</v>
      </c>
      <c r="X201" s="59" t="str">
        <f>VLOOKUP(Tabla15[[#This Row],[N° 
Evento]],'Eventos de riesgos'!B:L,11,0)</f>
        <v>2 - Fraude Externo</v>
      </c>
      <c r="Y201" s="59" t="str">
        <f>VLOOKUP(Tabla15[[#This Row],[N° 
Evento]],'Eventos de riesgos'!B:M,12,0)</f>
        <v>22 - Hurto y Fraude</v>
      </c>
      <c r="Z201" s="59" t="str">
        <f>VLOOKUP(Tabla15[[#This Row],[N° 
Evento]],'Eventos de riesgos'!B:N,13,0)</f>
        <v>221 - Robo o Hurto</v>
      </c>
      <c r="AA201" s="59" t="str">
        <f>+VLOOKUP(Tabla15[[#This Row],[N° 
Evento]],'Eventos de riesgos'!$B$1:$AA$87,23,0)</f>
        <v>Hurtos mediante la triangulación de operaciones en cuentas de asociados</v>
      </c>
      <c r="AB201" s="54" t="str">
        <f>VLOOKUP(Tabla15[[#This Row],[N° 
Evento]],'Eventos de riesgos'!B:O,14,0)</f>
        <v>Ninguna</v>
      </c>
      <c r="AC201" s="60">
        <f>VLOOKUP(Tabla15[[#This Row],[N° 
Evento]],'Eventos de riesgos'!B:P,15,0)</f>
        <v>45626.353472222225</v>
      </c>
      <c r="AD201" s="54" t="str">
        <f>VLOOKUP(Tabla15[[#This Row],[N° 
Evento]],'Eventos de riesgos'!B:Q,16,0)</f>
        <v>Ahorros voluntarios</v>
      </c>
      <c r="AE201" s="54" t="str">
        <f>VLOOKUP(Tabla15[[#This Row],[N° 
Evento]],'Eventos de riesgos'!B:R,17,0)</f>
        <v>Cooperativa Digital</v>
      </c>
      <c r="AF201" s="56" t="str">
        <f>VLOOKUP(Tabla15[[#This Row],[N° 
Evento]],'Eventos de riesgos'!B:V,21,0)</f>
        <v>Aprobado</v>
      </c>
      <c r="AG201"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2" spans="3:33" ht="59" customHeight="1" x14ac:dyDescent="0.55000000000000004">
      <c r="C202" s="54" t="str">
        <f>+Tabla15[[#This Row],[N° 
Evento]]&amp;"-"&amp;Tabla15[[#This Row],[N° Tarea]]</f>
        <v>68-16</v>
      </c>
      <c r="D202" s="54">
        <v>68</v>
      </c>
      <c r="E202" s="54">
        <v>16</v>
      </c>
      <c r="F202" s="55" t="s">
        <v>612</v>
      </c>
      <c r="G202" s="44" t="s">
        <v>1052</v>
      </c>
      <c r="H202" s="59" t="s">
        <v>233</v>
      </c>
      <c r="I202" s="56" t="s">
        <v>240</v>
      </c>
      <c r="J202" s="57">
        <v>45621</v>
      </c>
      <c r="K202" s="57">
        <v>45626</v>
      </c>
      <c r="L202" s="47" t="str">
        <f>IF(Tabla15[[#This Row],[Fecha de Finalización]]&gt;0,"Cerrada","En Proceso")</f>
        <v>Cerrada</v>
      </c>
      <c r="M202" s="58">
        <f t="shared" si="6"/>
        <v>5</v>
      </c>
      <c r="N202" s="59"/>
      <c r="O202" s="54">
        <f>VLOOKUP(Tabla15[[#This Row],[N° 
Evento]],'Eventos de riesgos'!B:C,2,0)</f>
        <v>2024</v>
      </c>
      <c r="P202" s="54" t="str">
        <f>VLOOKUP(Tabla15[[#This Row],[N° 
Evento]],'Eventos de riesgos'!B:D,3,0)</f>
        <v xml:space="preserve">Oct </v>
      </c>
      <c r="Q202" s="60">
        <f>VLOOKUP(Tabla15[[#This Row],[N° 
Evento]],'Eventos de riesgos'!B:E,4,0)</f>
        <v>45566.345833333333</v>
      </c>
      <c r="R202" s="60">
        <f>VLOOKUP(Tabla15[[#This Row],[N° 
Evento]],'Eventos de riesgos'!B:F,5,0)</f>
        <v>45596.345833333333</v>
      </c>
      <c r="S202" s="60">
        <f>VLOOKUP(Tabla15[[#This Row],[N° 
Evento]],'Eventos de riesgos'!B:G,6,0)</f>
        <v>45597.345833333333</v>
      </c>
      <c r="T202"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2" s="61">
        <f>VLOOKUP(Tabla15[[#This Row],[N° 
Evento]],'Eventos de riesgos'!B:I,8,0)</f>
        <v>6911400</v>
      </c>
      <c r="V202" s="61">
        <f>VLOOKUP(Tabla15[[#This Row],[N° 
Evento]],'Eventos de riesgos'!B:J,9,0)</f>
        <v>0</v>
      </c>
      <c r="W202" s="61">
        <f>VLOOKUP(Tabla15[[#This Row],[N° 
Evento]],'Eventos de riesgos'!B:K,10,0)</f>
        <v>0</v>
      </c>
      <c r="X202" s="59" t="str">
        <f>VLOOKUP(Tabla15[[#This Row],[N° 
Evento]],'Eventos de riesgos'!B:L,11,0)</f>
        <v>2 - Fraude Externo</v>
      </c>
      <c r="Y202" s="59" t="str">
        <f>VLOOKUP(Tabla15[[#This Row],[N° 
Evento]],'Eventos de riesgos'!B:M,12,0)</f>
        <v>22 - Hurto y Fraude</v>
      </c>
      <c r="Z202" s="59" t="str">
        <f>VLOOKUP(Tabla15[[#This Row],[N° 
Evento]],'Eventos de riesgos'!B:N,13,0)</f>
        <v>221 - Robo o Hurto</v>
      </c>
      <c r="AA202" s="59" t="str">
        <f>+VLOOKUP(Tabla15[[#This Row],[N° 
Evento]],'Eventos de riesgos'!$B$1:$AA$87,23,0)</f>
        <v>Hurtos mediante la triangulación de operaciones en cuentas de asociados</v>
      </c>
      <c r="AB202" s="54" t="str">
        <f>VLOOKUP(Tabla15[[#This Row],[N° 
Evento]],'Eventos de riesgos'!B:O,14,0)</f>
        <v>Ninguna</v>
      </c>
      <c r="AC202" s="60">
        <f>VLOOKUP(Tabla15[[#This Row],[N° 
Evento]],'Eventos de riesgos'!B:P,15,0)</f>
        <v>45626.353472222225</v>
      </c>
      <c r="AD202" s="54" t="str">
        <f>VLOOKUP(Tabla15[[#This Row],[N° 
Evento]],'Eventos de riesgos'!B:Q,16,0)</f>
        <v>Ahorros voluntarios</v>
      </c>
      <c r="AE202" s="54" t="str">
        <f>VLOOKUP(Tabla15[[#This Row],[N° 
Evento]],'Eventos de riesgos'!B:R,17,0)</f>
        <v>Cooperativa Digital</v>
      </c>
      <c r="AF202" s="56" t="str">
        <f>VLOOKUP(Tabla15[[#This Row],[N° 
Evento]],'Eventos de riesgos'!B:V,21,0)</f>
        <v>Aprobado</v>
      </c>
      <c r="AG202"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3" spans="3:33" ht="59" customHeight="1" x14ac:dyDescent="0.55000000000000004">
      <c r="C203" s="54" t="str">
        <f>+Tabla15[[#This Row],[N° 
Evento]]&amp;"-"&amp;Tabla15[[#This Row],[N° Tarea]]</f>
        <v>68-17</v>
      </c>
      <c r="D203" s="54">
        <v>68</v>
      </c>
      <c r="E203" s="54">
        <v>17</v>
      </c>
      <c r="F203" s="55" t="s">
        <v>903</v>
      </c>
      <c r="G203" s="44" t="s">
        <v>1053</v>
      </c>
      <c r="H203" s="59" t="s">
        <v>769</v>
      </c>
      <c r="I203" s="56" t="s">
        <v>273</v>
      </c>
      <c r="J203" s="57">
        <v>45621</v>
      </c>
      <c r="K203" s="57">
        <v>45709</v>
      </c>
      <c r="L203" s="47" t="str">
        <f>IF(Tabla15[[#This Row],[Fecha de Finalización]]&gt;0,"Cerrada","En Proceso")</f>
        <v>Cerrada</v>
      </c>
      <c r="M203" s="58">
        <f t="shared" si="6"/>
        <v>88</v>
      </c>
      <c r="N203" s="59" t="s">
        <v>904</v>
      </c>
      <c r="O203" s="54">
        <f>VLOOKUP(Tabla15[[#This Row],[N° 
Evento]],'Eventos de riesgos'!B:C,2,0)</f>
        <v>2024</v>
      </c>
      <c r="P203" s="54" t="str">
        <f>VLOOKUP(Tabla15[[#This Row],[N° 
Evento]],'Eventos de riesgos'!B:D,3,0)</f>
        <v xml:space="preserve">Oct </v>
      </c>
      <c r="Q203" s="60">
        <f>VLOOKUP(Tabla15[[#This Row],[N° 
Evento]],'Eventos de riesgos'!B:E,4,0)</f>
        <v>45566.345833333333</v>
      </c>
      <c r="R203" s="60">
        <f>VLOOKUP(Tabla15[[#This Row],[N° 
Evento]],'Eventos de riesgos'!B:F,5,0)</f>
        <v>45596.345833333333</v>
      </c>
      <c r="S203" s="60">
        <f>VLOOKUP(Tabla15[[#This Row],[N° 
Evento]],'Eventos de riesgos'!B:G,6,0)</f>
        <v>45597.345833333333</v>
      </c>
      <c r="T203"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3" s="61">
        <f>VLOOKUP(Tabla15[[#This Row],[N° 
Evento]],'Eventos de riesgos'!B:I,8,0)</f>
        <v>6911400</v>
      </c>
      <c r="V203" s="61">
        <f>VLOOKUP(Tabla15[[#This Row],[N° 
Evento]],'Eventos de riesgos'!B:J,9,0)</f>
        <v>0</v>
      </c>
      <c r="W203" s="61">
        <f>VLOOKUP(Tabla15[[#This Row],[N° 
Evento]],'Eventos de riesgos'!B:K,10,0)</f>
        <v>0</v>
      </c>
      <c r="X203" s="59" t="str">
        <f>VLOOKUP(Tabla15[[#This Row],[N° 
Evento]],'Eventos de riesgos'!B:L,11,0)</f>
        <v>2 - Fraude Externo</v>
      </c>
      <c r="Y203" s="59" t="str">
        <f>VLOOKUP(Tabla15[[#This Row],[N° 
Evento]],'Eventos de riesgos'!B:M,12,0)</f>
        <v>22 - Hurto y Fraude</v>
      </c>
      <c r="Z203" s="59" t="str">
        <f>VLOOKUP(Tabla15[[#This Row],[N° 
Evento]],'Eventos de riesgos'!B:N,13,0)</f>
        <v>221 - Robo o Hurto</v>
      </c>
      <c r="AA203" s="59" t="str">
        <f>+VLOOKUP(Tabla15[[#This Row],[N° 
Evento]],'Eventos de riesgos'!$B$1:$AA$87,23,0)</f>
        <v>Hurtos mediante la triangulación de operaciones en cuentas de asociados</v>
      </c>
      <c r="AB203" s="54" t="str">
        <f>VLOOKUP(Tabla15[[#This Row],[N° 
Evento]],'Eventos de riesgos'!B:O,14,0)</f>
        <v>Ninguna</v>
      </c>
      <c r="AC203" s="60">
        <f>VLOOKUP(Tabla15[[#This Row],[N° 
Evento]],'Eventos de riesgos'!B:P,15,0)</f>
        <v>45626.353472222225</v>
      </c>
      <c r="AD203" s="54" t="str">
        <f>VLOOKUP(Tabla15[[#This Row],[N° 
Evento]],'Eventos de riesgos'!B:Q,16,0)</f>
        <v>Ahorros voluntarios</v>
      </c>
      <c r="AE203" s="54" t="str">
        <f>VLOOKUP(Tabla15[[#This Row],[N° 
Evento]],'Eventos de riesgos'!B:R,17,0)</f>
        <v>Cooperativa Digital</v>
      </c>
      <c r="AF203" s="56" t="str">
        <f>VLOOKUP(Tabla15[[#This Row],[N° 
Evento]],'Eventos de riesgos'!B:V,21,0)</f>
        <v>Aprobado</v>
      </c>
      <c r="AG203"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4" spans="3:33" ht="59" customHeight="1" x14ac:dyDescent="0.55000000000000004">
      <c r="C204" s="54" t="str">
        <f>+Tabla15[[#This Row],[N° 
Evento]]&amp;"-"&amp;Tabla15[[#This Row],[N° Tarea]]</f>
        <v>68-18</v>
      </c>
      <c r="D204" s="54">
        <v>68</v>
      </c>
      <c r="E204" s="54">
        <v>18</v>
      </c>
      <c r="F204" s="55" t="s">
        <v>905</v>
      </c>
      <c r="G204" s="44" t="s">
        <v>1052</v>
      </c>
      <c r="H204" s="59" t="s">
        <v>233</v>
      </c>
      <c r="I204" s="56" t="s">
        <v>240</v>
      </c>
      <c r="J204" s="57">
        <v>45621</v>
      </c>
      <c r="K204" s="57">
        <v>45629</v>
      </c>
      <c r="L204" s="47" t="str">
        <f>IF(Tabla15[[#This Row],[Fecha de Finalización]]&gt;0,"Cerrada","En Proceso")</f>
        <v>Cerrada</v>
      </c>
      <c r="M204" s="58">
        <f t="shared" si="6"/>
        <v>8</v>
      </c>
      <c r="N204" s="59" t="s">
        <v>906</v>
      </c>
      <c r="O204" s="54">
        <f>VLOOKUP(Tabla15[[#This Row],[N° 
Evento]],'Eventos de riesgos'!B:C,2,0)</f>
        <v>2024</v>
      </c>
      <c r="P204" s="54" t="str">
        <f>VLOOKUP(Tabla15[[#This Row],[N° 
Evento]],'Eventos de riesgos'!B:D,3,0)</f>
        <v xml:space="preserve">Oct </v>
      </c>
      <c r="Q204" s="60">
        <f>VLOOKUP(Tabla15[[#This Row],[N° 
Evento]],'Eventos de riesgos'!B:E,4,0)</f>
        <v>45566.345833333333</v>
      </c>
      <c r="R204" s="60">
        <f>VLOOKUP(Tabla15[[#This Row],[N° 
Evento]],'Eventos de riesgos'!B:F,5,0)</f>
        <v>45596.345833333333</v>
      </c>
      <c r="S204" s="60">
        <f>VLOOKUP(Tabla15[[#This Row],[N° 
Evento]],'Eventos de riesgos'!B:G,6,0)</f>
        <v>45597.345833333333</v>
      </c>
      <c r="T204"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4" s="61">
        <f>VLOOKUP(Tabla15[[#This Row],[N° 
Evento]],'Eventos de riesgos'!B:I,8,0)</f>
        <v>6911400</v>
      </c>
      <c r="V204" s="61">
        <f>VLOOKUP(Tabla15[[#This Row],[N° 
Evento]],'Eventos de riesgos'!B:J,9,0)</f>
        <v>0</v>
      </c>
      <c r="W204" s="61">
        <f>VLOOKUP(Tabla15[[#This Row],[N° 
Evento]],'Eventos de riesgos'!B:K,10,0)</f>
        <v>0</v>
      </c>
      <c r="X204" s="59" t="str">
        <f>VLOOKUP(Tabla15[[#This Row],[N° 
Evento]],'Eventos de riesgos'!B:L,11,0)</f>
        <v>2 - Fraude Externo</v>
      </c>
      <c r="Y204" s="59" t="str">
        <f>VLOOKUP(Tabla15[[#This Row],[N° 
Evento]],'Eventos de riesgos'!B:M,12,0)</f>
        <v>22 - Hurto y Fraude</v>
      </c>
      <c r="Z204" s="59" t="str">
        <f>VLOOKUP(Tabla15[[#This Row],[N° 
Evento]],'Eventos de riesgos'!B:N,13,0)</f>
        <v>221 - Robo o Hurto</v>
      </c>
      <c r="AA204" s="59" t="str">
        <f>+VLOOKUP(Tabla15[[#This Row],[N° 
Evento]],'Eventos de riesgos'!$B$1:$AA$87,23,0)</f>
        <v>Hurtos mediante la triangulación de operaciones en cuentas de asociados</v>
      </c>
      <c r="AB204" s="54" t="str">
        <f>VLOOKUP(Tabla15[[#This Row],[N° 
Evento]],'Eventos de riesgos'!B:O,14,0)</f>
        <v>Ninguna</v>
      </c>
      <c r="AC204" s="60">
        <f>VLOOKUP(Tabla15[[#This Row],[N° 
Evento]],'Eventos de riesgos'!B:P,15,0)</f>
        <v>45626.353472222225</v>
      </c>
      <c r="AD204" s="54" t="str">
        <f>VLOOKUP(Tabla15[[#This Row],[N° 
Evento]],'Eventos de riesgos'!B:Q,16,0)</f>
        <v>Ahorros voluntarios</v>
      </c>
      <c r="AE204" s="54" t="str">
        <f>VLOOKUP(Tabla15[[#This Row],[N° 
Evento]],'Eventos de riesgos'!B:R,17,0)</f>
        <v>Cooperativa Digital</v>
      </c>
      <c r="AF204" s="56" t="str">
        <f>VLOOKUP(Tabla15[[#This Row],[N° 
Evento]],'Eventos de riesgos'!B:V,21,0)</f>
        <v>Aprobado</v>
      </c>
      <c r="AG204"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5" spans="3:33" ht="59" customHeight="1" x14ac:dyDescent="0.55000000000000004">
      <c r="C205" s="54" t="str">
        <f>+Tabla15[[#This Row],[N° 
Evento]]&amp;"-"&amp;Tabla15[[#This Row],[N° Tarea]]</f>
        <v>69-1</v>
      </c>
      <c r="D205" s="54">
        <v>69</v>
      </c>
      <c r="E205" s="54">
        <v>1</v>
      </c>
      <c r="F205" s="55" t="s">
        <v>907</v>
      </c>
      <c r="G205" s="44" t="s">
        <v>1052</v>
      </c>
      <c r="H205" s="59" t="s">
        <v>760</v>
      </c>
      <c r="I205" s="56" t="s">
        <v>95</v>
      </c>
      <c r="J205" s="57">
        <v>45565</v>
      </c>
      <c r="K205" s="57">
        <v>45576</v>
      </c>
      <c r="L205" s="47" t="str">
        <f>IF(Tabla15[[#This Row],[Fecha de Finalización]]&gt;0,"Cerrada","En Proceso")</f>
        <v>Cerrada</v>
      </c>
      <c r="M205" s="58">
        <f t="shared" si="6"/>
        <v>11</v>
      </c>
      <c r="N205" s="59"/>
      <c r="O205" s="54">
        <f>VLOOKUP(Tabla15[[#This Row],[N° 
Evento]],'Eventos de riesgos'!B:C,2,0)</f>
        <v>2024</v>
      </c>
      <c r="P205" s="54" t="str">
        <f>VLOOKUP(Tabla15[[#This Row],[N° 
Evento]],'Eventos de riesgos'!B:D,3,0)</f>
        <v xml:space="preserve">Oct </v>
      </c>
      <c r="Q205" s="60">
        <f>VLOOKUP(Tabla15[[#This Row],[N° 
Evento]],'Eventos de riesgos'!B:E,4,0)</f>
        <v>45547.628472222219</v>
      </c>
      <c r="R205" s="60">
        <f>VLOOKUP(Tabla15[[#This Row],[N° 
Evento]],'Eventos de riesgos'!B:F,5,0)</f>
        <v>45576.655555555553</v>
      </c>
      <c r="S205" s="60">
        <f>VLOOKUP(Tabla15[[#This Row],[N° 
Evento]],'Eventos de riesgos'!B:G,6,0)</f>
        <v>45565.628472222219</v>
      </c>
      <c r="T205"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5" s="61">
        <f>VLOOKUP(Tabla15[[#This Row],[N° 
Evento]],'Eventos de riesgos'!B:I,8,0)</f>
        <v>0</v>
      </c>
      <c r="V205" s="61">
        <f>VLOOKUP(Tabla15[[#This Row],[N° 
Evento]],'Eventos de riesgos'!B:J,9,0)</f>
        <v>0</v>
      </c>
      <c r="W205" s="61">
        <f>VLOOKUP(Tabla15[[#This Row],[N° 
Evento]],'Eventos de riesgos'!B:K,10,0)</f>
        <v>0</v>
      </c>
      <c r="X205" s="59" t="str">
        <f>VLOOKUP(Tabla15[[#This Row],[N° 
Evento]],'Eventos de riesgos'!B:L,11,0)</f>
        <v>7 - Ejecución y Administración de Procesos</v>
      </c>
      <c r="Y205" s="59" t="str">
        <f>VLOOKUP(Tabla15[[#This Row],[N° 
Evento]],'Eventos de riesgos'!B:M,12,0)</f>
        <v>71 - Recepción, Ejecución y Mantenimiento de Operaciones</v>
      </c>
      <c r="Z205" s="59" t="str">
        <f>VLOOKUP(Tabla15[[#This Row],[N° 
Evento]],'Eventos de riesgos'!B:N,13,0)</f>
        <v>718 - Error en Otras Tareas, Falla en la Entrega</v>
      </c>
      <c r="AA205" s="59" t="str">
        <f>+VLOOKUP(Tabla15[[#This Row],[N° 
Evento]],'Eventos de riesgos'!$B$1:$AA$87,23,0)</f>
        <v>Fallas en recepción y tramitación de auxilios</v>
      </c>
      <c r="AB205" s="54" t="str">
        <f>VLOOKUP(Tabla15[[#This Row],[N° 
Evento]],'Eventos de riesgos'!B:O,14,0)</f>
        <v>Ninguna</v>
      </c>
      <c r="AC205" s="60">
        <f>VLOOKUP(Tabla15[[#This Row],[N° 
Evento]],'Eventos de riesgos'!B:P,15,0)</f>
        <v>45596.652777777781</v>
      </c>
      <c r="AD205" s="54" t="str">
        <f>VLOOKUP(Tabla15[[#This Row],[N° 
Evento]],'Eventos de riesgos'!B:Q,16,0)</f>
        <v>Auxilios de solidaridad y educación</v>
      </c>
      <c r="AE205" s="54" t="str">
        <f>VLOOKUP(Tabla15[[#This Row],[N° 
Evento]],'Eventos de riesgos'!B:R,17,0)</f>
        <v>Correo electrónico institucional</v>
      </c>
      <c r="AF205" s="56" t="str">
        <f>VLOOKUP(Tabla15[[#This Row],[N° 
Evento]],'Eventos de riesgos'!B:V,21,0)</f>
        <v>Aprobado</v>
      </c>
      <c r="AG205" s="59" t="str">
        <f>VLOOKUP(Tabla15[[#This Row],[N° 
Evento]],'Eventos de riesgos'!B:W,22,0)</f>
        <v>08/11/2024 15:44:56: Creación
10/11/2024 15:32:09: Actualización</v>
      </c>
    </row>
    <row r="206" spans="3:33" ht="59" customHeight="1" x14ac:dyDescent="0.55000000000000004">
      <c r="C206" s="54" t="str">
        <f>+Tabla15[[#This Row],[N° 
Evento]]&amp;"-"&amp;Tabla15[[#This Row],[N° Tarea]]</f>
        <v>69-2</v>
      </c>
      <c r="D206" s="54">
        <v>69</v>
      </c>
      <c r="E206" s="54">
        <v>2</v>
      </c>
      <c r="F206" s="55" t="s">
        <v>636</v>
      </c>
      <c r="G206" s="44" t="s">
        <v>1053</v>
      </c>
      <c r="H206" s="59" t="s">
        <v>589</v>
      </c>
      <c r="I206" s="59" t="s">
        <v>590</v>
      </c>
      <c r="J206" s="57">
        <v>45576</v>
      </c>
      <c r="K206" s="57">
        <v>45607</v>
      </c>
      <c r="L206" s="47" t="str">
        <f>IF(Tabla15[[#This Row],[Fecha de Finalización]]&gt;0,"Cerrada","En Proceso")</f>
        <v>Cerrada</v>
      </c>
      <c r="M206" s="58">
        <f t="shared" si="6"/>
        <v>31</v>
      </c>
      <c r="N206" s="59" t="s">
        <v>637</v>
      </c>
      <c r="O206" s="54">
        <f>VLOOKUP(Tabla15[[#This Row],[N° 
Evento]],'Eventos de riesgos'!B:C,2,0)</f>
        <v>2024</v>
      </c>
      <c r="P206" s="54" t="str">
        <f>VLOOKUP(Tabla15[[#This Row],[N° 
Evento]],'Eventos de riesgos'!B:D,3,0)</f>
        <v xml:space="preserve">Oct </v>
      </c>
      <c r="Q206" s="60">
        <f>VLOOKUP(Tabla15[[#This Row],[N° 
Evento]],'Eventos de riesgos'!B:E,4,0)</f>
        <v>45547.628472222219</v>
      </c>
      <c r="R206" s="60">
        <f>VLOOKUP(Tabla15[[#This Row],[N° 
Evento]],'Eventos de riesgos'!B:F,5,0)</f>
        <v>45576.655555555553</v>
      </c>
      <c r="S206" s="60">
        <f>VLOOKUP(Tabla15[[#This Row],[N° 
Evento]],'Eventos de riesgos'!B:G,6,0)</f>
        <v>45565.628472222219</v>
      </c>
      <c r="T206"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6" s="61">
        <f>VLOOKUP(Tabla15[[#This Row],[N° 
Evento]],'Eventos de riesgos'!B:I,8,0)</f>
        <v>0</v>
      </c>
      <c r="V206" s="61">
        <f>VLOOKUP(Tabla15[[#This Row],[N° 
Evento]],'Eventos de riesgos'!B:J,9,0)</f>
        <v>0</v>
      </c>
      <c r="W206" s="61">
        <f>VLOOKUP(Tabla15[[#This Row],[N° 
Evento]],'Eventos de riesgos'!B:K,10,0)</f>
        <v>0</v>
      </c>
      <c r="X206" s="59" t="str">
        <f>VLOOKUP(Tabla15[[#This Row],[N° 
Evento]],'Eventos de riesgos'!B:L,11,0)</f>
        <v>7 - Ejecución y Administración de Procesos</v>
      </c>
      <c r="Y206" s="59" t="str">
        <f>VLOOKUP(Tabla15[[#This Row],[N° 
Evento]],'Eventos de riesgos'!B:M,12,0)</f>
        <v>71 - Recepción, Ejecución y Mantenimiento de Operaciones</v>
      </c>
      <c r="Z206" s="59" t="str">
        <f>VLOOKUP(Tabla15[[#This Row],[N° 
Evento]],'Eventos de riesgos'!B:N,13,0)</f>
        <v>718 - Error en Otras Tareas, Falla en la Entrega</v>
      </c>
      <c r="AA206" s="59" t="str">
        <f>+VLOOKUP(Tabla15[[#This Row],[N° 
Evento]],'Eventos de riesgos'!$B$1:$AA$87,23,0)</f>
        <v>Fallas en recepción y tramitación de auxilios</v>
      </c>
      <c r="AB206" s="54" t="str">
        <f>VLOOKUP(Tabla15[[#This Row],[N° 
Evento]],'Eventos de riesgos'!B:O,14,0)</f>
        <v>Ninguna</v>
      </c>
      <c r="AC206" s="60">
        <f>VLOOKUP(Tabla15[[#This Row],[N° 
Evento]],'Eventos de riesgos'!B:P,15,0)</f>
        <v>45596.652777777781</v>
      </c>
      <c r="AD206" s="54" t="str">
        <f>VLOOKUP(Tabla15[[#This Row],[N° 
Evento]],'Eventos de riesgos'!B:Q,16,0)</f>
        <v>Auxilios de solidaridad y educación</v>
      </c>
      <c r="AE206" s="54" t="str">
        <f>VLOOKUP(Tabla15[[#This Row],[N° 
Evento]],'Eventos de riesgos'!B:R,17,0)</f>
        <v>Correo electrónico institucional</v>
      </c>
      <c r="AF206" s="56" t="str">
        <f>VLOOKUP(Tabla15[[#This Row],[N° 
Evento]],'Eventos de riesgos'!B:V,21,0)</f>
        <v>Aprobado</v>
      </c>
      <c r="AG206" s="59" t="str">
        <f>VLOOKUP(Tabla15[[#This Row],[N° 
Evento]],'Eventos de riesgos'!B:W,22,0)</f>
        <v>08/11/2024 15:44:56: Creación
10/11/2024 15:32:09: Actualización</v>
      </c>
    </row>
    <row r="207" spans="3:33" ht="59" customHeight="1" x14ac:dyDescent="0.55000000000000004">
      <c r="C207" s="54" t="str">
        <f>+Tabla15[[#This Row],[N° 
Evento]]&amp;"-"&amp;Tabla15[[#This Row],[N° Tarea]]</f>
        <v>69-3</v>
      </c>
      <c r="D207" s="54">
        <v>69</v>
      </c>
      <c r="E207" s="54">
        <v>3</v>
      </c>
      <c r="F207" s="55" t="s">
        <v>588</v>
      </c>
      <c r="G207" s="44" t="s">
        <v>1052</v>
      </c>
      <c r="H207" s="59" t="s">
        <v>589</v>
      </c>
      <c r="I207" s="59" t="s">
        <v>590</v>
      </c>
      <c r="J207" s="57">
        <v>45576</v>
      </c>
      <c r="K207" s="57">
        <v>45626</v>
      </c>
      <c r="L207" s="47" t="str">
        <f>IF(Tabla15[[#This Row],[Fecha de Finalización]]&gt;0,"Cerrada","En Proceso")</f>
        <v>Cerrada</v>
      </c>
      <c r="M207" s="58">
        <f t="shared" si="6"/>
        <v>50</v>
      </c>
      <c r="N207" s="59" t="s">
        <v>908</v>
      </c>
      <c r="O207" s="54">
        <f>VLOOKUP(Tabla15[[#This Row],[N° 
Evento]],'Eventos de riesgos'!B:C,2,0)</f>
        <v>2024</v>
      </c>
      <c r="P207" s="54" t="str">
        <f>VLOOKUP(Tabla15[[#This Row],[N° 
Evento]],'Eventos de riesgos'!B:D,3,0)</f>
        <v xml:space="preserve">Oct </v>
      </c>
      <c r="Q207" s="60">
        <f>VLOOKUP(Tabla15[[#This Row],[N° 
Evento]],'Eventos de riesgos'!B:E,4,0)</f>
        <v>45547.628472222219</v>
      </c>
      <c r="R207" s="60">
        <f>VLOOKUP(Tabla15[[#This Row],[N° 
Evento]],'Eventos de riesgos'!B:F,5,0)</f>
        <v>45576.655555555553</v>
      </c>
      <c r="S207" s="60">
        <f>VLOOKUP(Tabla15[[#This Row],[N° 
Evento]],'Eventos de riesgos'!B:G,6,0)</f>
        <v>45565.628472222219</v>
      </c>
      <c r="T207"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7" s="61">
        <f>VLOOKUP(Tabla15[[#This Row],[N° 
Evento]],'Eventos de riesgos'!B:I,8,0)</f>
        <v>0</v>
      </c>
      <c r="V207" s="61">
        <f>VLOOKUP(Tabla15[[#This Row],[N° 
Evento]],'Eventos de riesgos'!B:J,9,0)</f>
        <v>0</v>
      </c>
      <c r="W207" s="61">
        <f>VLOOKUP(Tabla15[[#This Row],[N° 
Evento]],'Eventos de riesgos'!B:K,10,0)</f>
        <v>0</v>
      </c>
      <c r="X207" s="59" t="str">
        <f>VLOOKUP(Tabla15[[#This Row],[N° 
Evento]],'Eventos de riesgos'!B:L,11,0)</f>
        <v>7 - Ejecución y Administración de Procesos</v>
      </c>
      <c r="Y207" s="59" t="str">
        <f>VLOOKUP(Tabla15[[#This Row],[N° 
Evento]],'Eventos de riesgos'!B:M,12,0)</f>
        <v>71 - Recepción, Ejecución y Mantenimiento de Operaciones</v>
      </c>
      <c r="Z207" s="59" t="str">
        <f>VLOOKUP(Tabla15[[#This Row],[N° 
Evento]],'Eventos de riesgos'!B:N,13,0)</f>
        <v>718 - Error en Otras Tareas, Falla en la Entrega</v>
      </c>
      <c r="AA207" s="59" t="str">
        <f>+VLOOKUP(Tabla15[[#This Row],[N° 
Evento]],'Eventos de riesgos'!$B$1:$AA$87,23,0)</f>
        <v>Fallas en recepción y tramitación de auxilios</v>
      </c>
      <c r="AB207" s="54" t="str">
        <f>VLOOKUP(Tabla15[[#This Row],[N° 
Evento]],'Eventos de riesgos'!B:O,14,0)</f>
        <v>Ninguna</v>
      </c>
      <c r="AC207" s="60">
        <f>VLOOKUP(Tabla15[[#This Row],[N° 
Evento]],'Eventos de riesgos'!B:P,15,0)</f>
        <v>45596.652777777781</v>
      </c>
      <c r="AD207" s="54" t="str">
        <f>VLOOKUP(Tabla15[[#This Row],[N° 
Evento]],'Eventos de riesgos'!B:Q,16,0)</f>
        <v>Auxilios de solidaridad y educación</v>
      </c>
      <c r="AE207" s="54" t="str">
        <f>VLOOKUP(Tabla15[[#This Row],[N° 
Evento]],'Eventos de riesgos'!B:R,17,0)</f>
        <v>Correo electrónico institucional</v>
      </c>
      <c r="AF207" s="56" t="str">
        <f>VLOOKUP(Tabla15[[#This Row],[N° 
Evento]],'Eventos de riesgos'!B:V,21,0)</f>
        <v>Aprobado</v>
      </c>
      <c r="AG207" s="59" t="str">
        <f>VLOOKUP(Tabla15[[#This Row],[N° 
Evento]],'Eventos de riesgos'!B:W,22,0)</f>
        <v>08/11/2024 15:44:56: Creación
10/11/2024 15:32:09: Actualización</v>
      </c>
    </row>
    <row r="208" spans="3:33" ht="59" customHeight="1" x14ac:dyDescent="0.55000000000000004">
      <c r="C208" s="54" t="str">
        <f>+Tabla15[[#This Row],[N° 
Evento]]&amp;"-"&amp;Tabla15[[#This Row],[N° Tarea]]</f>
        <v>69-4</v>
      </c>
      <c r="D208" s="54">
        <v>69</v>
      </c>
      <c r="E208" s="54">
        <v>4</v>
      </c>
      <c r="F208" s="55" t="s">
        <v>586</v>
      </c>
      <c r="G208" s="44" t="s">
        <v>1053</v>
      </c>
      <c r="H208" s="59" t="s">
        <v>589</v>
      </c>
      <c r="I208" s="59" t="s">
        <v>590</v>
      </c>
      <c r="J208" s="57">
        <v>45576</v>
      </c>
      <c r="K208" s="57">
        <v>45639</v>
      </c>
      <c r="L208" s="47" t="str">
        <f>IF(Tabla15[[#This Row],[Fecha de Finalización]]&gt;0,"Cerrada","En Proceso")</f>
        <v>Cerrada</v>
      </c>
      <c r="M208" s="58">
        <f t="shared" si="6"/>
        <v>63</v>
      </c>
      <c r="N208" s="59" t="s">
        <v>909</v>
      </c>
      <c r="O208" s="54">
        <f>VLOOKUP(Tabla15[[#This Row],[N° 
Evento]],'Eventos de riesgos'!B:C,2,0)</f>
        <v>2024</v>
      </c>
      <c r="P208" s="54" t="str">
        <f>VLOOKUP(Tabla15[[#This Row],[N° 
Evento]],'Eventos de riesgos'!B:D,3,0)</f>
        <v xml:space="preserve">Oct </v>
      </c>
      <c r="Q208" s="60">
        <f>VLOOKUP(Tabla15[[#This Row],[N° 
Evento]],'Eventos de riesgos'!B:E,4,0)</f>
        <v>45547.628472222219</v>
      </c>
      <c r="R208" s="60">
        <f>VLOOKUP(Tabla15[[#This Row],[N° 
Evento]],'Eventos de riesgos'!B:F,5,0)</f>
        <v>45576.655555555553</v>
      </c>
      <c r="S208" s="60">
        <f>VLOOKUP(Tabla15[[#This Row],[N° 
Evento]],'Eventos de riesgos'!B:G,6,0)</f>
        <v>45565.628472222219</v>
      </c>
      <c r="T208"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8" s="61">
        <f>VLOOKUP(Tabla15[[#This Row],[N° 
Evento]],'Eventos de riesgos'!B:I,8,0)</f>
        <v>0</v>
      </c>
      <c r="V208" s="61">
        <f>VLOOKUP(Tabla15[[#This Row],[N° 
Evento]],'Eventos de riesgos'!B:J,9,0)</f>
        <v>0</v>
      </c>
      <c r="W208" s="61">
        <f>VLOOKUP(Tabla15[[#This Row],[N° 
Evento]],'Eventos de riesgos'!B:K,10,0)</f>
        <v>0</v>
      </c>
      <c r="X208" s="59" t="str">
        <f>VLOOKUP(Tabla15[[#This Row],[N° 
Evento]],'Eventos de riesgos'!B:L,11,0)</f>
        <v>7 - Ejecución y Administración de Procesos</v>
      </c>
      <c r="Y208" s="59" t="str">
        <f>VLOOKUP(Tabla15[[#This Row],[N° 
Evento]],'Eventos de riesgos'!B:M,12,0)</f>
        <v>71 - Recepción, Ejecución y Mantenimiento de Operaciones</v>
      </c>
      <c r="Z208" s="59" t="str">
        <f>VLOOKUP(Tabla15[[#This Row],[N° 
Evento]],'Eventos de riesgos'!B:N,13,0)</f>
        <v>718 - Error en Otras Tareas, Falla en la Entrega</v>
      </c>
      <c r="AA208" s="59" t="str">
        <f>+VLOOKUP(Tabla15[[#This Row],[N° 
Evento]],'Eventos de riesgos'!$B$1:$AA$87,23,0)</f>
        <v>Fallas en recepción y tramitación de auxilios</v>
      </c>
      <c r="AB208" s="54" t="str">
        <f>VLOOKUP(Tabla15[[#This Row],[N° 
Evento]],'Eventos de riesgos'!B:O,14,0)</f>
        <v>Ninguna</v>
      </c>
      <c r="AC208" s="60">
        <f>VLOOKUP(Tabla15[[#This Row],[N° 
Evento]],'Eventos de riesgos'!B:P,15,0)</f>
        <v>45596.652777777781</v>
      </c>
      <c r="AD208" s="54" t="str">
        <f>VLOOKUP(Tabla15[[#This Row],[N° 
Evento]],'Eventos de riesgos'!B:Q,16,0)</f>
        <v>Auxilios de solidaridad y educación</v>
      </c>
      <c r="AE208" s="54" t="str">
        <f>VLOOKUP(Tabla15[[#This Row],[N° 
Evento]],'Eventos de riesgos'!B:R,17,0)</f>
        <v>Correo electrónico institucional</v>
      </c>
      <c r="AF208" s="56" t="str">
        <f>VLOOKUP(Tabla15[[#This Row],[N° 
Evento]],'Eventos de riesgos'!B:V,21,0)</f>
        <v>Aprobado</v>
      </c>
      <c r="AG208" s="59" t="str">
        <f>VLOOKUP(Tabla15[[#This Row],[N° 
Evento]],'Eventos de riesgos'!B:W,22,0)</f>
        <v>08/11/2024 15:44:56: Creación
10/11/2024 15:32:09: Actualización</v>
      </c>
    </row>
    <row r="209" spans="3:33" ht="59" customHeight="1" x14ac:dyDescent="0.55000000000000004">
      <c r="C209" s="54" t="str">
        <f>+Tabla15[[#This Row],[N° 
Evento]]&amp;"-"&amp;Tabla15[[#This Row],[N° Tarea]]</f>
        <v>69-5</v>
      </c>
      <c r="D209" s="54">
        <v>69</v>
      </c>
      <c r="E209" s="54">
        <v>5</v>
      </c>
      <c r="F209" s="55" t="s">
        <v>587</v>
      </c>
      <c r="G209" s="44" t="s">
        <v>1053</v>
      </c>
      <c r="H209" s="59" t="s">
        <v>589</v>
      </c>
      <c r="I209" s="59" t="s">
        <v>590</v>
      </c>
      <c r="J209" s="57">
        <v>45576</v>
      </c>
      <c r="K209" s="57">
        <v>45641</v>
      </c>
      <c r="L209" s="47" t="str">
        <f>IF(Tabla15[[#This Row],[Fecha de Finalización]]&gt;0,"Cerrada","En Proceso")</f>
        <v>Cerrada</v>
      </c>
      <c r="M209" s="58">
        <f t="shared" si="6"/>
        <v>65</v>
      </c>
      <c r="N209" s="59" t="s">
        <v>632</v>
      </c>
      <c r="O209" s="54">
        <f>VLOOKUP(Tabla15[[#This Row],[N° 
Evento]],'Eventos de riesgos'!B:C,2,0)</f>
        <v>2024</v>
      </c>
      <c r="P209" s="54" t="str">
        <f>VLOOKUP(Tabla15[[#This Row],[N° 
Evento]],'Eventos de riesgos'!B:D,3,0)</f>
        <v xml:space="preserve">Oct </v>
      </c>
      <c r="Q209" s="60">
        <f>VLOOKUP(Tabla15[[#This Row],[N° 
Evento]],'Eventos de riesgos'!B:E,4,0)</f>
        <v>45547.628472222219</v>
      </c>
      <c r="R209" s="60">
        <f>VLOOKUP(Tabla15[[#This Row],[N° 
Evento]],'Eventos de riesgos'!B:F,5,0)</f>
        <v>45576.655555555553</v>
      </c>
      <c r="S209" s="60">
        <f>VLOOKUP(Tabla15[[#This Row],[N° 
Evento]],'Eventos de riesgos'!B:G,6,0)</f>
        <v>45565.628472222219</v>
      </c>
      <c r="T209"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9" s="61">
        <f>VLOOKUP(Tabla15[[#This Row],[N° 
Evento]],'Eventos de riesgos'!B:I,8,0)</f>
        <v>0</v>
      </c>
      <c r="V209" s="61">
        <f>VLOOKUP(Tabla15[[#This Row],[N° 
Evento]],'Eventos de riesgos'!B:J,9,0)</f>
        <v>0</v>
      </c>
      <c r="W209" s="61">
        <f>VLOOKUP(Tabla15[[#This Row],[N° 
Evento]],'Eventos de riesgos'!B:K,10,0)</f>
        <v>0</v>
      </c>
      <c r="X209" s="59" t="str">
        <f>VLOOKUP(Tabla15[[#This Row],[N° 
Evento]],'Eventos de riesgos'!B:L,11,0)</f>
        <v>7 - Ejecución y Administración de Procesos</v>
      </c>
      <c r="Y209" s="59" t="str">
        <f>VLOOKUP(Tabla15[[#This Row],[N° 
Evento]],'Eventos de riesgos'!B:M,12,0)</f>
        <v>71 - Recepción, Ejecución y Mantenimiento de Operaciones</v>
      </c>
      <c r="Z209" s="59" t="str">
        <f>VLOOKUP(Tabla15[[#This Row],[N° 
Evento]],'Eventos de riesgos'!B:N,13,0)</f>
        <v>718 - Error en Otras Tareas, Falla en la Entrega</v>
      </c>
      <c r="AA209" s="59" t="str">
        <f>+VLOOKUP(Tabla15[[#This Row],[N° 
Evento]],'Eventos de riesgos'!$B$1:$AA$87,23,0)</f>
        <v>Fallas en recepción y tramitación de auxilios</v>
      </c>
      <c r="AB209" s="54" t="str">
        <f>VLOOKUP(Tabla15[[#This Row],[N° 
Evento]],'Eventos de riesgos'!B:O,14,0)</f>
        <v>Ninguna</v>
      </c>
      <c r="AC209" s="60">
        <f>VLOOKUP(Tabla15[[#This Row],[N° 
Evento]],'Eventos de riesgos'!B:P,15,0)</f>
        <v>45596.652777777781</v>
      </c>
      <c r="AD209" s="54" t="str">
        <f>VLOOKUP(Tabla15[[#This Row],[N° 
Evento]],'Eventos de riesgos'!B:Q,16,0)</f>
        <v>Auxilios de solidaridad y educación</v>
      </c>
      <c r="AE209" s="54" t="str">
        <f>VLOOKUP(Tabla15[[#This Row],[N° 
Evento]],'Eventos de riesgos'!B:R,17,0)</f>
        <v>Correo electrónico institucional</v>
      </c>
      <c r="AF209" s="56" t="str">
        <f>VLOOKUP(Tabla15[[#This Row],[N° 
Evento]],'Eventos de riesgos'!B:V,21,0)</f>
        <v>Aprobado</v>
      </c>
      <c r="AG209" s="59" t="str">
        <f>VLOOKUP(Tabla15[[#This Row],[N° 
Evento]],'Eventos de riesgos'!B:W,22,0)</f>
        <v>08/11/2024 15:44:56: Creación
10/11/2024 15:32:09: Actualización</v>
      </c>
    </row>
    <row r="210" spans="3:33" ht="59" customHeight="1" x14ac:dyDescent="0.55000000000000004">
      <c r="C210" s="54" t="str">
        <f>+Tabla15[[#This Row],[N° 
Evento]]&amp;"-"&amp;Tabla15[[#This Row],[N° Tarea]]</f>
        <v>70-1</v>
      </c>
      <c r="D210" s="54">
        <v>70</v>
      </c>
      <c r="E210" s="54">
        <v>1</v>
      </c>
      <c r="F210" s="55" t="s">
        <v>910</v>
      </c>
      <c r="G210" s="44" t="s">
        <v>1052</v>
      </c>
      <c r="H210" s="59" t="s">
        <v>509</v>
      </c>
      <c r="I210" s="56" t="s">
        <v>511</v>
      </c>
      <c r="J210" s="57">
        <v>45610</v>
      </c>
      <c r="K210" s="57">
        <v>45611</v>
      </c>
      <c r="L210" s="47" t="str">
        <f>IF(Tabla15[[#This Row],[Fecha de Finalización]]&gt;0,"Cerrada","En Proceso")</f>
        <v>Cerrada</v>
      </c>
      <c r="M210" s="58">
        <f t="shared" si="6"/>
        <v>1</v>
      </c>
      <c r="N210" s="59"/>
      <c r="O210" s="54">
        <f>VLOOKUP(Tabla15[[#This Row],[N° 
Evento]],'Eventos de riesgos'!B:C,2,0)</f>
        <v>2024</v>
      </c>
      <c r="P210" s="54" t="str">
        <f>VLOOKUP(Tabla15[[#This Row],[N° 
Evento]],'Eventos de riesgos'!B:D,3,0)</f>
        <v>Nov</v>
      </c>
      <c r="Q210" s="60">
        <f>VLOOKUP(Tabla15[[#This Row],[N° 
Evento]],'Eventos de riesgos'!B:E,4,0)</f>
        <v>45608.434027777781</v>
      </c>
      <c r="R210" s="60">
        <f>VLOOKUP(Tabla15[[#This Row],[N° 
Evento]],'Eventos de riesgos'!B:F,5,0)</f>
        <v>45625.434027777781</v>
      </c>
      <c r="S210" s="60">
        <f>VLOOKUP(Tabla15[[#This Row],[N° 
Evento]],'Eventos de riesgos'!B:G,6,0)</f>
        <v>45610.434027777781</v>
      </c>
      <c r="T210" s="63" t="str">
        <f>VLOOKUP(Tabla15[[#This Row],[N° 
Evento]],'Eventos de riesgos'!B:H,7,0)</f>
        <v xml:space="preserve">CasoEl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realizadas.Trazabilidad del caso1.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corrección.4. El 12 de noviembre del 2024 a las 15:18 el área de operaciones nuevamente reenvía el estado de cuenta con la actualización de la modificación del plazo, con el cual se refleja una disminución de la cuota ordinaria mensual y de la cuota extra semestral.5.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término.'7. Revisada la nueva documentación el 14 de noviembre del 2024, se evidencian las siguientes variaciones y diferencias respecto de lo comunicado inicialmente al asociado:
CausaEl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cooperativa.Acciones· Se revisó y ajustó la configuración inicial en el sistema, realizando el reproceso necesario para corregir las inconsistencias identificadas. (Analista de Operaciones - Johan Cruz)· Se emitió una nueva comunicación al asociado para informarle sobre el plan de pagos que finalmente quedó para su crédito. (Analista de Operaciones - Johan Cruz) · El 26 de noviembre de 2024 a las 5:00 p.m., se realizó una llamada telefónica al señor Nelson Riaño para aclarar dudas e inquietudes relacionadas con el proceso. Durante la conversación, el asociado expresó estar conforme con las modificaciones realizadas a sus créditos. (Registro realizado por la Directora de Riesgos). Aquí nuevamente se reiteró las cuotas ordinarias y extras.
</v>
      </c>
      <c r="U210" s="61">
        <f>VLOOKUP(Tabla15[[#This Row],[N° 
Evento]],'Eventos de riesgos'!B:I,8,0)</f>
        <v>0</v>
      </c>
      <c r="V210" s="61">
        <f>VLOOKUP(Tabla15[[#This Row],[N° 
Evento]],'Eventos de riesgos'!B:J,9,0)</f>
        <v>0</v>
      </c>
      <c r="W210" s="61">
        <f>VLOOKUP(Tabla15[[#This Row],[N° 
Evento]],'Eventos de riesgos'!B:K,10,0)</f>
        <v>0</v>
      </c>
      <c r="X210" s="59" t="str">
        <f>VLOOKUP(Tabla15[[#This Row],[N° 
Evento]],'Eventos de riesgos'!B:L,11,0)</f>
        <v>4 - Asociados o Clientes</v>
      </c>
      <c r="Y210" s="59" t="str">
        <f>VLOOKUP(Tabla15[[#This Row],[N° 
Evento]],'Eventos de riesgos'!B:M,12,0)</f>
        <v>41 - Adecuación, Divulgación de Información y Confianza</v>
      </c>
      <c r="Z210" s="59" t="str">
        <f>VLOOKUP(Tabla15[[#This Row],[N° 
Evento]],'Eventos de riesgos'!B:N,13,0)</f>
        <v>412 - Aspectos de Adecuación, Divulgación de la Información</v>
      </c>
      <c r="AA210" s="59" t="str">
        <f>+VLOOKUP(Tabla15[[#This Row],[N° 
Evento]],'Eventos de riesgos'!$B$1:$AA$87,23,0)</f>
        <v>Suministro de información inexacta e incoherente a los asociados</v>
      </c>
      <c r="AB210" s="54" t="str">
        <f>VLOOKUP(Tabla15[[#This Row],[N° 
Evento]],'Eventos de riesgos'!B:O,14,0)</f>
        <v>Ninguna</v>
      </c>
      <c r="AC210" s="60">
        <f>VLOOKUP(Tabla15[[#This Row],[N° 
Evento]],'Eventos de riesgos'!B:P,15,0)</f>
        <v>45626.401388888888</v>
      </c>
      <c r="AD210" s="54" t="str">
        <f>VLOOKUP(Tabla15[[#This Row],[N° 
Evento]],'Eventos de riesgos'!B:Q,16,0)</f>
        <v>Varios tipos de crédito</v>
      </c>
      <c r="AE210" s="54" t="str">
        <f>VLOOKUP(Tabla15[[#This Row],[N° 
Evento]],'Eventos de riesgos'!B:R,17,0)</f>
        <v>Ninguno</v>
      </c>
      <c r="AF210" s="56" t="str">
        <f>VLOOKUP(Tabla15[[#This Row],[N° 
Evento]],'Eventos de riesgos'!B:V,21,0)</f>
        <v>Aprobado</v>
      </c>
      <c r="AG210" s="59" t="str">
        <f>VLOOKUP(Tabla15[[#This Row],[N° 
Evento]],'Eventos de riesgos'!B:W,22,0)</f>
        <v xml:space="preserve">
29/11/2024 17:35:05: Registrado
08/12/2024 09:39:01: Actualizada. Cerrada</v>
      </c>
    </row>
    <row r="211" spans="3:33" ht="59" customHeight="1" x14ac:dyDescent="0.55000000000000004">
      <c r="C211" s="54" t="str">
        <f>+Tabla15[[#This Row],[N° 
Evento]]&amp;"-"&amp;Tabla15[[#This Row],[N° Tarea]]</f>
        <v>70-2</v>
      </c>
      <c r="D211" s="54">
        <v>70</v>
      </c>
      <c r="E211" s="54">
        <v>2</v>
      </c>
      <c r="F211" s="55" t="s">
        <v>911</v>
      </c>
      <c r="G211" s="44" t="s">
        <v>1053</v>
      </c>
      <c r="H211" s="59" t="s">
        <v>912</v>
      </c>
      <c r="I211" s="59" t="s">
        <v>514</v>
      </c>
      <c r="J211" s="57">
        <v>45610</v>
      </c>
      <c r="K211" s="57">
        <v>45611</v>
      </c>
      <c r="L211" s="47" t="str">
        <f>IF(Tabla15[[#This Row],[Fecha de Finalización]]&gt;0,"Cerrada","En Proceso")</f>
        <v>Cerrada</v>
      </c>
      <c r="M211" s="58">
        <f t="shared" si="6"/>
        <v>1</v>
      </c>
      <c r="N211" s="59" t="s">
        <v>609</v>
      </c>
      <c r="O211" s="54">
        <f>VLOOKUP(Tabla15[[#This Row],[N° 
Evento]],'Eventos de riesgos'!B:C,2,0)</f>
        <v>2024</v>
      </c>
      <c r="P211" s="54" t="str">
        <f>VLOOKUP(Tabla15[[#This Row],[N° 
Evento]],'Eventos de riesgos'!B:D,3,0)</f>
        <v>Nov</v>
      </c>
      <c r="Q211" s="60">
        <f>VLOOKUP(Tabla15[[#This Row],[N° 
Evento]],'Eventos de riesgos'!B:E,4,0)</f>
        <v>45608.434027777781</v>
      </c>
      <c r="R211" s="60">
        <f>VLOOKUP(Tabla15[[#This Row],[N° 
Evento]],'Eventos de riesgos'!B:F,5,0)</f>
        <v>45625.434027777781</v>
      </c>
      <c r="S211" s="60">
        <f>VLOOKUP(Tabla15[[#This Row],[N° 
Evento]],'Eventos de riesgos'!B:G,6,0)</f>
        <v>45610.434027777781</v>
      </c>
      <c r="T211" s="63" t="str">
        <f>VLOOKUP(Tabla15[[#This Row],[N° 
Evento]],'Eventos de riesgos'!B:H,7,0)</f>
        <v xml:space="preserve">CasoEl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realizadas.Trazabilidad del caso1.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corrección.4. El 12 de noviembre del 2024 a las 15:18 el área de operaciones nuevamente reenvía el estado de cuenta con la actualización de la modificación del plazo, con el cual se refleja una disminución de la cuota ordinaria mensual y de la cuota extra semestral.5.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término.'7. Revisada la nueva documentación el 14 de noviembre del 2024, se evidencian las siguientes variaciones y diferencias respecto de lo comunicado inicialmente al asociado:
CausaEl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cooperativa.Acciones· Se revisó y ajustó la configuración inicial en el sistema, realizando el reproceso necesario para corregir las inconsistencias identificadas. (Analista de Operaciones - Johan Cruz)· Se emitió una nueva comunicación al asociado para informarle sobre el plan de pagos que finalmente quedó para su crédito. (Analista de Operaciones - Johan Cruz) · El 26 de noviembre de 2024 a las 5:00 p.m., se realizó una llamada telefónica al señor Nelson Riaño para aclarar dudas e inquietudes relacionadas con el proceso. Durante la conversación, el asociado expresó estar conforme con las modificaciones realizadas a sus créditos. (Registro realizado por la Directora de Riesgos). Aquí nuevamente se reiteró las cuotas ordinarias y extras.
</v>
      </c>
      <c r="U211" s="61">
        <f>VLOOKUP(Tabla15[[#This Row],[N° 
Evento]],'Eventos de riesgos'!B:I,8,0)</f>
        <v>0</v>
      </c>
      <c r="V211" s="61">
        <f>VLOOKUP(Tabla15[[#This Row],[N° 
Evento]],'Eventos de riesgos'!B:J,9,0)</f>
        <v>0</v>
      </c>
      <c r="W211" s="61">
        <f>VLOOKUP(Tabla15[[#This Row],[N° 
Evento]],'Eventos de riesgos'!B:K,10,0)</f>
        <v>0</v>
      </c>
      <c r="X211" s="59" t="str">
        <f>VLOOKUP(Tabla15[[#This Row],[N° 
Evento]],'Eventos de riesgos'!B:L,11,0)</f>
        <v>4 - Asociados o Clientes</v>
      </c>
      <c r="Y211" s="59" t="str">
        <f>VLOOKUP(Tabla15[[#This Row],[N° 
Evento]],'Eventos de riesgos'!B:M,12,0)</f>
        <v>41 - Adecuación, Divulgación de Información y Confianza</v>
      </c>
      <c r="Z211" s="59" t="str">
        <f>VLOOKUP(Tabla15[[#This Row],[N° 
Evento]],'Eventos de riesgos'!B:N,13,0)</f>
        <v>412 - Aspectos de Adecuación, Divulgación de la Información</v>
      </c>
      <c r="AA211" s="59" t="str">
        <f>+VLOOKUP(Tabla15[[#This Row],[N° 
Evento]],'Eventos de riesgos'!$B$1:$AA$87,23,0)</f>
        <v>Suministro de información inexacta e incoherente a los asociados</v>
      </c>
      <c r="AB211" s="54" t="str">
        <f>VLOOKUP(Tabla15[[#This Row],[N° 
Evento]],'Eventos de riesgos'!B:O,14,0)</f>
        <v>Ninguna</v>
      </c>
      <c r="AC211" s="60">
        <f>VLOOKUP(Tabla15[[#This Row],[N° 
Evento]],'Eventos de riesgos'!B:P,15,0)</f>
        <v>45626.401388888888</v>
      </c>
      <c r="AD211" s="54" t="str">
        <f>VLOOKUP(Tabla15[[#This Row],[N° 
Evento]],'Eventos de riesgos'!B:Q,16,0)</f>
        <v>Varios tipos de crédito</v>
      </c>
      <c r="AE211" s="54" t="str">
        <f>VLOOKUP(Tabla15[[#This Row],[N° 
Evento]],'Eventos de riesgos'!B:R,17,0)</f>
        <v>Ninguno</v>
      </c>
      <c r="AF211" s="56" t="str">
        <f>VLOOKUP(Tabla15[[#This Row],[N° 
Evento]],'Eventos de riesgos'!B:V,21,0)</f>
        <v>Aprobado</v>
      </c>
      <c r="AG211" s="59" t="str">
        <f>VLOOKUP(Tabla15[[#This Row],[N° 
Evento]],'Eventos de riesgos'!B:W,22,0)</f>
        <v xml:space="preserve">
29/11/2024 17:35:05: Registrado
08/12/2024 09:39:01: Actualizada. Cerrada</v>
      </c>
    </row>
    <row r="212" spans="3:33" ht="59" customHeight="1" x14ac:dyDescent="0.55000000000000004">
      <c r="C212" s="54" t="str">
        <f>+Tabla15[[#This Row],[N° 
Evento]]&amp;"-"&amp;Tabla15[[#This Row],[N° Tarea]]</f>
        <v>70-3</v>
      </c>
      <c r="D212" s="54">
        <v>70</v>
      </c>
      <c r="E212" s="54">
        <v>3</v>
      </c>
      <c r="F212" s="55" t="s">
        <v>913</v>
      </c>
      <c r="G212" s="44" t="s">
        <v>1053</v>
      </c>
      <c r="H212" s="59" t="s">
        <v>765</v>
      </c>
      <c r="I212" s="56" t="s">
        <v>259</v>
      </c>
      <c r="J212" s="57">
        <v>45611</v>
      </c>
      <c r="K212" s="57">
        <v>45622</v>
      </c>
      <c r="L212" s="47" t="str">
        <f>IF(Tabla15[[#This Row],[Fecha de Finalización]]&gt;0,"Cerrada","En Proceso")</f>
        <v>Cerrada</v>
      </c>
      <c r="M212" s="58">
        <f t="shared" si="6"/>
        <v>11</v>
      </c>
      <c r="N212" s="59" t="s">
        <v>608</v>
      </c>
      <c r="O212" s="54">
        <f>VLOOKUP(Tabla15[[#This Row],[N° 
Evento]],'Eventos de riesgos'!B:C,2,0)</f>
        <v>2024</v>
      </c>
      <c r="P212" s="54" t="str">
        <f>VLOOKUP(Tabla15[[#This Row],[N° 
Evento]],'Eventos de riesgos'!B:D,3,0)</f>
        <v>Nov</v>
      </c>
      <c r="Q212" s="60">
        <f>VLOOKUP(Tabla15[[#This Row],[N° 
Evento]],'Eventos de riesgos'!B:E,4,0)</f>
        <v>45608.434027777781</v>
      </c>
      <c r="R212" s="60">
        <f>VLOOKUP(Tabla15[[#This Row],[N° 
Evento]],'Eventos de riesgos'!B:F,5,0)</f>
        <v>45625.434027777781</v>
      </c>
      <c r="S212" s="60">
        <f>VLOOKUP(Tabla15[[#This Row],[N° 
Evento]],'Eventos de riesgos'!B:G,6,0)</f>
        <v>45610.434027777781</v>
      </c>
      <c r="T212" s="63" t="str">
        <f>VLOOKUP(Tabla15[[#This Row],[N° 
Evento]],'Eventos de riesgos'!B:H,7,0)</f>
        <v xml:space="preserve">CasoEl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realizadas.Trazabilidad del caso1.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corrección.4. El 12 de noviembre del 2024 a las 15:18 el área de operaciones nuevamente reenvía el estado de cuenta con la actualización de la modificación del plazo, con el cual se refleja una disminución de la cuota ordinaria mensual y de la cuota extra semestral.5.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término.'7. Revisada la nueva documentación el 14 de noviembre del 2024, se evidencian las siguientes variaciones y diferencias respecto de lo comunicado inicialmente al asociado:
CausaEl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cooperativa.Acciones· Se revisó y ajustó la configuración inicial en el sistema, realizando el reproceso necesario para corregir las inconsistencias identificadas. (Analista de Operaciones - Johan Cruz)· Se emitió una nueva comunicación al asociado para informarle sobre el plan de pagos que finalmente quedó para su crédito. (Analista de Operaciones - Johan Cruz) · El 26 de noviembre de 2024 a las 5:00 p.m., se realizó una llamada telefónica al señor Nelson Riaño para aclarar dudas e inquietudes relacionadas con el proceso. Durante la conversación, el asociado expresó estar conforme con las modificaciones realizadas a sus créditos. (Registro realizado por la Directora de Riesgos). Aquí nuevamente se reiteró las cuotas ordinarias y extras.
</v>
      </c>
      <c r="U212" s="61">
        <f>VLOOKUP(Tabla15[[#This Row],[N° 
Evento]],'Eventos de riesgos'!B:I,8,0)</f>
        <v>0</v>
      </c>
      <c r="V212" s="61">
        <f>VLOOKUP(Tabla15[[#This Row],[N° 
Evento]],'Eventos de riesgos'!B:J,9,0)</f>
        <v>0</v>
      </c>
      <c r="W212" s="61">
        <f>VLOOKUP(Tabla15[[#This Row],[N° 
Evento]],'Eventos de riesgos'!B:K,10,0)</f>
        <v>0</v>
      </c>
      <c r="X212" s="59" t="str">
        <f>VLOOKUP(Tabla15[[#This Row],[N° 
Evento]],'Eventos de riesgos'!B:L,11,0)</f>
        <v>4 - Asociados o Clientes</v>
      </c>
      <c r="Y212" s="59" t="str">
        <f>VLOOKUP(Tabla15[[#This Row],[N° 
Evento]],'Eventos de riesgos'!B:M,12,0)</f>
        <v>41 - Adecuación, Divulgación de Información y Confianza</v>
      </c>
      <c r="Z212" s="59" t="str">
        <f>VLOOKUP(Tabla15[[#This Row],[N° 
Evento]],'Eventos de riesgos'!B:N,13,0)</f>
        <v>412 - Aspectos de Adecuación, Divulgación de la Información</v>
      </c>
      <c r="AA212" s="59" t="str">
        <f>+VLOOKUP(Tabla15[[#This Row],[N° 
Evento]],'Eventos de riesgos'!$B$1:$AA$87,23,0)</f>
        <v>Suministro de información inexacta e incoherente a los asociados</v>
      </c>
      <c r="AB212" s="54" t="str">
        <f>VLOOKUP(Tabla15[[#This Row],[N° 
Evento]],'Eventos de riesgos'!B:O,14,0)</f>
        <v>Ninguna</v>
      </c>
      <c r="AC212" s="60">
        <f>VLOOKUP(Tabla15[[#This Row],[N° 
Evento]],'Eventos de riesgos'!B:P,15,0)</f>
        <v>45626.401388888888</v>
      </c>
      <c r="AD212" s="54" t="str">
        <f>VLOOKUP(Tabla15[[#This Row],[N° 
Evento]],'Eventos de riesgos'!B:Q,16,0)</f>
        <v>Varios tipos de crédito</v>
      </c>
      <c r="AE212" s="54" t="str">
        <f>VLOOKUP(Tabla15[[#This Row],[N° 
Evento]],'Eventos de riesgos'!B:R,17,0)</f>
        <v>Ninguno</v>
      </c>
      <c r="AF212" s="56" t="str">
        <f>VLOOKUP(Tabla15[[#This Row],[N° 
Evento]],'Eventos de riesgos'!B:V,21,0)</f>
        <v>Aprobado</v>
      </c>
      <c r="AG212" s="59" t="str">
        <f>VLOOKUP(Tabla15[[#This Row],[N° 
Evento]],'Eventos de riesgos'!B:W,22,0)</f>
        <v xml:space="preserve">
29/11/2024 17:35:05: Registrado
08/12/2024 09:39:01: Actualizada. Cerrada</v>
      </c>
    </row>
    <row r="213" spans="3:33" ht="59" customHeight="1" x14ac:dyDescent="0.55000000000000004">
      <c r="C213" s="54" t="str">
        <f>+Tabla15[[#This Row],[N° 
Evento]]&amp;"-"&amp;Tabla15[[#This Row],[N° Tarea]]</f>
        <v>71-1</v>
      </c>
      <c r="D213" s="54">
        <v>71</v>
      </c>
      <c r="E213" s="54">
        <v>1</v>
      </c>
      <c r="F213" s="55" t="s">
        <v>651</v>
      </c>
      <c r="G213" s="44" t="s">
        <v>1052</v>
      </c>
      <c r="H213" s="59" t="s">
        <v>655</v>
      </c>
      <c r="I213" s="59" t="s">
        <v>914</v>
      </c>
      <c r="J213" s="57">
        <v>45670</v>
      </c>
      <c r="K213" s="57">
        <v>45671</v>
      </c>
      <c r="L213" s="47" t="str">
        <f>IF(Tabla15[[#This Row],[Fecha de Finalización]]&gt;0,"Cerrada","En Proceso")</f>
        <v>Cerrada</v>
      </c>
      <c r="M213" s="58">
        <f t="shared" si="6"/>
        <v>1</v>
      </c>
      <c r="N213" s="59"/>
      <c r="O213" s="54">
        <f>VLOOKUP(Tabla15[[#This Row],[N° 
Evento]],'Eventos de riesgos'!B:C,2,0)</f>
        <v>2025</v>
      </c>
      <c r="P213" s="54" t="str">
        <f>VLOOKUP(Tabla15[[#This Row],[N° 
Evento]],'Eventos de riesgos'!B:D,3,0)</f>
        <v xml:space="preserve">Ene </v>
      </c>
      <c r="Q213" s="60">
        <f>VLOOKUP(Tabla15[[#This Row],[N° 
Evento]],'Eventos de riesgos'!B:E,4,0)</f>
        <v>45660.609722222223</v>
      </c>
      <c r="R213" s="60">
        <f>VLOOKUP(Tabla15[[#This Row],[N° 
Evento]],'Eventos de riesgos'!B:F,5,0)</f>
        <v>45670.609722222223</v>
      </c>
      <c r="S213" s="60">
        <f>VLOOKUP(Tabla15[[#This Row],[N° 
Evento]],'Eventos de riesgos'!B:G,6,0)</f>
        <v>45666.609722222223</v>
      </c>
      <c r="T213" s="63" t="str">
        <f>VLOOKUP(Tabla15[[#This Row],[N° 
Evento]],'Eventos de riesgos'!B:H,7,0)</f>
        <v>Caso: Nomina electrónica no reportada a la DIANEl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DIAN.Causas:· Saturación de actividades adicionales durante el mes de diciembre · Desconcentración del funcionarioImpactoRiesgo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sanciones.Acciones Correctivas:Citación a descargos de la funcionaria implicada, con el fin de esclarecer los hechos y aplicar las medidas disciplinarias correspondientes según el Reglamento Interno.(Gerencia y Jefe Jurídica)Reubicación física del puesto de trabajo para mejorar las condiciones de concentración y eficiencia.(Gerencia). Preventivas:Implementación de alertas internas y automatización de recordatorios para los plazos de reporte ante la DIAN. (Jefe Talento Humano)Asignación de la validación del envío correcto del reporte a la DIAN al área contable, por contar con credenciales y acceso a la plataforma tributaria. (Dirección Administrativa y Contabilidad)</v>
      </c>
      <c r="U213" s="61">
        <f>VLOOKUP(Tabla15[[#This Row],[N° 
Evento]],'Eventos de riesgos'!B:I,8,0)</f>
        <v>0</v>
      </c>
      <c r="V213" s="61">
        <f>VLOOKUP(Tabla15[[#This Row],[N° 
Evento]],'Eventos de riesgos'!B:J,9,0)</f>
        <v>0</v>
      </c>
      <c r="W213" s="61">
        <f>VLOOKUP(Tabla15[[#This Row],[N° 
Evento]],'Eventos de riesgos'!B:K,10,0)</f>
        <v>0</v>
      </c>
      <c r="X213" s="59" t="str">
        <f>VLOOKUP(Tabla15[[#This Row],[N° 
Evento]],'Eventos de riesgos'!B:L,11,0)</f>
        <v>7 - Ejecución y Administración de Procesos</v>
      </c>
      <c r="Y213" s="59" t="str">
        <f>VLOOKUP(Tabla15[[#This Row],[N° 
Evento]],'Eventos de riesgos'!B:M,12,0)</f>
        <v>72 - Seguimiento y Presentación de Informes</v>
      </c>
      <c r="Z213" s="59" t="str">
        <f>VLOOKUP(Tabla15[[#This Row],[N° 
Evento]],'Eventos de riesgos'!B:N,13,0)</f>
        <v>721 - Incumplimiento de la Obligación de Informar</v>
      </c>
      <c r="AA213" s="59" t="str">
        <f>+VLOOKUP(Tabla15[[#This Row],[N° 
Evento]],'Eventos de riesgos'!$B$1:$AA$87,23,0)</f>
        <v>Nómina electrónica no reportada</v>
      </c>
      <c r="AB213" s="54" t="str">
        <f>VLOOKUP(Tabla15[[#This Row],[N° 
Evento]],'Eventos de riesgos'!B:O,14,0)</f>
        <v>Ninguna</v>
      </c>
      <c r="AC213" s="60">
        <f>VLOOKUP(Tabla15[[#This Row],[N° 
Evento]],'Eventos de riesgos'!B:P,15,0)</f>
        <v>45688.618055555555</v>
      </c>
      <c r="AD213" s="54" t="str">
        <f>VLOOKUP(Tabla15[[#This Row],[N° 
Evento]],'Eventos de riesgos'!B:Q,16,0)</f>
        <v>Ninguno</v>
      </c>
      <c r="AE213" s="54" t="str">
        <f>VLOOKUP(Tabla15[[#This Row],[N° 
Evento]],'Eventos de riesgos'!B:R,17,0)</f>
        <v>Ninguno</v>
      </c>
      <c r="AF213" s="56" t="str">
        <f>VLOOKUP(Tabla15[[#This Row],[N° 
Evento]],'Eventos de riesgos'!B:V,21,0)</f>
        <v>Aprobado</v>
      </c>
      <c r="AG213"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4" spans="3:33" ht="59" customHeight="1" x14ac:dyDescent="0.55000000000000004">
      <c r="C214" s="54" t="str">
        <f>+Tabla15[[#This Row],[N° 
Evento]]&amp;"-"&amp;Tabla15[[#This Row],[N° Tarea]]</f>
        <v>71-2</v>
      </c>
      <c r="D214" s="54">
        <v>71</v>
      </c>
      <c r="E214" s="54">
        <v>2</v>
      </c>
      <c r="F214" s="55" t="s">
        <v>652</v>
      </c>
      <c r="G214" s="44" t="s">
        <v>1052</v>
      </c>
      <c r="H214" s="59" t="s">
        <v>367</v>
      </c>
      <c r="I214" s="59" t="s">
        <v>915</v>
      </c>
      <c r="J214" s="57">
        <v>45670</v>
      </c>
      <c r="K214" s="57">
        <v>45672</v>
      </c>
      <c r="L214" s="47" t="str">
        <f>IF(Tabla15[[#This Row],[Fecha de Finalización]]&gt;0,"Cerrada","En Proceso")</f>
        <v>Cerrada</v>
      </c>
      <c r="M214" s="58">
        <f t="shared" si="6"/>
        <v>2</v>
      </c>
      <c r="N214" s="59"/>
      <c r="O214" s="54">
        <f>VLOOKUP(Tabla15[[#This Row],[N° 
Evento]],'Eventos de riesgos'!B:C,2,0)</f>
        <v>2025</v>
      </c>
      <c r="P214" s="54" t="str">
        <f>VLOOKUP(Tabla15[[#This Row],[N° 
Evento]],'Eventos de riesgos'!B:D,3,0)</f>
        <v xml:space="preserve">Ene </v>
      </c>
      <c r="Q214" s="60">
        <f>VLOOKUP(Tabla15[[#This Row],[N° 
Evento]],'Eventos de riesgos'!B:E,4,0)</f>
        <v>45660.609722222223</v>
      </c>
      <c r="R214" s="60">
        <f>VLOOKUP(Tabla15[[#This Row],[N° 
Evento]],'Eventos de riesgos'!B:F,5,0)</f>
        <v>45670.609722222223</v>
      </c>
      <c r="S214" s="60">
        <f>VLOOKUP(Tabla15[[#This Row],[N° 
Evento]],'Eventos de riesgos'!B:G,6,0)</f>
        <v>45666.609722222223</v>
      </c>
      <c r="T214" s="63" t="str">
        <f>VLOOKUP(Tabla15[[#This Row],[N° 
Evento]],'Eventos de riesgos'!B:H,7,0)</f>
        <v>Caso: Nomina electrónica no reportada a la DIANEl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DIAN.Causas:· Saturación de actividades adicionales durante el mes de diciembre · Desconcentración del funcionarioImpactoRiesgo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sanciones.Acciones Correctivas:Citación a descargos de la funcionaria implicada, con el fin de esclarecer los hechos y aplicar las medidas disciplinarias correspondientes según el Reglamento Interno.(Gerencia y Jefe Jurídica)Reubicación física del puesto de trabajo para mejorar las condiciones de concentración y eficiencia.(Gerencia). Preventivas:Implementación de alertas internas y automatización de recordatorios para los plazos de reporte ante la DIAN. (Jefe Talento Humano)Asignación de la validación del envío correcto del reporte a la DIAN al área contable, por contar con credenciales y acceso a la plataforma tributaria. (Dirección Administrativa y Contabilidad)</v>
      </c>
      <c r="U214" s="61">
        <f>VLOOKUP(Tabla15[[#This Row],[N° 
Evento]],'Eventos de riesgos'!B:I,8,0)</f>
        <v>0</v>
      </c>
      <c r="V214" s="61">
        <f>VLOOKUP(Tabla15[[#This Row],[N° 
Evento]],'Eventos de riesgos'!B:J,9,0)</f>
        <v>0</v>
      </c>
      <c r="W214" s="61">
        <f>VLOOKUP(Tabla15[[#This Row],[N° 
Evento]],'Eventos de riesgos'!B:K,10,0)</f>
        <v>0</v>
      </c>
      <c r="X214" s="59" t="str">
        <f>VLOOKUP(Tabla15[[#This Row],[N° 
Evento]],'Eventos de riesgos'!B:L,11,0)</f>
        <v>7 - Ejecución y Administración de Procesos</v>
      </c>
      <c r="Y214" s="59" t="str">
        <f>VLOOKUP(Tabla15[[#This Row],[N° 
Evento]],'Eventos de riesgos'!B:M,12,0)</f>
        <v>72 - Seguimiento y Presentación de Informes</v>
      </c>
      <c r="Z214" s="59" t="str">
        <f>VLOOKUP(Tabla15[[#This Row],[N° 
Evento]],'Eventos de riesgos'!B:N,13,0)</f>
        <v>721 - Incumplimiento de la Obligación de Informar</v>
      </c>
      <c r="AA214" s="59" t="str">
        <f>+VLOOKUP(Tabla15[[#This Row],[N° 
Evento]],'Eventos de riesgos'!$B$1:$AA$87,23,0)</f>
        <v>Nómina electrónica no reportada</v>
      </c>
      <c r="AB214" s="54" t="str">
        <f>VLOOKUP(Tabla15[[#This Row],[N° 
Evento]],'Eventos de riesgos'!B:O,14,0)</f>
        <v>Ninguna</v>
      </c>
      <c r="AC214" s="60">
        <f>VLOOKUP(Tabla15[[#This Row],[N° 
Evento]],'Eventos de riesgos'!B:P,15,0)</f>
        <v>45688.618055555555</v>
      </c>
      <c r="AD214" s="54" t="str">
        <f>VLOOKUP(Tabla15[[#This Row],[N° 
Evento]],'Eventos de riesgos'!B:Q,16,0)</f>
        <v>Ninguno</v>
      </c>
      <c r="AE214" s="54" t="str">
        <f>VLOOKUP(Tabla15[[#This Row],[N° 
Evento]],'Eventos de riesgos'!B:R,17,0)</f>
        <v>Ninguno</v>
      </c>
      <c r="AF214" s="56" t="str">
        <f>VLOOKUP(Tabla15[[#This Row],[N° 
Evento]],'Eventos de riesgos'!B:V,21,0)</f>
        <v>Aprobado</v>
      </c>
      <c r="AG214"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5" spans="3:33" ht="59" customHeight="1" x14ac:dyDescent="0.55000000000000004">
      <c r="C215" s="54" t="str">
        <f>+Tabla15[[#This Row],[N° 
Evento]]&amp;"-"&amp;Tabla15[[#This Row],[N° Tarea]]</f>
        <v>71-3</v>
      </c>
      <c r="D215" s="54">
        <v>71</v>
      </c>
      <c r="E215" s="54">
        <v>3</v>
      </c>
      <c r="F215" s="55" t="s">
        <v>653</v>
      </c>
      <c r="G215" s="44" t="s">
        <v>1053</v>
      </c>
      <c r="H215" s="59" t="s">
        <v>656</v>
      </c>
      <c r="I215" s="56" t="s">
        <v>916</v>
      </c>
      <c r="J215" s="57">
        <v>45670</v>
      </c>
      <c r="K215" s="57">
        <v>45672</v>
      </c>
      <c r="L215" s="47" t="str">
        <f>IF(Tabla15[[#This Row],[Fecha de Finalización]]&gt;0,"Cerrada","En Proceso")</f>
        <v>Cerrada</v>
      </c>
      <c r="M215" s="58">
        <f t="shared" si="6"/>
        <v>2</v>
      </c>
      <c r="N215" s="59" t="s">
        <v>917</v>
      </c>
      <c r="O215" s="54">
        <f>VLOOKUP(Tabla15[[#This Row],[N° 
Evento]],'Eventos de riesgos'!B:C,2,0)</f>
        <v>2025</v>
      </c>
      <c r="P215" s="54" t="str">
        <f>VLOOKUP(Tabla15[[#This Row],[N° 
Evento]],'Eventos de riesgos'!B:D,3,0)</f>
        <v xml:space="preserve">Ene </v>
      </c>
      <c r="Q215" s="60">
        <f>VLOOKUP(Tabla15[[#This Row],[N° 
Evento]],'Eventos de riesgos'!B:E,4,0)</f>
        <v>45660.609722222223</v>
      </c>
      <c r="R215" s="60">
        <f>VLOOKUP(Tabla15[[#This Row],[N° 
Evento]],'Eventos de riesgos'!B:F,5,0)</f>
        <v>45670.609722222223</v>
      </c>
      <c r="S215" s="60">
        <f>VLOOKUP(Tabla15[[#This Row],[N° 
Evento]],'Eventos de riesgos'!B:G,6,0)</f>
        <v>45666.609722222223</v>
      </c>
      <c r="T215" s="63" t="str">
        <f>VLOOKUP(Tabla15[[#This Row],[N° 
Evento]],'Eventos de riesgos'!B:H,7,0)</f>
        <v>Caso: Nomina electrónica no reportada a la DIANEl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DIAN.Causas:· Saturación de actividades adicionales durante el mes de diciembre · Desconcentración del funcionarioImpactoRiesgo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sanciones.Acciones Correctivas:Citación a descargos de la funcionaria implicada, con el fin de esclarecer los hechos y aplicar las medidas disciplinarias correspondientes según el Reglamento Interno.(Gerencia y Jefe Jurídica)Reubicación física del puesto de trabajo para mejorar las condiciones de concentración y eficiencia.(Gerencia). Preventivas:Implementación de alertas internas y automatización de recordatorios para los plazos de reporte ante la DIAN. (Jefe Talento Humano)Asignación de la validación del envío correcto del reporte a la DIAN al área contable, por contar con credenciales y acceso a la plataforma tributaria. (Dirección Administrativa y Contabilidad)</v>
      </c>
      <c r="U215" s="61">
        <f>VLOOKUP(Tabla15[[#This Row],[N° 
Evento]],'Eventos de riesgos'!B:I,8,0)</f>
        <v>0</v>
      </c>
      <c r="V215" s="61">
        <f>VLOOKUP(Tabla15[[#This Row],[N° 
Evento]],'Eventos de riesgos'!B:J,9,0)</f>
        <v>0</v>
      </c>
      <c r="W215" s="61">
        <f>VLOOKUP(Tabla15[[#This Row],[N° 
Evento]],'Eventos de riesgos'!B:K,10,0)</f>
        <v>0</v>
      </c>
      <c r="X215" s="59" t="str">
        <f>VLOOKUP(Tabla15[[#This Row],[N° 
Evento]],'Eventos de riesgos'!B:L,11,0)</f>
        <v>7 - Ejecución y Administración de Procesos</v>
      </c>
      <c r="Y215" s="59" t="str">
        <f>VLOOKUP(Tabla15[[#This Row],[N° 
Evento]],'Eventos de riesgos'!B:M,12,0)</f>
        <v>72 - Seguimiento y Presentación de Informes</v>
      </c>
      <c r="Z215" s="59" t="str">
        <f>VLOOKUP(Tabla15[[#This Row],[N° 
Evento]],'Eventos de riesgos'!B:N,13,0)</f>
        <v>721 - Incumplimiento de la Obligación de Informar</v>
      </c>
      <c r="AA215" s="59" t="str">
        <f>+VLOOKUP(Tabla15[[#This Row],[N° 
Evento]],'Eventos de riesgos'!$B$1:$AA$87,23,0)</f>
        <v>Nómina electrónica no reportada</v>
      </c>
      <c r="AB215" s="54" t="str">
        <f>VLOOKUP(Tabla15[[#This Row],[N° 
Evento]],'Eventos de riesgos'!B:O,14,0)</f>
        <v>Ninguna</v>
      </c>
      <c r="AC215" s="60">
        <f>VLOOKUP(Tabla15[[#This Row],[N° 
Evento]],'Eventos de riesgos'!B:P,15,0)</f>
        <v>45688.618055555555</v>
      </c>
      <c r="AD215" s="54" t="str">
        <f>VLOOKUP(Tabla15[[#This Row],[N° 
Evento]],'Eventos de riesgos'!B:Q,16,0)</f>
        <v>Ninguno</v>
      </c>
      <c r="AE215" s="54" t="str">
        <f>VLOOKUP(Tabla15[[#This Row],[N° 
Evento]],'Eventos de riesgos'!B:R,17,0)</f>
        <v>Ninguno</v>
      </c>
      <c r="AF215" s="56" t="str">
        <f>VLOOKUP(Tabla15[[#This Row],[N° 
Evento]],'Eventos de riesgos'!B:V,21,0)</f>
        <v>Aprobado</v>
      </c>
      <c r="AG215"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6" spans="3:33" ht="59" customHeight="1" x14ac:dyDescent="0.55000000000000004">
      <c r="C216" s="54" t="str">
        <f>+Tabla15[[#This Row],[N° 
Evento]]&amp;"-"&amp;Tabla15[[#This Row],[N° Tarea]]</f>
        <v>71-4</v>
      </c>
      <c r="D216" s="54">
        <v>71</v>
      </c>
      <c r="E216" s="54">
        <v>4</v>
      </c>
      <c r="F216" s="55" t="s">
        <v>654</v>
      </c>
      <c r="G216" s="44" t="s">
        <v>1053</v>
      </c>
      <c r="H216" s="59" t="s">
        <v>935</v>
      </c>
      <c r="I216" s="56" t="s">
        <v>657</v>
      </c>
      <c r="J216" s="57">
        <v>45670</v>
      </c>
      <c r="K216" s="57">
        <v>45688</v>
      </c>
      <c r="L216" s="47" t="str">
        <f>IF(Tabla15[[#This Row],[Fecha de Finalización]]&gt;0,"Cerrada","En Proceso")</f>
        <v>Cerrada</v>
      </c>
      <c r="M216" s="58">
        <f>+K216-J216</f>
        <v>18</v>
      </c>
      <c r="N216" s="59" t="s">
        <v>918</v>
      </c>
      <c r="O216" s="54">
        <f>VLOOKUP(Tabla15[[#This Row],[N° 
Evento]],'Eventos de riesgos'!B:C,2,0)</f>
        <v>2025</v>
      </c>
      <c r="P216" s="54" t="str">
        <f>VLOOKUP(Tabla15[[#This Row],[N° 
Evento]],'Eventos de riesgos'!B:D,3,0)</f>
        <v xml:space="preserve">Ene </v>
      </c>
      <c r="Q216" s="60">
        <f>VLOOKUP(Tabla15[[#This Row],[N° 
Evento]],'Eventos de riesgos'!B:E,4,0)</f>
        <v>45660.609722222223</v>
      </c>
      <c r="R216" s="60">
        <f>VLOOKUP(Tabla15[[#This Row],[N° 
Evento]],'Eventos de riesgos'!B:F,5,0)</f>
        <v>45670.609722222223</v>
      </c>
      <c r="S216" s="60">
        <f>VLOOKUP(Tabla15[[#This Row],[N° 
Evento]],'Eventos de riesgos'!B:G,6,0)</f>
        <v>45666.609722222223</v>
      </c>
      <c r="T216" s="63" t="str">
        <f>VLOOKUP(Tabla15[[#This Row],[N° 
Evento]],'Eventos de riesgos'!B:H,7,0)</f>
        <v>Caso: Nomina electrónica no reportada a la DIANEl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DIAN.Causas:· Saturación de actividades adicionales durante el mes de diciembre · Desconcentración del funcionarioImpactoRiesgo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sanciones.Acciones Correctivas:Citación a descargos de la funcionaria implicada, con el fin de esclarecer los hechos y aplicar las medidas disciplinarias correspondientes según el Reglamento Interno.(Gerencia y Jefe Jurídica)Reubicación física del puesto de trabajo para mejorar las condiciones de concentración y eficiencia.(Gerencia). Preventivas:Implementación de alertas internas y automatización de recordatorios para los plazos de reporte ante la DIAN. (Jefe Talento Humano)Asignación de la validación del envío correcto del reporte a la DIAN al área contable, por contar con credenciales y acceso a la plataforma tributaria. (Dirección Administrativa y Contabilidad)</v>
      </c>
      <c r="U216" s="61">
        <f>VLOOKUP(Tabla15[[#This Row],[N° 
Evento]],'Eventos de riesgos'!B:I,8,0)</f>
        <v>0</v>
      </c>
      <c r="V216" s="61">
        <f>VLOOKUP(Tabla15[[#This Row],[N° 
Evento]],'Eventos de riesgos'!B:J,9,0)</f>
        <v>0</v>
      </c>
      <c r="W216" s="61">
        <f>VLOOKUP(Tabla15[[#This Row],[N° 
Evento]],'Eventos de riesgos'!B:K,10,0)</f>
        <v>0</v>
      </c>
      <c r="X216" s="59" t="str">
        <f>VLOOKUP(Tabla15[[#This Row],[N° 
Evento]],'Eventos de riesgos'!B:L,11,0)</f>
        <v>7 - Ejecución y Administración de Procesos</v>
      </c>
      <c r="Y216" s="59" t="str">
        <f>VLOOKUP(Tabla15[[#This Row],[N° 
Evento]],'Eventos de riesgos'!B:M,12,0)</f>
        <v>72 - Seguimiento y Presentación de Informes</v>
      </c>
      <c r="Z216" s="59" t="str">
        <f>VLOOKUP(Tabla15[[#This Row],[N° 
Evento]],'Eventos de riesgos'!B:N,13,0)</f>
        <v>721 - Incumplimiento de la Obligación de Informar</v>
      </c>
      <c r="AA216" s="59" t="str">
        <f>+VLOOKUP(Tabla15[[#This Row],[N° 
Evento]],'Eventos de riesgos'!$B$1:$AA$87,23,0)</f>
        <v>Nómina electrónica no reportada</v>
      </c>
      <c r="AB216" s="54" t="str">
        <f>VLOOKUP(Tabla15[[#This Row],[N° 
Evento]],'Eventos de riesgos'!B:O,14,0)</f>
        <v>Ninguna</v>
      </c>
      <c r="AC216" s="60">
        <f>VLOOKUP(Tabla15[[#This Row],[N° 
Evento]],'Eventos de riesgos'!B:P,15,0)</f>
        <v>45688.618055555555</v>
      </c>
      <c r="AD216" s="54" t="str">
        <f>VLOOKUP(Tabla15[[#This Row],[N° 
Evento]],'Eventos de riesgos'!B:Q,16,0)</f>
        <v>Ninguno</v>
      </c>
      <c r="AE216" s="54" t="str">
        <f>VLOOKUP(Tabla15[[#This Row],[N° 
Evento]],'Eventos de riesgos'!B:R,17,0)</f>
        <v>Ninguno</v>
      </c>
      <c r="AF216" s="56" t="str">
        <f>VLOOKUP(Tabla15[[#This Row],[N° 
Evento]],'Eventos de riesgos'!B:V,21,0)</f>
        <v>Aprobado</v>
      </c>
      <c r="AG216"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7" spans="3:33" ht="59" customHeight="1" x14ac:dyDescent="0.55000000000000004">
      <c r="C217" s="54" t="str">
        <f>+Tabla15[[#This Row],[N° 
Evento]]&amp;"-"&amp;Tabla15[[#This Row],[N° Tarea]]</f>
        <v>72-1</v>
      </c>
      <c r="D217" s="54">
        <v>72</v>
      </c>
      <c r="E217" s="54">
        <v>1</v>
      </c>
      <c r="F217" s="55" t="s">
        <v>658</v>
      </c>
      <c r="G217" s="44" t="s">
        <v>1052</v>
      </c>
      <c r="H217" s="59" t="s">
        <v>656</v>
      </c>
      <c r="I217" s="56" t="s">
        <v>916</v>
      </c>
      <c r="J217" s="57">
        <v>45664</v>
      </c>
      <c r="K217" s="57">
        <v>45664</v>
      </c>
      <c r="L217" s="47" t="str">
        <f>IF(Tabla15[[#This Row],[Fecha de Finalización]]&gt;0,"Cerrada","En Proceso")</f>
        <v>Cerrada</v>
      </c>
      <c r="M217" s="58">
        <f t="shared" si="6"/>
        <v>0</v>
      </c>
      <c r="N217" s="59"/>
      <c r="O217" s="54">
        <f>VLOOKUP(Tabla15[[#This Row],[N° 
Evento]],'Eventos de riesgos'!B:C,2,0)</f>
        <v>2025</v>
      </c>
      <c r="P217" s="54" t="str">
        <f>VLOOKUP(Tabla15[[#This Row],[N° 
Evento]],'Eventos de riesgos'!B:D,3,0)</f>
        <v xml:space="preserve">Ene </v>
      </c>
      <c r="Q217" s="60">
        <f>VLOOKUP(Tabla15[[#This Row],[N° 
Evento]],'Eventos de riesgos'!B:E,4,0)</f>
        <v>45646.607638888891</v>
      </c>
      <c r="R217" s="60">
        <f>VLOOKUP(Tabla15[[#This Row],[N° 
Evento]],'Eventos de riesgos'!B:F,5,0)</f>
        <v>45666.606944444444</v>
      </c>
      <c r="S217" s="60">
        <f>VLOOKUP(Tabla15[[#This Row],[N° 
Evento]],'Eventos de riesgos'!B:G,6,0)</f>
        <v>45666.606944444444</v>
      </c>
      <c r="T217"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17" s="61">
        <f>VLOOKUP(Tabla15[[#This Row],[N° 
Evento]],'Eventos de riesgos'!B:I,8,0)</f>
        <v>0</v>
      </c>
      <c r="V217" s="61">
        <f>VLOOKUP(Tabla15[[#This Row],[N° 
Evento]],'Eventos de riesgos'!B:J,9,0)</f>
        <v>0</v>
      </c>
      <c r="W217" s="61">
        <f>VLOOKUP(Tabla15[[#This Row],[N° 
Evento]],'Eventos de riesgos'!B:K,10,0)</f>
        <v>0</v>
      </c>
      <c r="X217" s="59" t="str">
        <f>VLOOKUP(Tabla15[[#This Row],[N° 
Evento]],'Eventos de riesgos'!B:L,11,0)</f>
        <v>7 - Ejecución y Administración de Procesos</v>
      </c>
      <c r="Y217" s="59" t="str">
        <f>VLOOKUP(Tabla15[[#This Row],[N° 
Evento]],'Eventos de riesgos'!B:M,12,0)</f>
        <v>71 - Recepción, Ejecución y Mantenimiento de Operaciones</v>
      </c>
      <c r="Z217" s="59" t="str">
        <f>VLOOKUP(Tabla15[[#This Row],[N° 
Evento]],'Eventos de riesgos'!B:N,13,0)</f>
        <v>711 - Exceso de Manualidad</v>
      </c>
      <c r="AA217" s="59" t="str">
        <f>+VLOOKUP(Tabla15[[#This Row],[N° 
Evento]],'Eventos de riesgos'!$B$1:$AA$87,23,0)</f>
        <v>Error en descuentos de nómina a empleados Febor</v>
      </c>
      <c r="AB217" s="54" t="str">
        <f>VLOOKUP(Tabla15[[#This Row],[N° 
Evento]],'Eventos de riesgos'!B:O,14,0)</f>
        <v>Ninguna</v>
      </c>
      <c r="AC217" s="60">
        <f>VLOOKUP(Tabla15[[#This Row],[N° 
Evento]],'Eventos de riesgos'!B:P,15,0)</f>
        <v>45747.606944444444</v>
      </c>
      <c r="AD217" s="54" t="str">
        <f>VLOOKUP(Tabla15[[#This Row],[N° 
Evento]],'Eventos de riesgos'!B:Q,16,0)</f>
        <v>Ninguno</v>
      </c>
      <c r="AE217" s="54" t="str">
        <f>VLOOKUP(Tabla15[[#This Row],[N° 
Evento]],'Eventos de riesgos'!B:R,17,0)</f>
        <v>Ninguno</v>
      </c>
      <c r="AF217" s="56" t="str">
        <f>VLOOKUP(Tabla15[[#This Row],[N° 
Evento]],'Eventos de riesgos'!B:V,21,0)</f>
        <v>Aprobado</v>
      </c>
      <c r="AG217" s="59" t="str">
        <f>VLOOKUP(Tabla15[[#This Row],[N° 
Evento]],'Eventos de riesgos'!B:W,22,0)</f>
        <v>10/02/2025 14:38:44: Creado
10/02/2025 17:04:06: .
25/02/2025 10:31:57: Actualizado
25/02/2025 14:06:53: .
01/04/2025 16:20:35: Actualización</v>
      </c>
    </row>
    <row r="218" spans="3:33" ht="59" customHeight="1" x14ac:dyDescent="0.55000000000000004">
      <c r="C218" s="54" t="str">
        <f>+Tabla15[[#This Row],[N° 
Evento]]&amp;"-"&amp;Tabla15[[#This Row],[N° Tarea]]</f>
        <v>72-2</v>
      </c>
      <c r="D218" s="54">
        <v>72</v>
      </c>
      <c r="E218" s="54">
        <v>2</v>
      </c>
      <c r="F218" s="55" t="s">
        <v>659</v>
      </c>
      <c r="G218" s="44" t="s">
        <v>1052</v>
      </c>
      <c r="H218" s="59" t="s">
        <v>656</v>
      </c>
      <c r="I218" s="56" t="s">
        <v>916</v>
      </c>
      <c r="J218" s="57">
        <v>45664</v>
      </c>
      <c r="K218" s="57">
        <v>45664</v>
      </c>
      <c r="L218" s="47" t="str">
        <f>IF(Tabla15[[#This Row],[Fecha de Finalización]]&gt;0,"Cerrada","En Proceso")</f>
        <v>Cerrada</v>
      </c>
      <c r="M218" s="58">
        <f t="shared" si="6"/>
        <v>0</v>
      </c>
      <c r="N218" s="59"/>
      <c r="O218" s="54">
        <f>VLOOKUP(Tabla15[[#This Row],[N° 
Evento]],'Eventos de riesgos'!B:C,2,0)</f>
        <v>2025</v>
      </c>
      <c r="P218" s="54" t="str">
        <f>VLOOKUP(Tabla15[[#This Row],[N° 
Evento]],'Eventos de riesgos'!B:D,3,0)</f>
        <v xml:space="preserve">Ene </v>
      </c>
      <c r="Q218" s="60">
        <f>VLOOKUP(Tabla15[[#This Row],[N° 
Evento]],'Eventos de riesgos'!B:E,4,0)</f>
        <v>45646.607638888891</v>
      </c>
      <c r="R218" s="60">
        <f>VLOOKUP(Tabla15[[#This Row],[N° 
Evento]],'Eventos de riesgos'!B:F,5,0)</f>
        <v>45666.606944444444</v>
      </c>
      <c r="S218" s="60">
        <f>VLOOKUP(Tabla15[[#This Row],[N° 
Evento]],'Eventos de riesgos'!B:G,6,0)</f>
        <v>45666.606944444444</v>
      </c>
      <c r="T218"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18" s="61">
        <f>VLOOKUP(Tabla15[[#This Row],[N° 
Evento]],'Eventos de riesgos'!B:I,8,0)</f>
        <v>0</v>
      </c>
      <c r="V218" s="61">
        <f>VLOOKUP(Tabla15[[#This Row],[N° 
Evento]],'Eventos de riesgos'!B:J,9,0)</f>
        <v>0</v>
      </c>
      <c r="W218" s="61">
        <f>VLOOKUP(Tabla15[[#This Row],[N° 
Evento]],'Eventos de riesgos'!B:K,10,0)</f>
        <v>0</v>
      </c>
      <c r="X218" s="59" t="str">
        <f>VLOOKUP(Tabla15[[#This Row],[N° 
Evento]],'Eventos de riesgos'!B:L,11,0)</f>
        <v>7 - Ejecución y Administración de Procesos</v>
      </c>
      <c r="Y218" s="59" t="str">
        <f>VLOOKUP(Tabla15[[#This Row],[N° 
Evento]],'Eventos de riesgos'!B:M,12,0)</f>
        <v>71 - Recepción, Ejecución y Mantenimiento de Operaciones</v>
      </c>
      <c r="Z218" s="59" t="str">
        <f>VLOOKUP(Tabla15[[#This Row],[N° 
Evento]],'Eventos de riesgos'!B:N,13,0)</f>
        <v>711 - Exceso de Manualidad</v>
      </c>
      <c r="AA218" s="59" t="str">
        <f>+VLOOKUP(Tabla15[[#This Row],[N° 
Evento]],'Eventos de riesgos'!$B$1:$AA$87,23,0)</f>
        <v>Error en descuentos de nómina a empleados Febor</v>
      </c>
      <c r="AB218" s="54" t="str">
        <f>VLOOKUP(Tabla15[[#This Row],[N° 
Evento]],'Eventos de riesgos'!B:O,14,0)</f>
        <v>Ninguna</v>
      </c>
      <c r="AC218" s="60">
        <f>VLOOKUP(Tabla15[[#This Row],[N° 
Evento]],'Eventos de riesgos'!B:P,15,0)</f>
        <v>45747.606944444444</v>
      </c>
      <c r="AD218" s="54" t="str">
        <f>VLOOKUP(Tabla15[[#This Row],[N° 
Evento]],'Eventos de riesgos'!B:Q,16,0)</f>
        <v>Ninguno</v>
      </c>
      <c r="AE218" s="54" t="str">
        <f>VLOOKUP(Tabla15[[#This Row],[N° 
Evento]],'Eventos de riesgos'!B:R,17,0)</f>
        <v>Ninguno</v>
      </c>
      <c r="AF218" s="56" t="str">
        <f>VLOOKUP(Tabla15[[#This Row],[N° 
Evento]],'Eventos de riesgos'!B:V,21,0)</f>
        <v>Aprobado</v>
      </c>
      <c r="AG218" s="59" t="str">
        <f>VLOOKUP(Tabla15[[#This Row],[N° 
Evento]],'Eventos de riesgos'!B:W,22,0)</f>
        <v>10/02/2025 14:38:44: Creado
10/02/2025 17:04:06: .
25/02/2025 10:31:57: Actualizado
25/02/2025 14:06:53: .
01/04/2025 16:20:35: Actualización</v>
      </c>
    </row>
    <row r="219" spans="3:33" ht="59" customHeight="1" x14ac:dyDescent="0.55000000000000004">
      <c r="C219" s="54" t="str">
        <f>+Tabla15[[#This Row],[N° 
Evento]]&amp;"-"&amp;Tabla15[[#This Row],[N° Tarea]]</f>
        <v>72-3</v>
      </c>
      <c r="D219" s="54">
        <v>72</v>
      </c>
      <c r="E219" s="54">
        <v>3</v>
      </c>
      <c r="F219" s="55" t="s">
        <v>660</v>
      </c>
      <c r="G219" s="44" t="s">
        <v>1052</v>
      </c>
      <c r="H219" s="59" t="s">
        <v>655</v>
      </c>
      <c r="I219" s="59" t="s">
        <v>914</v>
      </c>
      <c r="J219" s="57">
        <v>45670</v>
      </c>
      <c r="K219" s="57">
        <v>45671</v>
      </c>
      <c r="L219" s="47" t="str">
        <f>IF(Tabla15[[#This Row],[Fecha de Finalización]]&gt;0,"Cerrada","En Proceso")</f>
        <v>Cerrada</v>
      </c>
      <c r="M219" s="58">
        <f>+K219-J219</f>
        <v>1</v>
      </c>
      <c r="N219" s="59"/>
      <c r="O219" s="54">
        <f>VLOOKUP(Tabla15[[#This Row],[N° 
Evento]],'Eventos de riesgos'!B:C,2,0)</f>
        <v>2025</v>
      </c>
      <c r="P219" s="54" t="str">
        <f>VLOOKUP(Tabla15[[#This Row],[N° 
Evento]],'Eventos de riesgos'!B:D,3,0)</f>
        <v xml:space="preserve">Ene </v>
      </c>
      <c r="Q219" s="60">
        <f>VLOOKUP(Tabla15[[#This Row],[N° 
Evento]],'Eventos de riesgos'!B:E,4,0)</f>
        <v>45646.607638888891</v>
      </c>
      <c r="R219" s="60">
        <f>VLOOKUP(Tabla15[[#This Row],[N° 
Evento]],'Eventos de riesgos'!B:F,5,0)</f>
        <v>45666.606944444444</v>
      </c>
      <c r="S219" s="60">
        <f>VLOOKUP(Tabla15[[#This Row],[N° 
Evento]],'Eventos de riesgos'!B:G,6,0)</f>
        <v>45666.606944444444</v>
      </c>
      <c r="T219"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19" s="61">
        <f>VLOOKUP(Tabla15[[#This Row],[N° 
Evento]],'Eventos de riesgos'!B:I,8,0)</f>
        <v>0</v>
      </c>
      <c r="V219" s="61">
        <f>VLOOKUP(Tabla15[[#This Row],[N° 
Evento]],'Eventos de riesgos'!B:J,9,0)</f>
        <v>0</v>
      </c>
      <c r="W219" s="61">
        <f>VLOOKUP(Tabla15[[#This Row],[N° 
Evento]],'Eventos de riesgos'!B:K,10,0)</f>
        <v>0</v>
      </c>
      <c r="X219" s="59" t="str">
        <f>VLOOKUP(Tabla15[[#This Row],[N° 
Evento]],'Eventos de riesgos'!B:L,11,0)</f>
        <v>7 - Ejecución y Administración de Procesos</v>
      </c>
      <c r="Y219" s="59" t="str">
        <f>VLOOKUP(Tabla15[[#This Row],[N° 
Evento]],'Eventos de riesgos'!B:M,12,0)</f>
        <v>71 - Recepción, Ejecución y Mantenimiento de Operaciones</v>
      </c>
      <c r="Z219" s="59" t="str">
        <f>VLOOKUP(Tabla15[[#This Row],[N° 
Evento]],'Eventos de riesgos'!B:N,13,0)</f>
        <v>711 - Exceso de Manualidad</v>
      </c>
      <c r="AA219" s="59" t="str">
        <f>+VLOOKUP(Tabla15[[#This Row],[N° 
Evento]],'Eventos de riesgos'!$B$1:$AA$87,23,0)</f>
        <v>Error en descuentos de nómina a empleados Febor</v>
      </c>
      <c r="AB219" s="54" t="str">
        <f>VLOOKUP(Tabla15[[#This Row],[N° 
Evento]],'Eventos de riesgos'!B:O,14,0)</f>
        <v>Ninguna</v>
      </c>
      <c r="AC219" s="60">
        <f>VLOOKUP(Tabla15[[#This Row],[N° 
Evento]],'Eventos de riesgos'!B:P,15,0)</f>
        <v>45747.606944444444</v>
      </c>
      <c r="AD219" s="54" t="str">
        <f>VLOOKUP(Tabla15[[#This Row],[N° 
Evento]],'Eventos de riesgos'!B:Q,16,0)</f>
        <v>Ninguno</v>
      </c>
      <c r="AE219" s="54" t="str">
        <f>VLOOKUP(Tabla15[[#This Row],[N° 
Evento]],'Eventos de riesgos'!B:R,17,0)</f>
        <v>Ninguno</v>
      </c>
      <c r="AF219" s="56" t="str">
        <f>VLOOKUP(Tabla15[[#This Row],[N° 
Evento]],'Eventos de riesgos'!B:V,21,0)</f>
        <v>Aprobado</v>
      </c>
      <c r="AG219" s="59" t="str">
        <f>VLOOKUP(Tabla15[[#This Row],[N° 
Evento]],'Eventos de riesgos'!B:W,22,0)</f>
        <v>10/02/2025 14:38:44: Creado
10/02/2025 17:04:06: .
25/02/2025 10:31:57: Actualizado
25/02/2025 14:06:53: .
01/04/2025 16:20:35: Actualización</v>
      </c>
    </row>
    <row r="220" spans="3:33" ht="59" customHeight="1" x14ac:dyDescent="0.55000000000000004">
      <c r="C220" s="54" t="str">
        <f>+Tabla15[[#This Row],[N° 
Evento]]&amp;"-"&amp;Tabla15[[#This Row],[N° Tarea]]</f>
        <v>72-4</v>
      </c>
      <c r="D220" s="54">
        <v>72</v>
      </c>
      <c r="E220" s="54">
        <v>4</v>
      </c>
      <c r="F220" s="55" t="s">
        <v>661</v>
      </c>
      <c r="G220" s="44" t="s">
        <v>1052</v>
      </c>
      <c r="H220" s="59" t="s">
        <v>367</v>
      </c>
      <c r="I220" s="59" t="s">
        <v>915</v>
      </c>
      <c r="J220" s="57">
        <v>45670</v>
      </c>
      <c r="K220" s="57">
        <v>45672</v>
      </c>
      <c r="L220" s="47" t="str">
        <f>IF(Tabla15[[#This Row],[Fecha de Finalización]]&gt;0,"Cerrada","En Proceso")</f>
        <v>Cerrada</v>
      </c>
      <c r="M220" s="58">
        <f>+K220-J220</f>
        <v>2</v>
      </c>
      <c r="N220" s="59"/>
      <c r="O220" s="54">
        <f>VLOOKUP(Tabla15[[#This Row],[N° 
Evento]],'Eventos de riesgos'!B:C,2,0)</f>
        <v>2025</v>
      </c>
      <c r="P220" s="54" t="str">
        <f>VLOOKUP(Tabla15[[#This Row],[N° 
Evento]],'Eventos de riesgos'!B:D,3,0)</f>
        <v xml:space="preserve">Ene </v>
      </c>
      <c r="Q220" s="60">
        <f>VLOOKUP(Tabla15[[#This Row],[N° 
Evento]],'Eventos de riesgos'!B:E,4,0)</f>
        <v>45646.607638888891</v>
      </c>
      <c r="R220" s="60">
        <f>VLOOKUP(Tabla15[[#This Row],[N° 
Evento]],'Eventos de riesgos'!B:F,5,0)</f>
        <v>45666.606944444444</v>
      </c>
      <c r="S220" s="60">
        <f>VLOOKUP(Tabla15[[#This Row],[N° 
Evento]],'Eventos de riesgos'!B:G,6,0)</f>
        <v>45666.606944444444</v>
      </c>
      <c r="T220"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20" s="61">
        <f>VLOOKUP(Tabla15[[#This Row],[N° 
Evento]],'Eventos de riesgos'!B:I,8,0)</f>
        <v>0</v>
      </c>
      <c r="V220" s="61">
        <f>VLOOKUP(Tabla15[[#This Row],[N° 
Evento]],'Eventos de riesgos'!B:J,9,0)</f>
        <v>0</v>
      </c>
      <c r="W220" s="61">
        <f>VLOOKUP(Tabla15[[#This Row],[N° 
Evento]],'Eventos de riesgos'!B:K,10,0)</f>
        <v>0</v>
      </c>
      <c r="X220" s="59" t="str">
        <f>VLOOKUP(Tabla15[[#This Row],[N° 
Evento]],'Eventos de riesgos'!B:L,11,0)</f>
        <v>7 - Ejecución y Administración de Procesos</v>
      </c>
      <c r="Y220" s="59" t="str">
        <f>VLOOKUP(Tabla15[[#This Row],[N° 
Evento]],'Eventos de riesgos'!B:M,12,0)</f>
        <v>71 - Recepción, Ejecución y Mantenimiento de Operaciones</v>
      </c>
      <c r="Z220" s="59" t="str">
        <f>VLOOKUP(Tabla15[[#This Row],[N° 
Evento]],'Eventos de riesgos'!B:N,13,0)</f>
        <v>711 - Exceso de Manualidad</v>
      </c>
      <c r="AA220" s="59" t="str">
        <f>+VLOOKUP(Tabla15[[#This Row],[N° 
Evento]],'Eventos de riesgos'!$B$1:$AA$87,23,0)</f>
        <v>Error en descuentos de nómina a empleados Febor</v>
      </c>
      <c r="AB220" s="54" t="str">
        <f>VLOOKUP(Tabla15[[#This Row],[N° 
Evento]],'Eventos de riesgos'!B:O,14,0)</f>
        <v>Ninguna</v>
      </c>
      <c r="AC220" s="60">
        <f>VLOOKUP(Tabla15[[#This Row],[N° 
Evento]],'Eventos de riesgos'!B:P,15,0)</f>
        <v>45747.606944444444</v>
      </c>
      <c r="AD220" s="54" t="str">
        <f>VLOOKUP(Tabla15[[#This Row],[N° 
Evento]],'Eventos de riesgos'!B:Q,16,0)</f>
        <v>Ninguno</v>
      </c>
      <c r="AE220" s="54" t="str">
        <f>VLOOKUP(Tabla15[[#This Row],[N° 
Evento]],'Eventos de riesgos'!B:R,17,0)</f>
        <v>Ninguno</v>
      </c>
      <c r="AF220" s="56" t="str">
        <f>VLOOKUP(Tabla15[[#This Row],[N° 
Evento]],'Eventos de riesgos'!B:V,21,0)</f>
        <v>Aprobado</v>
      </c>
      <c r="AG220" s="59" t="str">
        <f>VLOOKUP(Tabla15[[#This Row],[N° 
Evento]],'Eventos de riesgos'!B:W,22,0)</f>
        <v>10/02/2025 14:38:44: Creado
10/02/2025 17:04:06: .
25/02/2025 10:31:57: Actualizado
25/02/2025 14:06:53: .
01/04/2025 16:20:35: Actualización</v>
      </c>
    </row>
    <row r="221" spans="3:33" ht="59" customHeight="1" x14ac:dyDescent="0.55000000000000004">
      <c r="C221" s="54" t="str">
        <f>+Tabla15[[#This Row],[N° 
Evento]]&amp;"-"&amp;Tabla15[[#This Row],[N° Tarea]]</f>
        <v>72-5</v>
      </c>
      <c r="D221" s="54">
        <v>72</v>
      </c>
      <c r="E221" s="54">
        <v>5</v>
      </c>
      <c r="F221" s="55" t="s">
        <v>662</v>
      </c>
      <c r="G221" s="44" t="s">
        <v>1053</v>
      </c>
      <c r="H221" s="59" t="s">
        <v>664</v>
      </c>
      <c r="I221" s="59" t="s">
        <v>919</v>
      </c>
      <c r="J221" s="57">
        <v>45670</v>
      </c>
      <c r="K221" s="57">
        <v>45670</v>
      </c>
      <c r="L221" s="47" t="str">
        <f>IF(Tabla15[[#This Row],[Fecha de Finalización]]&gt;0,"Cerrada","En Proceso")</f>
        <v>Cerrada</v>
      </c>
      <c r="M221" s="58">
        <f>+K221-J221</f>
        <v>0</v>
      </c>
      <c r="N221" s="59"/>
      <c r="O221" s="54">
        <f>VLOOKUP(Tabla15[[#This Row],[N° 
Evento]],'Eventos de riesgos'!B:C,2,0)</f>
        <v>2025</v>
      </c>
      <c r="P221" s="54" t="str">
        <f>VLOOKUP(Tabla15[[#This Row],[N° 
Evento]],'Eventos de riesgos'!B:D,3,0)</f>
        <v xml:space="preserve">Ene </v>
      </c>
      <c r="Q221" s="60">
        <f>VLOOKUP(Tabla15[[#This Row],[N° 
Evento]],'Eventos de riesgos'!B:E,4,0)</f>
        <v>45646.607638888891</v>
      </c>
      <c r="R221" s="60">
        <f>VLOOKUP(Tabla15[[#This Row],[N° 
Evento]],'Eventos de riesgos'!B:F,5,0)</f>
        <v>45666.606944444444</v>
      </c>
      <c r="S221" s="60">
        <f>VLOOKUP(Tabla15[[#This Row],[N° 
Evento]],'Eventos de riesgos'!B:G,6,0)</f>
        <v>45666.606944444444</v>
      </c>
      <c r="T221"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21" s="61">
        <f>VLOOKUP(Tabla15[[#This Row],[N° 
Evento]],'Eventos de riesgos'!B:I,8,0)</f>
        <v>0</v>
      </c>
      <c r="V221" s="61">
        <f>VLOOKUP(Tabla15[[#This Row],[N° 
Evento]],'Eventos de riesgos'!B:J,9,0)</f>
        <v>0</v>
      </c>
      <c r="W221" s="61">
        <f>VLOOKUP(Tabla15[[#This Row],[N° 
Evento]],'Eventos de riesgos'!B:K,10,0)</f>
        <v>0</v>
      </c>
      <c r="X221" s="59" t="str">
        <f>VLOOKUP(Tabla15[[#This Row],[N° 
Evento]],'Eventos de riesgos'!B:L,11,0)</f>
        <v>7 - Ejecución y Administración de Procesos</v>
      </c>
      <c r="Y221" s="59" t="str">
        <f>VLOOKUP(Tabla15[[#This Row],[N° 
Evento]],'Eventos de riesgos'!B:M,12,0)</f>
        <v>71 - Recepción, Ejecución y Mantenimiento de Operaciones</v>
      </c>
      <c r="Z221" s="59" t="str">
        <f>VLOOKUP(Tabla15[[#This Row],[N° 
Evento]],'Eventos de riesgos'!B:N,13,0)</f>
        <v>711 - Exceso de Manualidad</v>
      </c>
      <c r="AA221" s="59" t="str">
        <f>+VLOOKUP(Tabla15[[#This Row],[N° 
Evento]],'Eventos de riesgos'!$B$1:$AA$87,23,0)</f>
        <v>Error en descuentos de nómina a empleados Febor</v>
      </c>
      <c r="AB221" s="54" t="str">
        <f>VLOOKUP(Tabla15[[#This Row],[N° 
Evento]],'Eventos de riesgos'!B:O,14,0)</f>
        <v>Ninguna</v>
      </c>
      <c r="AC221" s="60">
        <f>VLOOKUP(Tabla15[[#This Row],[N° 
Evento]],'Eventos de riesgos'!B:P,15,0)</f>
        <v>45747.606944444444</v>
      </c>
      <c r="AD221" s="54" t="str">
        <f>VLOOKUP(Tabla15[[#This Row],[N° 
Evento]],'Eventos de riesgos'!B:Q,16,0)</f>
        <v>Ninguno</v>
      </c>
      <c r="AE221" s="54" t="str">
        <f>VLOOKUP(Tabla15[[#This Row],[N° 
Evento]],'Eventos de riesgos'!B:R,17,0)</f>
        <v>Ninguno</v>
      </c>
      <c r="AF221" s="56" t="str">
        <f>VLOOKUP(Tabla15[[#This Row],[N° 
Evento]],'Eventos de riesgos'!B:V,21,0)</f>
        <v>Aprobado</v>
      </c>
      <c r="AG221" s="59" t="str">
        <f>VLOOKUP(Tabla15[[#This Row],[N° 
Evento]],'Eventos de riesgos'!B:W,22,0)</f>
        <v>10/02/2025 14:38:44: Creado
10/02/2025 17:04:06: .
25/02/2025 10:31:57: Actualizado
25/02/2025 14:06:53: .
01/04/2025 16:20:35: Actualización</v>
      </c>
    </row>
    <row r="222" spans="3:33" ht="59" customHeight="1" x14ac:dyDescent="0.55000000000000004">
      <c r="C222" s="54" t="str">
        <f>+Tabla15[[#This Row],[N° 
Evento]]&amp;"-"&amp;Tabla15[[#This Row],[N° Tarea]]</f>
        <v>72-6</v>
      </c>
      <c r="D222" s="54">
        <v>72</v>
      </c>
      <c r="E222" s="54">
        <v>6</v>
      </c>
      <c r="F222" s="55" t="s">
        <v>663</v>
      </c>
      <c r="G222" s="44" t="s">
        <v>1053</v>
      </c>
      <c r="H222" s="59" t="s">
        <v>664</v>
      </c>
      <c r="I222" s="59" t="s">
        <v>919</v>
      </c>
      <c r="J222" s="57">
        <v>45670</v>
      </c>
      <c r="K222" s="57">
        <v>45670</v>
      </c>
      <c r="L222" s="47" t="str">
        <f>IF(Tabla15[[#This Row],[Fecha de Finalización]]&gt;0,"Cerrada","En Proceso")</f>
        <v>Cerrada</v>
      </c>
      <c r="M222" s="58">
        <f>+K222-J222</f>
        <v>0</v>
      </c>
      <c r="N222" s="59" t="s">
        <v>920</v>
      </c>
      <c r="O222" s="54">
        <f>VLOOKUP(Tabla15[[#This Row],[N° 
Evento]],'Eventos de riesgos'!B:C,2,0)</f>
        <v>2025</v>
      </c>
      <c r="P222" s="54" t="str">
        <f>VLOOKUP(Tabla15[[#This Row],[N° 
Evento]],'Eventos de riesgos'!B:D,3,0)</f>
        <v xml:space="preserve">Ene </v>
      </c>
      <c r="Q222" s="60">
        <f>VLOOKUP(Tabla15[[#This Row],[N° 
Evento]],'Eventos de riesgos'!B:E,4,0)</f>
        <v>45646.607638888891</v>
      </c>
      <c r="R222" s="60">
        <f>VLOOKUP(Tabla15[[#This Row],[N° 
Evento]],'Eventos de riesgos'!B:F,5,0)</f>
        <v>45666.606944444444</v>
      </c>
      <c r="S222" s="60">
        <f>VLOOKUP(Tabla15[[#This Row],[N° 
Evento]],'Eventos de riesgos'!B:G,6,0)</f>
        <v>45666.606944444444</v>
      </c>
      <c r="T222"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22" s="61">
        <f>VLOOKUP(Tabla15[[#This Row],[N° 
Evento]],'Eventos de riesgos'!B:I,8,0)</f>
        <v>0</v>
      </c>
      <c r="V222" s="61">
        <f>VLOOKUP(Tabla15[[#This Row],[N° 
Evento]],'Eventos de riesgos'!B:J,9,0)</f>
        <v>0</v>
      </c>
      <c r="W222" s="61">
        <f>VLOOKUP(Tabla15[[#This Row],[N° 
Evento]],'Eventos de riesgos'!B:K,10,0)</f>
        <v>0</v>
      </c>
      <c r="X222" s="59" t="str">
        <f>VLOOKUP(Tabla15[[#This Row],[N° 
Evento]],'Eventos de riesgos'!B:L,11,0)</f>
        <v>7 - Ejecución y Administración de Procesos</v>
      </c>
      <c r="Y222" s="59" t="str">
        <f>VLOOKUP(Tabla15[[#This Row],[N° 
Evento]],'Eventos de riesgos'!B:M,12,0)</f>
        <v>71 - Recepción, Ejecución y Mantenimiento de Operaciones</v>
      </c>
      <c r="Z222" s="59" t="str">
        <f>VLOOKUP(Tabla15[[#This Row],[N° 
Evento]],'Eventos de riesgos'!B:N,13,0)</f>
        <v>711 - Exceso de Manualidad</v>
      </c>
      <c r="AA222" s="59" t="str">
        <f>+VLOOKUP(Tabla15[[#This Row],[N° 
Evento]],'Eventos de riesgos'!$B$1:$AA$87,23,0)</f>
        <v>Error en descuentos de nómina a empleados Febor</v>
      </c>
      <c r="AB222" s="54" t="str">
        <f>VLOOKUP(Tabla15[[#This Row],[N° 
Evento]],'Eventos de riesgos'!B:O,14,0)</f>
        <v>Ninguna</v>
      </c>
      <c r="AC222" s="60">
        <f>VLOOKUP(Tabla15[[#This Row],[N° 
Evento]],'Eventos de riesgos'!B:P,15,0)</f>
        <v>45747.606944444444</v>
      </c>
      <c r="AD222" s="54" t="str">
        <f>VLOOKUP(Tabla15[[#This Row],[N° 
Evento]],'Eventos de riesgos'!B:Q,16,0)</f>
        <v>Ninguno</v>
      </c>
      <c r="AE222" s="54" t="str">
        <f>VLOOKUP(Tabla15[[#This Row],[N° 
Evento]],'Eventos de riesgos'!B:R,17,0)</f>
        <v>Ninguno</v>
      </c>
      <c r="AF222" s="56" t="str">
        <f>VLOOKUP(Tabla15[[#This Row],[N° 
Evento]],'Eventos de riesgos'!B:V,21,0)</f>
        <v>Aprobado</v>
      </c>
      <c r="AG222" s="59" t="str">
        <f>VLOOKUP(Tabla15[[#This Row],[N° 
Evento]],'Eventos de riesgos'!B:W,22,0)</f>
        <v>10/02/2025 14:38:44: Creado
10/02/2025 17:04:06: .
25/02/2025 10:31:57: Actualizado
25/02/2025 14:06:53: .
01/04/2025 16:20:35: Actualización</v>
      </c>
    </row>
    <row r="223" spans="3:33" ht="59" customHeight="1" x14ac:dyDescent="0.55000000000000004">
      <c r="C223" s="54" t="str">
        <f>+Tabla15[[#This Row],[N° 
Evento]]&amp;"-"&amp;Tabla15[[#This Row],[N° Tarea]]</f>
        <v>72-7</v>
      </c>
      <c r="D223" s="54">
        <v>72</v>
      </c>
      <c r="E223" s="54">
        <v>7</v>
      </c>
      <c r="F223" s="55" t="s">
        <v>921</v>
      </c>
      <c r="G223" s="44" t="s">
        <v>1053</v>
      </c>
      <c r="H223" s="59" t="s">
        <v>656</v>
      </c>
      <c r="I223" s="56" t="s">
        <v>916</v>
      </c>
      <c r="J223" s="57">
        <v>45670</v>
      </c>
      <c r="K223" s="57">
        <v>45819</v>
      </c>
      <c r="L223" s="47" t="str">
        <f>IF(Tabla15[[#This Row],[Fecha de Finalización]]&gt;0,"Cerrada","En Proceso")</f>
        <v>Cerrada</v>
      </c>
      <c r="M223" s="58">
        <f>+K223-J223</f>
        <v>149</v>
      </c>
      <c r="N223" s="59" t="s">
        <v>922</v>
      </c>
      <c r="O223" s="54">
        <f>VLOOKUP(Tabla15[[#This Row],[N° 
Evento]],'Eventos de riesgos'!B:C,2,0)</f>
        <v>2025</v>
      </c>
      <c r="P223" s="54" t="str">
        <f>VLOOKUP(Tabla15[[#This Row],[N° 
Evento]],'Eventos de riesgos'!B:D,3,0)</f>
        <v xml:space="preserve">Ene </v>
      </c>
      <c r="Q223" s="60">
        <f>VLOOKUP(Tabla15[[#This Row],[N° 
Evento]],'Eventos de riesgos'!B:E,4,0)</f>
        <v>45646.607638888891</v>
      </c>
      <c r="R223" s="60">
        <f>VLOOKUP(Tabla15[[#This Row],[N° 
Evento]],'Eventos de riesgos'!B:F,5,0)</f>
        <v>45666.606944444444</v>
      </c>
      <c r="S223" s="60">
        <f>VLOOKUP(Tabla15[[#This Row],[N° 
Evento]],'Eventos de riesgos'!B:G,6,0)</f>
        <v>45666.606944444444</v>
      </c>
      <c r="T223"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$1.070.580'Causas:Desconcentración del funcionario,Ejecución de procesos manuales inseguros en la maniobra de archivos de ExcelImpacto:Riesgo Operativo: La falta de controles en la autorización de descuentos salariales evidencia debilidades en la gestión de nómina y la supervisión de procesos internos, lo cual generó impacto de tipo operativo por incurrir en reprocesos.AccionesCorrectivasCorrección del error y comunicación directa con el funcionario afectado sobre el ajuste del valor pagado a Confiar. (Jefe Talento Humano)Ajuste de la operación para restablecer el valor correspondiente.. (Jefe Talento Humano)Citación a descargos de la funcionaria implicada para esclarecer los hechos y aplicar las medidas disciplinarias correspondientes.(Gerencia - Jefe Jurídico)Reubicación física del puesto de trabajo para favorecer la concentración y disminuir fuentes de distracción.(Gerencia)Acciones Preventivas:Revisión y monitoreo de las herramientas utilizada para liquidar nómina, en especial cuando hay intervención manual de archivos de Excel.Implementación de un esquema de doble validación de pagos a terceros en conjunto con el área contableCapacitación especializada en el sistema Helissa para operación directa y evitar uso de herramientas manuales.</v>
      </c>
      <c r="U223" s="61">
        <f>VLOOKUP(Tabla15[[#This Row],[N° 
Evento]],'Eventos de riesgos'!B:I,8,0)</f>
        <v>0</v>
      </c>
      <c r="V223" s="61">
        <f>VLOOKUP(Tabla15[[#This Row],[N° 
Evento]],'Eventos de riesgos'!B:J,9,0)</f>
        <v>0</v>
      </c>
      <c r="W223" s="61">
        <f>VLOOKUP(Tabla15[[#This Row],[N° 
Evento]],'Eventos de riesgos'!B:K,10,0)</f>
        <v>0</v>
      </c>
      <c r="X223" s="59" t="str">
        <f>VLOOKUP(Tabla15[[#This Row],[N° 
Evento]],'Eventos de riesgos'!B:L,11,0)</f>
        <v>7 - Ejecución y Administración de Procesos</v>
      </c>
      <c r="Y223" s="59" t="str">
        <f>VLOOKUP(Tabla15[[#This Row],[N° 
Evento]],'Eventos de riesgos'!B:M,12,0)</f>
        <v>71 - Recepción, Ejecución y Mantenimiento de Operaciones</v>
      </c>
      <c r="Z223" s="59" t="str">
        <f>VLOOKUP(Tabla15[[#This Row],[N° 
Evento]],'Eventos de riesgos'!B:N,13,0)</f>
        <v>711 - Exceso de Manualidad</v>
      </c>
      <c r="AA223" s="59" t="str">
        <f>+VLOOKUP(Tabla15[[#This Row],[N° 
Evento]],'Eventos de riesgos'!$B$1:$AA$87,23,0)</f>
        <v>Error en descuentos de nómina a empleados Febor</v>
      </c>
      <c r="AB223" s="54" t="str">
        <f>VLOOKUP(Tabla15[[#This Row],[N° 
Evento]],'Eventos de riesgos'!B:O,14,0)</f>
        <v>Ninguna</v>
      </c>
      <c r="AC223" s="60">
        <f>VLOOKUP(Tabla15[[#This Row],[N° 
Evento]],'Eventos de riesgos'!B:P,15,0)</f>
        <v>45747.606944444444</v>
      </c>
      <c r="AD223" s="54" t="str">
        <f>VLOOKUP(Tabla15[[#This Row],[N° 
Evento]],'Eventos de riesgos'!B:Q,16,0)</f>
        <v>Ninguno</v>
      </c>
      <c r="AE223" s="54" t="str">
        <f>VLOOKUP(Tabla15[[#This Row],[N° 
Evento]],'Eventos de riesgos'!B:R,17,0)</f>
        <v>Ninguno</v>
      </c>
      <c r="AF223" s="56" t="str">
        <f>VLOOKUP(Tabla15[[#This Row],[N° 
Evento]],'Eventos de riesgos'!B:V,21,0)</f>
        <v>Aprobado</v>
      </c>
      <c r="AG223" s="59" t="str">
        <f>VLOOKUP(Tabla15[[#This Row],[N° 
Evento]],'Eventos de riesgos'!B:W,22,0)</f>
        <v>10/02/2025 14:38:44: Creado
10/02/2025 17:04:06: .
25/02/2025 10:31:57: Actualizado
25/02/2025 14:06:53: .
01/04/2025 16:20:35: Actualización</v>
      </c>
    </row>
    <row r="224" spans="3:33" ht="59" customHeight="1" x14ac:dyDescent="0.55000000000000004">
      <c r="C224" s="54" t="str">
        <f>+Tabla15[[#This Row],[N° 
Evento]]&amp;"-"&amp;Tabla15[[#This Row],[N° Tarea]]</f>
        <v>73-1</v>
      </c>
      <c r="D224" s="54">
        <v>73</v>
      </c>
      <c r="E224" s="54">
        <v>1</v>
      </c>
      <c r="F224" s="55" t="s">
        <v>666</v>
      </c>
      <c r="G224" s="44" t="s">
        <v>1052</v>
      </c>
      <c r="H224" s="59" t="s">
        <v>760</v>
      </c>
      <c r="I224" s="56" t="s">
        <v>669</v>
      </c>
      <c r="J224" s="57">
        <v>45704</v>
      </c>
      <c r="K224" s="57">
        <v>45709</v>
      </c>
      <c r="L224" s="47" t="str">
        <f>IF(Tabla15[[#This Row],[Fecha de Finalización]]&gt;0,"Cerrada","En Proceso")</f>
        <v>Cerrada</v>
      </c>
      <c r="M224" s="58">
        <f t="shared" si="6"/>
        <v>5</v>
      </c>
      <c r="N224" s="59"/>
      <c r="O224" s="54">
        <f>VLOOKUP(Tabla15[[#This Row],[N° 
Evento]],'Eventos de riesgos'!B:C,2,0)</f>
        <v>2025</v>
      </c>
      <c r="P224" s="54" t="str">
        <f>VLOOKUP(Tabla15[[#This Row],[N° 
Evento]],'Eventos de riesgos'!B:D,3,0)</f>
        <v xml:space="preserve">Feb </v>
      </c>
      <c r="Q224" s="60">
        <f>VLOOKUP(Tabla15[[#This Row],[N° 
Evento]],'Eventos de riesgos'!B:E,4,0)</f>
        <v>45704.53125</v>
      </c>
      <c r="R224" s="60">
        <f>VLOOKUP(Tabla15[[#This Row],[N° 
Evento]],'Eventos de riesgos'!B:F,5,0)</f>
        <v>45704.53125</v>
      </c>
      <c r="S224" s="60">
        <f>VLOOKUP(Tabla15[[#This Row],[N° 
Evento]],'Eventos de riesgos'!B:G,6,0)</f>
        <v>45713.53125</v>
      </c>
      <c r="T224" s="63" t="str">
        <f>VLOOKUP(Tabla15[[#This Row],[N° 
Evento]],'Eventos de riesgos'!B:H,7,0)</f>
        <v>CasoEl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digitales.Causas:Las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errada.Impacto:Operativos: Interrupción del servicio de transferencias, afectación de procesos internos de atención y aumento en la carga operativa.Reputacionales: Afectación en la confianza de los asociados frente a los canales digitales, derivando en quejas y percepción negativa del servicio.AccionesCorrectivasComunicación con los asociados, atención permanente de las situaciones particulares (Directora SAS) Plan de Continuidad para reactivación de servicios. Coordinación prioritaria con el proveedor para garantizar la continuidad y estabilidad del servicio. (Director TI Jefe de operaciones )Preventivas Fortalecimiento de los mecanismos de comunicación interna entre las áreas técnicas y de servicio, especialmente en escenarios de cambios tecnológicos, funcionamientos del sistema o aspectos técnicos que requieran mayor claridad para los asociados.( Directora de SAS Director TI )</v>
      </c>
      <c r="U224" s="61">
        <f>VLOOKUP(Tabla15[[#This Row],[N° 
Evento]],'Eventos de riesgos'!B:I,8,0)</f>
        <v>0</v>
      </c>
      <c r="V224" s="61">
        <f>VLOOKUP(Tabla15[[#This Row],[N° 
Evento]],'Eventos de riesgos'!B:J,9,0)</f>
        <v>0</v>
      </c>
      <c r="W224" s="61">
        <f>VLOOKUP(Tabla15[[#This Row],[N° 
Evento]],'Eventos de riesgos'!B:K,10,0)</f>
        <v>0</v>
      </c>
      <c r="X224" s="59" t="str">
        <f>VLOOKUP(Tabla15[[#This Row],[N° 
Evento]],'Eventos de riesgos'!B:L,11,0)</f>
        <v>7 - Ejecución y Administración de Procesos</v>
      </c>
      <c r="Y224" s="59" t="str">
        <f>VLOOKUP(Tabla15[[#This Row],[N° 
Evento]],'Eventos de riesgos'!B:M,12,0)</f>
        <v>71 - Recepción, Ejecución y Mantenimiento de Operaciones</v>
      </c>
      <c r="Z224" s="59" t="str">
        <f>VLOOKUP(Tabla15[[#This Row],[N° 
Evento]],'Eventos de riesgos'!B:N,13,0)</f>
        <v>714 - Ejecución Errónea de Modelos o de Sistemas</v>
      </c>
      <c r="AA224" s="59" t="str">
        <f>+VLOOKUP(Tabla15[[#This Row],[N° 
Evento]],'Eventos de riesgos'!$B$1:$AA$87,23,0)</f>
        <v>Indisponibilidad de canales digitales</v>
      </c>
      <c r="AB224" s="54" t="str">
        <f>VLOOKUP(Tabla15[[#This Row],[N° 
Evento]],'Eventos de riesgos'!B:O,14,0)</f>
        <v>Ninguna</v>
      </c>
      <c r="AC224" s="60">
        <f>VLOOKUP(Tabla15[[#This Row],[N° 
Evento]],'Eventos de riesgos'!B:P,15,0)</f>
        <v>45716.531944444447</v>
      </c>
      <c r="AD224" s="54" t="str">
        <f>VLOOKUP(Tabla15[[#This Row],[N° 
Evento]],'Eventos de riesgos'!B:Q,16,0)</f>
        <v>Ninguno</v>
      </c>
      <c r="AE224" s="54" t="str">
        <f>VLOOKUP(Tabla15[[#This Row],[N° 
Evento]],'Eventos de riesgos'!B:R,17,0)</f>
        <v>Cooperativa Digital / Aplicación móvil (App Febor)</v>
      </c>
      <c r="AF224" s="56" t="str">
        <f>VLOOKUP(Tabla15[[#This Row],[N° 
Evento]],'Eventos de riesgos'!B:V,21,0)</f>
        <v>Aprobado</v>
      </c>
      <c r="AG224" s="59" t="str">
        <f>VLOOKUP(Tabla15[[#This Row],[N° 
Evento]],'Eventos de riesgos'!B:W,22,0)</f>
        <v>25/02/2025 12:48:11: Creada
25/02/2025 14:23:58: Creada
01/04/2025 13:41:20: Actualizada.
01/04/2025 16:31:02: Actualización</v>
      </c>
    </row>
    <row r="225" spans="3:33" ht="59" customHeight="1" x14ac:dyDescent="0.55000000000000004">
      <c r="C225" s="54" t="str">
        <f>+Tabla15[[#This Row],[N° 
Evento]]&amp;"-"&amp;Tabla15[[#This Row],[N° Tarea]]</f>
        <v>73-2</v>
      </c>
      <c r="D225" s="54">
        <v>73</v>
      </c>
      <c r="E225" s="54">
        <v>2</v>
      </c>
      <c r="F225" s="55" t="s">
        <v>667</v>
      </c>
      <c r="G225" s="44" t="s">
        <v>1052</v>
      </c>
      <c r="H225" s="59" t="s">
        <v>781</v>
      </c>
      <c r="I225" s="59" t="s">
        <v>670</v>
      </c>
      <c r="J225" s="57">
        <v>45704</v>
      </c>
      <c r="K225" s="57">
        <v>45709</v>
      </c>
      <c r="L225" s="47" t="str">
        <f>IF(Tabla15[[#This Row],[Fecha de Finalización]]&gt;0,"Cerrada","En Proceso")</f>
        <v>Cerrada</v>
      </c>
      <c r="M225" s="58">
        <f t="shared" ref="M225:M238" si="7">+K225-J225</f>
        <v>5</v>
      </c>
      <c r="N225" s="59"/>
      <c r="O225" s="54">
        <f>VLOOKUP(Tabla15[[#This Row],[N° 
Evento]],'Eventos de riesgos'!B:C,2,0)</f>
        <v>2025</v>
      </c>
      <c r="P225" s="54" t="str">
        <f>VLOOKUP(Tabla15[[#This Row],[N° 
Evento]],'Eventos de riesgos'!B:D,3,0)</f>
        <v xml:space="preserve">Feb </v>
      </c>
      <c r="Q225" s="60">
        <f>VLOOKUP(Tabla15[[#This Row],[N° 
Evento]],'Eventos de riesgos'!B:E,4,0)</f>
        <v>45704.53125</v>
      </c>
      <c r="R225" s="60">
        <f>VLOOKUP(Tabla15[[#This Row],[N° 
Evento]],'Eventos de riesgos'!B:F,5,0)</f>
        <v>45704.53125</v>
      </c>
      <c r="S225" s="60">
        <f>VLOOKUP(Tabla15[[#This Row],[N° 
Evento]],'Eventos de riesgos'!B:G,6,0)</f>
        <v>45713.53125</v>
      </c>
      <c r="T225" s="63" t="str">
        <f>VLOOKUP(Tabla15[[#This Row],[N° 
Evento]],'Eventos de riesgos'!B:H,7,0)</f>
        <v>CasoEl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digitales.Causas:Las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errada.Impacto:Operativos: Interrupción del servicio de transferencias, afectación de procesos internos de atención y aumento en la carga operativa.Reputacionales: Afectación en la confianza de los asociados frente a los canales digitales, derivando en quejas y percepción negativa del servicio.AccionesCorrectivasComunicación con los asociados, atención permanente de las situaciones particulares (Directora SAS) Plan de Continuidad para reactivación de servicios. Coordinación prioritaria con el proveedor para garantizar la continuidad y estabilidad del servicio. (Director TI Jefe de operaciones )Preventivas Fortalecimiento de los mecanismos de comunicación interna entre las áreas técnicas y de servicio, especialmente en escenarios de cambios tecnológicos, funcionamientos del sistema o aspectos técnicos que requieran mayor claridad para los asociados.( Directora de SAS Director TI )</v>
      </c>
      <c r="U225" s="61">
        <f>VLOOKUP(Tabla15[[#This Row],[N° 
Evento]],'Eventos de riesgos'!B:I,8,0)</f>
        <v>0</v>
      </c>
      <c r="V225" s="61">
        <f>VLOOKUP(Tabla15[[#This Row],[N° 
Evento]],'Eventos de riesgos'!B:J,9,0)</f>
        <v>0</v>
      </c>
      <c r="W225" s="61">
        <f>VLOOKUP(Tabla15[[#This Row],[N° 
Evento]],'Eventos de riesgos'!B:K,10,0)</f>
        <v>0</v>
      </c>
      <c r="X225" s="59" t="str">
        <f>VLOOKUP(Tabla15[[#This Row],[N° 
Evento]],'Eventos de riesgos'!B:L,11,0)</f>
        <v>7 - Ejecución y Administración de Procesos</v>
      </c>
      <c r="Y225" s="59" t="str">
        <f>VLOOKUP(Tabla15[[#This Row],[N° 
Evento]],'Eventos de riesgos'!B:M,12,0)</f>
        <v>71 - Recepción, Ejecución y Mantenimiento de Operaciones</v>
      </c>
      <c r="Z225" s="59" t="str">
        <f>VLOOKUP(Tabla15[[#This Row],[N° 
Evento]],'Eventos de riesgos'!B:N,13,0)</f>
        <v>714 - Ejecución Errónea de Modelos o de Sistemas</v>
      </c>
      <c r="AA225" s="59" t="str">
        <f>+VLOOKUP(Tabla15[[#This Row],[N° 
Evento]],'Eventos de riesgos'!$B$1:$AA$87,23,0)</f>
        <v>Indisponibilidad de canales digitales</v>
      </c>
      <c r="AB225" s="54" t="str">
        <f>VLOOKUP(Tabla15[[#This Row],[N° 
Evento]],'Eventos de riesgos'!B:O,14,0)</f>
        <v>Ninguna</v>
      </c>
      <c r="AC225" s="60">
        <f>VLOOKUP(Tabla15[[#This Row],[N° 
Evento]],'Eventos de riesgos'!B:P,15,0)</f>
        <v>45716.531944444447</v>
      </c>
      <c r="AD225" s="54" t="str">
        <f>VLOOKUP(Tabla15[[#This Row],[N° 
Evento]],'Eventos de riesgos'!B:Q,16,0)</f>
        <v>Ninguno</v>
      </c>
      <c r="AE225" s="54" t="str">
        <f>VLOOKUP(Tabla15[[#This Row],[N° 
Evento]],'Eventos de riesgos'!B:R,17,0)</f>
        <v>Cooperativa Digital / Aplicación móvil (App Febor)</v>
      </c>
      <c r="AF225" s="56" t="str">
        <f>VLOOKUP(Tabla15[[#This Row],[N° 
Evento]],'Eventos de riesgos'!B:V,21,0)</f>
        <v>Aprobado</v>
      </c>
      <c r="AG225" s="59" t="str">
        <f>VLOOKUP(Tabla15[[#This Row],[N° 
Evento]],'Eventos de riesgos'!B:W,22,0)</f>
        <v>25/02/2025 12:48:11: Creada
25/02/2025 14:23:58: Creada
01/04/2025 13:41:20: Actualizada.
01/04/2025 16:31:02: Actualización</v>
      </c>
    </row>
    <row r="226" spans="3:33" ht="59" customHeight="1" x14ac:dyDescent="0.55000000000000004">
      <c r="C226" s="54" t="str">
        <f>+Tabla15[[#This Row],[N° 
Evento]]&amp;"-"&amp;Tabla15[[#This Row],[N° Tarea]]</f>
        <v>73-3</v>
      </c>
      <c r="D226" s="54">
        <v>73</v>
      </c>
      <c r="E226" s="54">
        <v>3</v>
      </c>
      <c r="F226" s="55" t="s">
        <v>668</v>
      </c>
      <c r="G226" s="44" t="s">
        <v>1053</v>
      </c>
      <c r="H226" s="59" t="s">
        <v>938</v>
      </c>
      <c r="I226" s="59" t="s">
        <v>671</v>
      </c>
      <c r="J226" s="57">
        <v>45709</v>
      </c>
      <c r="K226" s="57">
        <v>45726</v>
      </c>
      <c r="L226" s="47" t="str">
        <f>IF(Tabla15[[#This Row],[Fecha de Finalización]]&gt;0,"Cerrada","En Proceso")</f>
        <v>Cerrada</v>
      </c>
      <c r="M226" s="58">
        <f t="shared" si="7"/>
        <v>17</v>
      </c>
      <c r="N226" s="59" t="s">
        <v>672</v>
      </c>
      <c r="O226" s="54">
        <f>VLOOKUP(Tabla15[[#This Row],[N° 
Evento]],'Eventos de riesgos'!B:C,2,0)</f>
        <v>2025</v>
      </c>
      <c r="P226" s="54" t="str">
        <f>VLOOKUP(Tabla15[[#This Row],[N° 
Evento]],'Eventos de riesgos'!B:D,3,0)</f>
        <v xml:space="preserve">Feb </v>
      </c>
      <c r="Q226" s="60">
        <f>VLOOKUP(Tabla15[[#This Row],[N° 
Evento]],'Eventos de riesgos'!B:E,4,0)</f>
        <v>45704.53125</v>
      </c>
      <c r="R226" s="60">
        <f>VLOOKUP(Tabla15[[#This Row],[N° 
Evento]],'Eventos de riesgos'!B:F,5,0)</f>
        <v>45704.53125</v>
      </c>
      <c r="S226" s="60">
        <f>VLOOKUP(Tabla15[[#This Row],[N° 
Evento]],'Eventos de riesgos'!B:G,6,0)</f>
        <v>45713.53125</v>
      </c>
      <c r="T226" s="63" t="str">
        <f>VLOOKUP(Tabla15[[#This Row],[N° 
Evento]],'Eventos de riesgos'!B:H,7,0)</f>
        <v>CasoEl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digitales.Causas:Las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errada.Impacto:Operativos: Interrupción del servicio de transferencias, afectación de procesos internos de atención y aumento en la carga operativa.Reputacionales: Afectación en la confianza de los asociados frente a los canales digitales, derivando en quejas y percepción negativa del servicio.AccionesCorrectivasComunicación con los asociados, atención permanente de las situaciones particulares (Directora SAS) Plan de Continuidad para reactivación de servicios. Coordinación prioritaria con el proveedor para garantizar la continuidad y estabilidad del servicio. (Director TI Jefe de operaciones )Preventivas Fortalecimiento de los mecanismos de comunicación interna entre las áreas técnicas y de servicio, especialmente en escenarios de cambios tecnológicos, funcionamientos del sistema o aspectos técnicos que requieran mayor claridad para los asociados.( Directora de SAS Director TI )</v>
      </c>
      <c r="U226" s="61">
        <f>VLOOKUP(Tabla15[[#This Row],[N° 
Evento]],'Eventos de riesgos'!B:I,8,0)</f>
        <v>0</v>
      </c>
      <c r="V226" s="61">
        <f>VLOOKUP(Tabla15[[#This Row],[N° 
Evento]],'Eventos de riesgos'!B:J,9,0)</f>
        <v>0</v>
      </c>
      <c r="W226" s="61">
        <f>VLOOKUP(Tabla15[[#This Row],[N° 
Evento]],'Eventos de riesgos'!B:K,10,0)</f>
        <v>0</v>
      </c>
      <c r="X226" s="59" t="str">
        <f>VLOOKUP(Tabla15[[#This Row],[N° 
Evento]],'Eventos de riesgos'!B:L,11,0)</f>
        <v>7 - Ejecución y Administración de Procesos</v>
      </c>
      <c r="Y226" s="59" t="str">
        <f>VLOOKUP(Tabla15[[#This Row],[N° 
Evento]],'Eventos de riesgos'!B:M,12,0)</f>
        <v>71 - Recepción, Ejecución y Mantenimiento de Operaciones</v>
      </c>
      <c r="Z226" s="59" t="str">
        <f>VLOOKUP(Tabla15[[#This Row],[N° 
Evento]],'Eventos de riesgos'!B:N,13,0)</f>
        <v>714 - Ejecución Errónea de Modelos o de Sistemas</v>
      </c>
      <c r="AA226" s="59" t="str">
        <f>+VLOOKUP(Tabla15[[#This Row],[N° 
Evento]],'Eventos de riesgos'!$B$1:$AA$87,23,0)</f>
        <v>Indisponibilidad de canales digitales</v>
      </c>
      <c r="AB226" s="54" t="str">
        <f>VLOOKUP(Tabla15[[#This Row],[N° 
Evento]],'Eventos de riesgos'!B:O,14,0)</f>
        <v>Ninguna</v>
      </c>
      <c r="AC226" s="60">
        <f>VLOOKUP(Tabla15[[#This Row],[N° 
Evento]],'Eventos de riesgos'!B:P,15,0)</f>
        <v>45716.531944444447</v>
      </c>
      <c r="AD226" s="54" t="str">
        <f>VLOOKUP(Tabla15[[#This Row],[N° 
Evento]],'Eventos de riesgos'!B:Q,16,0)</f>
        <v>Ninguno</v>
      </c>
      <c r="AE226" s="54" t="str">
        <f>VLOOKUP(Tabla15[[#This Row],[N° 
Evento]],'Eventos de riesgos'!B:R,17,0)</f>
        <v>Cooperativa Digital / Aplicación móvil (App Febor)</v>
      </c>
      <c r="AF226" s="56" t="str">
        <f>VLOOKUP(Tabla15[[#This Row],[N° 
Evento]],'Eventos de riesgos'!B:V,21,0)</f>
        <v>Aprobado</v>
      </c>
      <c r="AG226" s="59" t="str">
        <f>VLOOKUP(Tabla15[[#This Row],[N° 
Evento]],'Eventos de riesgos'!B:W,22,0)</f>
        <v>25/02/2025 12:48:11: Creada
25/02/2025 14:23:58: Creada
01/04/2025 13:41:20: Actualizada.
01/04/2025 16:31:02: Actualización</v>
      </c>
    </row>
    <row r="227" spans="3:33" ht="59" customHeight="1" x14ac:dyDescent="0.55000000000000004">
      <c r="C227" s="54" t="str">
        <f>+Tabla15[[#This Row],[N° 
Evento]]&amp;"-"&amp;Tabla15[[#This Row],[N° Tarea]]</f>
        <v>74-1</v>
      </c>
      <c r="D227" s="54">
        <v>74</v>
      </c>
      <c r="E227" s="54">
        <v>1</v>
      </c>
      <c r="F227" s="55" t="s">
        <v>673</v>
      </c>
      <c r="G227" s="44" t="s">
        <v>1052</v>
      </c>
      <c r="H227" s="59" t="s">
        <v>760</v>
      </c>
      <c r="I227" s="56" t="s">
        <v>669</v>
      </c>
      <c r="J227" s="57">
        <v>45704</v>
      </c>
      <c r="K227" s="57">
        <v>45710</v>
      </c>
      <c r="L227" s="47" t="str">
        <f>IF(Tabla15[[#This Row],[Fecha de Finalización]]&gt;0,"Cerrada","En Proceso")</f>
        <v>Cerrada</v>
      </c>
      <c r="M227" s="58">
        <f t="shared" si="7"/>
        <v>6</v>
      </c>
      <c r="N227" s="59"/>
      <c r="O227" s="54">
        <f>VLOOKUP(Tabla15[[#This Row],[N° 
Evento]],'Eventos de riesgos'!B:C,2,0)</f>
        <v>2025</v>
      </c>
      <c r="P227" s="54" t="str">
        <f>VLOOKUP(Tabla15[[#This Row],[N° 
Evento]],'Eventos de riesgos'!B:D,3,0)</f>
        <v xml:space="preserve">Feb </v>
      </c>
      <c r="Q227" s="60">
        <f>VLOOKUP(Tabla15[[#This Row],[N° 
Evento]],'Eventos de riesgos'!B:E,4,0)</f>
        <v>45713.029861111114</v>
      </c>
      <c r="R227" s="60">
        <f>VLOOKUP(Tabla15[[#This Row],[N° 
Evento]],'Eventos de riesgos'!B:F,5,0)</f>
        <v>45713.029861111114</v>
      </c>
      <c r="S227" s="60">
        <f>VLOOKUP(Tabla15[[#This Row],[N° 
Evento]],'Eventos de riesgos'!B:G,6,0)</f>
        <v>45713.029861111114</v>
      </c>
      <c r="T227" s="63" t="str">
        <f>VLOOKUP(Tabla15[[#This Row],[N° 
Evento]],'Eventos de riesgos'!B:H,7,0)</f>
        <v xml:space="preserve">CasoEl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cambio.AccionesCorrectivasComunicación con los asociados, informando sobre la actualización de la aplicación y proporcionando instrucciones para la migración a la nueva App. Envío 2.979 asociados.(Dirección de SAS)Plan de Continuidad para reactivación de servicios y revisión de la puesta en marcha de la nueva App. Director TI - Jefe de operaciones)Establecimiento de un protocolo de comunicación interno adecuado para el manejo de estos procesos críticos asegurando que cualquier cambio tecnológico sea informado oportunamente al equipo comercial y demás áreas involucradas.(Director TI)PreventivasActivación de un plan de divulgación oportuna y precisa para asociados. (Dirección de SAS - Jefe de Comunicaciones)
</v>
      </c>
      <c r="U227" s="61">
        <f>VLOOKUP(Tabla15[[#This Row],[N° 
Evento]],'Eventos de riesgos'!B:I,8,0)</f>
        <v>0</v>
      </c>
      <c r="V227" s="61">
        <f>VLOOKUP(Tabla15[[#This Row],[N° 
Evento]],'Eventos de riesgos'!B:J,9,0)</f>
        <v>0</v>
      </c>
      <c r="W227" s="61">
        <f>VLOOKUP(Tabla15[[#This Row],[N° 
Evento]],'Eventos de riesgos'!B:K,10,0)</f>
        <v>0</v>
      </c>
      <c r="X227" s="59" t="str">
        <f>VLOOKUP(Tabla15[[#This Row],[N° 
Evento]],'Eventos de riesgos'!B:L,11,0)</f>
        <v>7 - Ejecución y Administración de Procesos</v>
      </c>
      <c r="Y227" s="59" t="str">
        <f>VLOOKUP(Tabla15[[#This Row],[N° 
Evento]],'Eventos de riesgos'!B:M,12,0)</f>
        <v>71 - Recepción, Ejecución y Mantenimiento de Operaciones</v>
      </c>
      <c r="Z227" s="59" t="str">
        <f>VLOOKUP(Tabla15[[#This Row],[N° 
Evento]],'Eventos de riesgos'!B:N,13,0)</f>
        <v>714 - Ejecución Errónea de Modelos o de Sistemas</v>
      </c>
      <c r="AA227" s="59" t="str">
        <f>+VLOOKUP(Tabla15[[#This Row],[N° 
Evento]],'Eventos de riesgos'!$B$1:$AA$87,23,0)</f>
        <v>Fallas en activación anticipada nueva App</v>
      </c>
      <c r="AB227" s="54" t="str">
        <f>VLOOKUP(Tabla15[[#This Row],[N° 
Evento]],'Eventos de riesgos'!B:O,14,0)</f>
        <v>Ninguna</v>
      </c>
      <c r="AC227" s="60">
        <f>VLOOKUP(Tabla15[[#This Row],[N° 
Evento]],'Eventos de riesgos'!B:P,15,0)</f>
        <v>45716.030555555553</v>
      </c>
      <c r="AD227" s="54" t="str">
        <f>VLOOKUP(Tabla15[[#This Row],[N° 
Evento]],'Eventos de riesgos'!B:Q,16,0)</f>
        <v>Ninguno</v>
      </c>
      <c r="AE227" s="54" t="str">
        <f>VLOOKUP(Tabla15[[#This Row],[N° 
Evento]],'Eventos de riesgos'!B:R,17,0)</f>
        <v>Aplicación móvil (App Febor)</v>
      </c>
      <c r="AF227" s="56" t="str">
        <f>VLOOKUP(Tabla15[[#This Row],[N° 
Evento]],'Eventos de riesgos'!B:V,21,0)</f>
        <v>Aprobado</v>
      </c>
      <c r="AG227" s="59" t="str">
        <f>VLOOKUP(Tabla15[[#This Row],[N° 
Evento]],'Eventos de riesgos'!B:W,22,0)</f>
        <v>26/02/2025 00:46:42: Creada
01/04/2025 14:08:08: Actualizado</v>
      </c>
    </row>
    <row r="228" spans="3:33" ht="59" customHeight="1" x14ac:dyDescent="0.55000000000000004">
      <c r="C228" s="54" t="str">
        <f>+Tabla15[[#This Row],[N° 
Evento]]&amp;"-"&amp;Tabla15[[#This Row],[N° Tarea]]</f>
        <v>74-2</v>
      </c>
      <c r="D228" s="54">
        <v>74</v>
      </c>
      <c r="E228" s="54">
        <v>2</v>
      </c>
      <c r="F228" s="55" t="s">
        <v>674</v>
      </c>
      <c r="G228" s="44" t="s">
        <v>1052</v>
      </c>
      <c r="H228" s="59" t="s">
        <v>781</v>
      </c>
      <c r="I228" s="59" t="s">
        <v>670</v>
      </c>
      <c r="J228" s="57">
        <v>45704</v>
      </c>
      <c r="K228" s="57">
        <v>45709</v>
      </c>
      <c r="L228" s="47" t="str">
        <f>IF(Tabla15[[#This Row],[Fecha de Finalización]]&gt;0,"Cerrada","En Proceso")</f>
        <v>Cerrada</v>
      </c>
      <c r="M228" s="58">
        <f t="shared" si="7"/>
        <v>5</v>
      </c>
      <c r="N228" s="59"/>
      <c r="O228" s="54">
        <f>VLOOKUP(Tabla15[[#This Row],[N° 
Evento]],'Eventos de riesgos'!B:C,2,0)</f>
        <v>2025</v>
      </c>
      <c r="P228" s="54" t="str">
        <f>VLOOKUP(Tabla15[[#This Row],[N° 
Evento]],'Eventos de riesgos'!B:D,3,0)</f>
        <v xml:space="preserve">Feb </v>
      </c>
      <c r="Q228" s="60">
        <f>VLOOKUP(Tabla15[[#This Row],[N° 
Evento]],'Eventos de riesgos'!B:E,4,0)</f>
        <v>45713.029861111114</v>
      </c>
      <c r="R228" s="60">
        <f>VLOOKUP(Tabla15[[#This Row],[N° 
Evento]],'Eventos de riesgos'!B:F,5,0)</f>
        <v>45713.029861111114</v>
      </c>
      <c r="S228" s="60">
        <f>VLOOKUP(Tabla15[[#This Row],[N° 
Evento]],'Eventos de riesgos'!B:G,6,0)</f>
        <v>45713.029861111114</v>
      </c>
      <c r="T228" s="63" t="str">
        <f>VLOOKUP(Tabla15[[#This Row],[N° 
Evento]],'Eventos de riesgos'!B:H,7,0)</f>
        <v xml:space="preserve">CasoEl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cambio.AccionesCorrectivasComunicación con los asociados, informando sobre la actualización de la aplicación y proporcionando instrucciones para la migración a la nueva App. Envío 2.979 asociados.(Dirección de SAS)Plan de Continuidad para reactivación de servicios y revisión de la puesta en marcha de la nueva App. Director TI - Jefe de operaciones)Establecimiento de un protocolo de comunicación interno adecuado para el manejo de estos procesos críticos asegurando que cualquier cambio tecnológico sea informado oportunamente al equipo comercial y demás áreas involucradas.(Director TI)PreventivasActivación de un plan de divulgación oportuna y precisa para asociados. (Dirección de SAS - Jefe de Comunicaciones)
</v>
      </c>
      <c r="U228" s="61">
        <f>VLOOKUP(Tabla15[[#This Row],[N° 
Evento]],'Eventos de riesgos'!B:I,8,0)</f>
        <v>0</v>
      </c>
      <c r="V228" s="61">
        <f>VLOOKUP(Tabla15[[#This Row],[N° 
Evento]],'Eventos de riesgos'!B:J,9,0)</f>
        <v>0</v>
      </c>
      <c r="W228" s="61">
        <f>VLOOKUP(Tabla15[[#This Row],[N° 
Evento]],'Eventos de riesgos'!B:K,10,0)</f>
        <v>0</v>
      </c>
      <c r="X228" s="59" t="str">
        <f>VLOOKUP(Tabla15[[#This Row],[N° 
Evento]],'Eventos de riesgos'!B:L,11,0)</f>
        <v>7 - Ejecución y Administración de Procesos</v>
      </c>
      <c r="Y228" s="59" t="str">
        <f>VLOOKUP(Tabla15[[#This Row],[N° 
Evento]],'Eventos de riesgos'!B:M,12,0)</f>
        <v>71 - Recepción, Ejecución y Mantenimiento de Operaciones</v>
      </c>
      <c r="Z228" s="59" t="str">
        <f>VLOOKUP(Tabla15[[#This Row],[N° 
Evento]],'Eventos de riesgos'!B:N,13,0)</f>
        <v>714 - Ejecución Errónea de Modelos o de Sistemas</v>
      </c>
      <c r="AA228" s="59" t="str">
        <f>+VLOOKUP(Tabla15[[#This Row],[N° 
Evento]],'Eventos de riesgos'!$B$1:$AA$87,23,0)</f>
        <v>Fallas en activación anticipada nueva App</v>
      </c>
      <c r="AB228" s="54" t="str">
        <f>VLOOKUP(Tabla15[[#This Row],[N° 
Evento]],'Eventos de riesgos'!B:O,14,0)</f>
        <v>Ninguna</v>
      </c>
      <c r="AC228" s="60">
        <f>VLOOKUP(Tabla15[[#This Row],[N° 
Evento]],'Eventos de riesgos'!B:P,15,0)</f>
        <v>45716.030555555553</v>
      </c>
      <c r="AD228" s="54" t="str">
        <f>VLOOKUP(Tabla15[[#This Row],[N° 
Evento]],'Eventos de riesgos'!B:Q,16,0)</f>
        <v>Ninguno</v>
      </c>
      <c r="AE228" s="54" t="str">
        <f>VLOOKUP(Tabla15[[#This Row],[N° 
Evento]],'Eventos de riesgos'!B:R,17,0)</f>
        <v>Aplicación móvil (App Febor)</v>
      </c>
      <c r="AF228" s="56" t="str">
        <f>VLOOKUP(Tabla15[[#This Row],[N° 
Evento]],'Eventos de riesgos'!B:V,21,0)</f>
        <v>Aprobado</v>
      </c>
      <c r="AG228" s="59" t="str">
        <f>VLOOKUP(Tabla15[[#This Row],[N° 
Evento]],'Eventos de riesgos'!B:W,22,0)</f>
        <v>26/02/2025 00:46:42: Creada
01/04/2025 14:08:08: Actualizado</v>
      </c>
    </row>
    <row r="229" spans="3:33" ht="59" customHeight="1" x14ac:dyDescent="0.55000000000000004">
      <c r="C229" s="54" t="str">
        <f>+Tabla15[[#This Row],[N° 
Evento]]&amp;"-"&amp;Tabla15[[#This Row],[N° Tarea]]</f>
        <v>74-3</v>
      </c>
      <c r="D229" s="54">
        <v>74</v>
      </c>
      <c r="E229" s="54">
        <v>3</v>
      </c>
      <c r="F229" s="55" t="s">
        <v>675</v>
      </c>
      <c r="G229" s="44" t="s">
        <v>1053</v>
      </c>
      <c r="H229" s="59" t="s">
        <v>771</v>
      </c>
      <c r="I229" s="59" t="s">
        <v>670</v>
      </c>
      <c r="J229" s="57">
        <v>45704</v>
      </c>
      <c r="K229" s="57">
        <v>45726</v>
      </c>
      <c r="L229" s="47" t="str">
        <f>IF(Tabla15[[#This Row],[Fecha de Finalización]]&gt;0,"Cerrada","En Proceso")</f>
        <v>Cerrada</v>
      </c>
      <c r="M229" s="58">
        <f t="shared" si="7"/>
        <v>22</v>
      </c>
      <c r="N229" s="59" t="s">
        <v>672</v>
      </c>
      <c r="O229" s="54">
        <f>VLOOKUP(Tabla15[[#This Row],[N° 
Evento]],'Eventos de riesgos'!B:C,2,0)</f>
        <v>2025</v>
      </c>
      <c r="P229" s="54" t="str">
        <f>VLOOKUP(Tabla15[[#This Row],[N° 
Evento]],'Eventos de riesgos'!B:D,3,0)</f>
        <v xml:space="preserve">Feb </v>
      </c>
      <c r="Q229" s="60">
        <f>VLOOKUP(Tabla15[[#This Row],[N° 
Evento]],'Eventos de riesgos'!B:E,4,0)</f>
        <v>45713.029861111114</v>
      </c>
      <c r="R229" s="60">
        <f>VLOOKUP(Tabla15[[#This Row],[N° 
Evento]],'Eventos de riesgos'!B:F,5,0)</f>
        <v>45713.029861111114</v>
      </c>
      <c r="S229" s="60">
        <f>VLOOKUP(Tabla15[[#This Row],[N° 
Evento]],'Eventos de riesgos'!B:G,6,0)</f>
        <v>45713.029861111114</v>
      </c>
      <c r="T229" s="63" t="str">
        <f>VLOOKUP(Tabla15[[#This Row],[N° 
Evento]],'Eventos de riesgos'!B:H,7,0)</f>
        <v xml:space="preserve">CasoEl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cambio.AccionesCorrectivasComunicación con los asociados, informando sobre la actualización de la aplicación y proporcionando instrucciones para la migración a la nueva App. Envío 2.979 asociados.(Dirección de SAS)Plan de Continuidad para reactivación de servicios y revisión de la puesta en marcha de la nueva App. Director TI - Jefe de operaciones)Establecimiento de un protocolo de comunicación interno adecuado para el manejo de estos procesos críticos asegurando que cualquier cambio tecnológico sea informado oportunamente al equipo comercial y demás áreas involucradas.(Director TI)PreventivasActivación de un plan de divulgación oportuna y precisa para asociados. (Dirección de SAS - Jefe de Comunicaciones)
</v>
      </c>
      <c r="U229" s="61">
        <f>VLOOKUP(Tabla15[[#This Row],[N° 
Evento]],'Eventos de riesgos'!B:I,8,0)</f>
        <v>0</v>
      </c>
      <c r="V229" s="61">
        <f>VLOOKUP(Tabla15[[#This Row],[N° 
Evento]],'Eventos de riesgos'!B:J,9,0)</f>
        <v>0</v>
      </c>
      <c r="W229" s="61">
        <f>VLOOKUP(Tabla15[[#This Row],[N° 
Evento]],'Eventos de riesgos'!B:K,10,0)</f>
        <v>0</v>
      </c>
      <c r="X229" s="59" t="str">
        <f>VLOOKUP(Tabla15[[#This Row],[N° 
Evento]],'Eventos de riesgos'!B:L,11,0)</f>
        <v>7 - Ejecución y Administración de Procesos</v>
      </c>
      <c r="Y229" s="59" t="str">
        <f>VLOOKUP(Tabla15[[#This Row],[N° 
Evento]],'Eventos de riesgos'!B:M,12,0)</f>
        <v>71 - Recepción, Ejecución y Mantenimiento de Operaciones</v>
      </c>
      <c r="Z229" s="59" t="str">
        <f>VLOOKUP(Tabla15[[#This Row],[N° 
Evento]],'Eventos de riesgos'!B:N,13,0)</f>
        <v>714 - Ejecución Errónea de Modelos o de Sistemas</v>
      </c>
      <c r="AA229" s="59" t="str">
        <f>+VLOOKUP(Tabla15[[#This Row],[N° 
Evento]],'Eventos de riesgos'!$B$1:$AA$87,23,0)</f>
        <v>Fallas en activación anticipada nueva App</v>
      </c>
      <c r="AB229" s="54" t="str">
        <f>VLOOKUP(Tabla15[[#This Row],[N° 
Evento]],'Eventos de riesgos'!B:O,14,0)</f>
        <v>Ninguna</v>
      </c>
      <c r="AC229" s="60">
        <f>VLOOKUP(Tabla15[[#This Row],[N° 
Evento]],'Eventos de riesgos'!B:P,15,0)</f>
        <v>45716.030555555553</v>
      </c>
      <c r="AD229" s="54" t="str">
        <f>VLOOKUP(Tabla15[[#This Row],[N° 
Evento]],'Eventos de riesgos'!B:Q,16,0)</f>
        <v>Ninguno</v>
      </c>
      <c r="AE229" s="54" t="str">
        <f>VLOOKUP(Tabla15[[#This Row],[N° 
Evento]],'Eventos de riesgos'!B:R,17,0)</f>
        <v>Aplicación móvil (App Febor)</v>
      </c>
      <c r="AF229" s="56" t="str">
        <f>VLOOKUP(Tabla15[[#This Row],[N° 
Evento]],'Eventos de riesgos'!B:V,21,0)</f>
        <v>Aprobado</v>
      </c>
      <c r="AG229" s="59" t="str">
        <f>VLOOKUP(Tabla15[[#This Row],[N° 
Evento]],'Eventos de riesgos'!B:W,22,0)</f>
        <v>26/02/2025 00:46:42: Creada
01/04/2025 14:08:08: Actualizado</v>
      </c>
    </row>
    <row r="230" spans="3:33" ht="59" customHeight="1" x14ac:dyDescent="0.55000000000000004">
      <c r="C230" s="54" t="str">
        <f>+Tabla15[[#This Row],[N° 
Evento]]&amp;"-"&amp;Tabla15[[#This Row],[N° Tarea]]</f>
        <v>74-4</v>
      </c>
      <c r="D230" s="54">
        <v>74</v>
      </c>
      <c r="E230" s="54">
        <v>4</v>
      </c>
      <c r="F230" s="55" t="s">
        <v>676</v>
      </c>
      <c r="G230" s="44" t="s">
        <v>1053</v>
      </c>
      <c r="H230" s="59" t="s">
        <v>764</v>
      </c>
      <c r="I230" s="59" t="s">
        <v>923</v>
      </c>
      <c r="J230" s="57">
        <v>45704</v>
      </c>
      <c r="K230" s="57">
        <v>45726</v>
      </c>
      <c r="L230" s="47" t="str">
        <f>IF(Tabla15[[#This Row],[Fecha de Finalización]]&gt;0,"Cerrada","En Proceso")</f>
        <v>Cerrada</v>
      </c>
      <c r="M230" s="58">
        <f>+K230-J230</f>
        <v>22</v>
      </c>
      <c r="N230" s="59" t="s">
        <v>924</v>
      </c>
      <c r="O230" s="54">
        <f>VLOOKUP(Tabla15[[#This Row],[N° 
Evento]],'Eventos de riesgos'!B:C,2,0)</f>
        <v>2025</v>
      </c>
      <c r="P230" s="54" t="str">
        <f>VLOOKUP(Tabla15[[#This Row],[N° 
Evento]],'Eventos de riesgos'!B:D,3,0)</f>
        <v xml:space="preserve">Feb </v>
      </c>
      <c r="Q230" s="60">
        <f>VLOOKUP(Tabla15[[#This Row],[N° 
Evento]],'Eventos de riesgos'!B:E,4,0)</f>
        <v>45713.029861111114</v>
      </c>
      <c r="R230" s="60">
        <f>VLOOKUP(Tabla15[[#This Row],[N° 
Evento]],'Eventos de riesgos'!B:F,5,0)</f>
        <v>45713.029861111114</v>
      </c>
      <c r="S230" s="60">
        <f>VLOOKUP(Tabla15[[#This Row],[N° 
Evento]],'Eventos de riesgos'!B:G,6,0)</f>
        <v>45713.029861111114</v>
      </c>
      <c r="T230" s="63" t="str">
        <f>VLOOKUP(Tabla15[[#This Row],[N° 
Evento]],'Eventos de riesgos'!B:H,7,0)</f>
        <v xml:space="preserve">CasoEl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cambio.AccionesCorrectivasComunicación con los asociados, informando sobre la actualización de la aplicación y proporcionando instrucciones para la migración a la nueva App. Envío 2.979 asociados.(Dirección de SAS)Plan de Continuidad para reactivación de servicios y revisión de la puesta en marcha de la nueva App. Director TI - Jefe de operaciones)Establecimiento de un protocolo de comunicación interno adecuado para el manejo de estos procesos críticos asegurando que cualquier cambio tecnológico sea informado oportunamente al equipo comercial y demás áreas involucradas.(Director TI)PreventivasActivación de un plan de divulgación oportuna y precisa para asociados. (Dirección de SAS - Jefe de Comunicaciones)
</v>
      </c>
      <c r="U230" s="61">
        <f>VLOOKUP(Tabla15[[#This Row],[N° 
Evento]],'Eventos de riesgos'!B:I,8,0)</f>
        <v>0</v>
      </c>
      <c r="V230" s="61">
        <f>VLOOKUP(Tabla15[[#This Row],[N° 
Evento]],'Eventos de riesgos'!B:J,9,0)</f>
        <v>0</v>
      </c>
      <c r="W230" s="61">
        <f>VLOOKUP(Tabla15[[#This Row],[N° 
Evento]],'Eventos de riesgos'!B:K,10,0)</f>
        <v>0</v>
      </c>
      <c r="X230" s="59" t="str">
        <f>VLOOKUP(Tabla15[[#This Row],[N° 
Evento]],'Eventos de riesgos'!B:L,11,0)</f>
        <v>7 - Ejecución y Administración de Procesos</v>
      </c>
      <c r="Y230" s="59" t="str">
        <f>VLOOKUP(Tabla15[[#This Row],[N° 
Evento]],'Eventos de riesgos'!B:M,12,0)</f>
        <v>71 - Recepción, Ejecución y Mantenimiento de Operaciones</v>
      </c>
      <c r="Z230" s="59" t="str">
        <f>VLOOKUP(Tabla15[[#This Row],[N° 
Evento]],'Eventos de riesgos'!B:N,13,0)</f>
        <v>714 - Ejecución Errónea de Modelos o de Sistemas</v>
      </c>
      <c r="AA230" s="59" t="str">
        <f>+VLOOKUP(Tabla15[[#This Row],[N° 
Evento]],'Eventos de riesgos'!$B$1:$AA$87,23,0)</f>
        <v>Fallas en activación anticipada nueva App</v>
      </c>
      <c r="AB230" s="54" t="str">
        <f>VLOOKUP(Tabla15[[#This Row],[N° 
Evento]],'Eventos de riesgos'!B:O,14,0)</f>
        <v>Ninguna</v>
      </c>
      <c r="AC230" s="60">
        <f>VLOOKUP(Tabla15[[#This Row],[N° 
Evento]],'Eventos de riesgos'!B:P,15,0)</f>
        <v>45716.030555555553</v>
      </c>
      <c r="AD230" s="54" t="str">
        <f>VLOOKUP(Tabla15[[#This Row],[N° 
Evento]],'Eventos de riesgos'!B:Q,16,0)</f>
        <v>Ninguno</v>
      </c>
      <c r="AE230" s="54" t="str">
        <f>VLOOKUP(Tabla15[[#This Row],[N° 
Evento]],'Eventos de riesgos'!B:R,17,0)</f>
        <v>Aplicación móvil (App Febor)</v>
      </c>
      <c r="AF230" s="56" t="str">
        <f>VLOOKUP(Tabla15[[#This Row],[N° 
Evento]],'Eventos de riesgos'!B:V,21,0)</f>
        <v>Aprobado</v>
      </c>
      <c r="AG230" s="59" t="str">
        <f>VLOOKUP(Tabla15[[#This Row],[N° 
Evento]],'Eventos de riesgos'!B:W,22,0)</f>
        <v>26/02/2025 00:46:42: Creada
01/04/2025 14:08:08: Actualizado</v>
      </c>
    </row>
    <row r="231" spans="3:33" ht="59" customHeight="1" x14ac:dyDescent="0.55000000000000004">
      <c r="C231" s="54" t="str">
        <f>+Tabla15[[#This Row],[N° 
Evento]]&amp;"-"&amp;Tabla15[[#This Row],[N° Tarea]]</f>
        <v>75-1</v>
      </c>
      <c r="D231" s="54">
        <v>75</v>
      </c>
      <c r="E231" s="54">
        <v>1</v>
      </c>
      <c r="F231" s="55" t="s">
        <v>677</v>
      </c>
      <c r="G231" s="44" t="s">
        <v>1052</v>
      </c>
      <c r="H231" s="59" t="s">
        <v>765</v>
      </c>
      <c r="I231" s="56" t="s">
        <v>259</v>
      </c>
      <c r="J231" s="57">
        <v>45714</v>
      </c>
      <c r="K231" s="57">
        <v>45714</v>
      </c>
      <c r="L231" s="47" t="str">
        <f>IF(Tabla15[[#This Row],[Fecha de Finalización]]&gt;0,"Cerrada","En Proceso")</f>
        <v>Cerrada</v>
      </c>
      <c r="M231" s="58">
        <f t="shared" si="7"/>
        <v>0</v>
      </c>
      <c r="N231" s="59"/>
      <c r="O231" s="54">
        <f>VLOOKUP(Tabla15[[#This Row],[N° 
Evento]],'Eventos de riesgos'!B:C,2,0)</f>
        <v>2025</v>
      </c>
      <c r="P231" s="54" t="str">
        <f>VLOOKUP(Tabla15[[#This Row],[N° 
Evento]],'Eventos de riesgos'!B:D,3,0)</f>
        <v xml:space="preserve">Feb </v>
      </c>
      <c r="Q231" s="60">
        <f>VLOOKUP(Tabla15[[#This Row],[N° 
Evento]],'Eventos de riesgos'!B:E,4,0)</f>
        <v>45742.487500000003</v>
      </c>
      <c r="R231" s="60">
        <f>VLOOKUP(Tabla15[[#This Row],[N° 
Evento]],'Eventos de riesgos'!B:F,5,0)</f>
        <v>45742.488194444442</v>
      </c>
      <c r="S231" s="60">
        <f>VLOOKUP(Tabla15[[#This Row],[N° 
Evento]],'Eventos de riesgos'!B:G,6,0)</f>
        <v>45742.488194444442</v>
      </c>
      <c r="T231" s="63" t="str">
        <f>VLOOKUP(Tabla15[[#This Row],[N° 
Evento]],'Eventos de riesgos'!B:H,7,0)</f>
        <v>CasoEl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decimalesCausaError humano en la digitación del monto, ya que se ingresó en un formato incorrecto al permitido en la plataforma AvalPayCenter.ImpactoImpacto financiero: Se generó un pago por un valor mucho mayor al debido, lo que pudo afectar la liquidez inmediata para generar otros pagos por parte de la Cooperativa.Impacto operativo: Fue necesario gestionar la reversión del pago con la entidad bancaria, lo que implicó trámites adicionales y posibles demoras en la corrección del saldo y reembolso del dinero.AccionesReporte inmediato al área de tesorería para solicitar apoyo sobre la reversión requerida.(Directora de Riesgos)Se contactó inmediatamente al Banco Occidente para solicitar la reversión del pago. Asimismo al Banco Coopcentral para intentar interrumpir la operación realizada. (Tesorería - Dir Riesgos)Acciones PreventivasRevisión interna del procedimiento para identificar mejoras que eviten errores similares en futuras transacciones. Como parte de las propuestas, se plantea la estandarización del desembolso en valores enteros, reduciendo la necesidad de ingreso manual de decimales. (Directora Riesgos - Tesorería)Explorar y evaluar otras alternativas de pagos o giros seguros para los asociados. (tesorería)</v>
      </c>
      <c r="U231" s="61">
        <f>VLOOKUP(Tabla15[[#This Row],[N° 
Evento]],'Eventos de riesgos'!B:I,8,0)</f>
        <v>0</v>
      </c>
      <c r="V231" s="61">
        <f>VLOOKUP(Tabla15[[#This Row],[N° 
Evento]],'Eventos de riesgos'!B:J,9,0)</f>
        <v>0</v>
      </c>
      <c r="W231" s="61">
        <f>VLOOKUP(Tabla15[[#This Row],[N° 
Evento]],'Eventos de riesgos'!B:K,10,0)</f>
        <v>0</v>
      </c>
      <c r="X231" s="59" t="str">
        <f>VLOOKUP(Tabla15[[#This Row],[N° 
Evento]],'Eventos de riesgos'!B:L,11,0)</f>
        <v>7 - Ejecución y Administración de Procesos</v>
      </c>
      <c r="Y231" s="59" t="str">
        <f>VLOOKUP(Tabla15[[#This Row],[N° 
Evento]],'Eventos de riesgos'!B:M,12,0)</f>
        <v>71 - Recepción, Ejecución y Mantenimiento de Operaciones</v>
      </c>
      <c r="Z231" s="59" t="str">
        <f>VLOOKUP(Tabla15[[#This Row],[N° 
Evento]],'Eventos de riesgos'!B:N,13,0)</f>
        <v>712 - Errores en Digitación de Datos, Mantenimiento o Descarga</v>
      </c>
      <c r="AA231" s="59" t="str">
        <f>+VLOOKUP(Tabla15[[#This Row],[N° 
Evento]],'Eventos de riesgos'!$B$1:$AA$87,23,0)</f>
        <v>Error en pago de compra de cartera  de asociados mediante PSE</v>
      </c>
      <c r="AB231" s="54" t="str">
        <f>VLOOKUP(Tabla15[[#This Row],[N° 
Evento]],'Eventos de riesgos'!B:O,14,0)</f>
        <v>Ninguna</v>
      </c>
      <c r="AC231" s="60">
        <f>VLOOKUP(Tabla15[[#This Row],[N° 
Evento]],'Eventos de riesgos'!B:P,15,0)</f>
        <v>45716.486805555556</v>
      </c>
      <c r="AD231" s="54" t="str">
        <f>VLOOKUP(Tabla15[[#This Row],[N° 
Evento]],'Eventos de riesgos'!B:Q,16,0)</f>
        <v>Tarjeta crédito</v>
      </c>
      <c r="AE231" s="54" t="str">
        <f>VLOOKUP(Tabla15[[#This Row],[N° 
Evento]],'Eventos de riesgos'!B:R,17,0)</f>
        <v>Ninguno</v>
      </c>
      <c r="AF231" s="56" t="str">
        <f>VLOOKUP(Tabla15[[#This Row],[N° 
Evento]],'Eventos de riesgos'!B:V,21,0)</f>
        <v>Aprobado</v>
      </c>
      <c r="AG231" s="59" t="str">
        <f>VLOOKUP(Tabla15[[#This Row],[N° 
Evento]],'Eventos de riesgos'!B:W,22,0)</f>
        <v>04/03/2025 11:43:09: Creada
07/03/2025 17:12:06: Actualizado
01/04/2025 16:54:33: Actualización</v>
      </c>
    </row>
    <row r="232" spans="3:33" ht="59" customHeight="1" x14ac:dyDescent="0.55000000000000004">
      <c r="C232" s="54" t="str">
        <f>+Tabla15[[#This Row],[N° 
Evento]]&amp;"-"&amp;Tabla15[[#This Row],[N° Tarea]]</f>
        <v>75-2</v>
      </c>
      <c r="D232" s="54">
        <v>75</v>
      </c>
      <c r="E232" s="54">
        <v>2</v>
      </c>
      <c r="F232" s="55" t="s">
        <v>678</v>
      </c>
      <c r="G232" s="44" t="s">
        <v>1052</v>
      </c>
      <c r="H232" s="59" t="s">
        <v>261</v>
      </c>
      <c r="I232" s="56" t="s">
        <v>714</v>
      </c>
      <c r="J232" s="57">
        <v>45714</v>
      </c>
      <c r="K232" s="57">
        <v>45714</v>
      </c>
      <c r="L232" s="47" t="str">
        <f>IF(Tabla15[[#This Row],[Fecha de Finalización]]&gt;0,"Cerrada","En Proceso")</f>
        <v>Cerrada</v>
      </c>
      <c r="M232" s="58">
        <f t="shared" si="7"/>
        <v>0</v>
      </c>
      <c r="N232" s="59"/>
      <c r="O232" s="54">
        <f>VLOOKUP(Tabla15[[#This Row],[N° 
Evento]],'Eventos de riesgos'!B:C,2,0)</f>
        <v>2025</v>
      </c>
      <c r="P232" s="54" t="str">
        <f>VLOOKUP(Tabla15[[#This Row],[N° 
Evento]],'Eventos de riesgos'!B:D,3,0)</f>
        <v xml:space="preserve">Feb </v>
      </c>
      <c r="Q232" s="60">
        <f>VLOOKUP(Tabla15[[#This Row],[N° 
Evento]],'Eventos de riesgos'!B:E,4,0)</f>
        <v>45742.487500000003</v>
      </c>
      <c r="R232" s="60">
        <f>VLOOKUP(Tabla15[[#This Row],[N° 
Evento]],'Eventos de riesgos'!B:F,5,0)</f>
        <v>45742.488194444442</v>
      </c>
      <c r="S232" s="60">
        <f>VLOOKUP(Tabla15[[#This Row],[N° 
Evento]],'Eventos de riesgos'!B:G,6,0)</f>
        <v>45742.488194444442</v>
      </c>
      <c r="T232" s="63" t="str">
        <f>VLOOKUP(Tabla15[[#This Row],[N° 
Evento]],'Eventos de riesgos'!B:H,7,0)</f>
        <v>CasoEl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decimalesCausaError humano en la digitación del monto, ya que se ingresó en un formato incorrecto al permitido en la plataforma AvalPayCenter.ImpactoImpacto financiero: Se generó un pago por un valor mucho mayor al debido, lo que pudo afectar la liquidez inmediata para generar otros pagos por parte de la Cooperativa.Impacto operativo: Fue necesario gestionar la reversión del pago con la entidad bancaria, lo que implicó trámites adicionales y posibles demoras en la corrección del saldo y reembolso del dinero.AccionesReporte inmediato al área de tesorería para solicitar apoyo sobre la reversión requerida.(Directora de Riesgos)Se contactó inmediatamente al Banco Occidente para solicitar la reversión del pago. Asimismo al Banco Coopcentral para intentar interrumpir la operación realizada. (Tesorería - Dir Riesgos)Acciones PreventivasRevisión interna del procedimiento para identificar mejoras que eviten errores similares en futuras transacciones. Como parte de las propuestas, se plantea la estandarización del desembolso en valores enteros, reduciendo la necesidad de ingreso manual de decimales. (Directora Riesgos - Tesorería)Explorar y evaluar otras alternativas de pagos o giros seguros para los asociados. (tesorería)</v>
      </c>
      <c r="U232" s="61">
        <f>VLOOKUP(Tabla15[[#This Row],[N° 
Evento]],'Eventos de riesgos'!B:I,8,0)</f>
        <v>0</v>
      </c>
      <c r="V232" s="61">
        <f>VLOOKUP(Tabla15[[#This Row],[N° 
Evento]],'Eventos de riesgos'!B:J,9,0)</f>
        <v>0</v>
      </c>
      <c r="W232" s="61">
        <f>VLOOKUP(Tabla15[[#This Row],[N° 
Evento]],'Eventos de riesgos'!B:K,10,0)</f>
        <v>0</v>
      </c>
      <c r="X232" s="59" t="str">
        <f>VLOOKUP(Tabla15[[#This Row],[N° 
Evento]],'Eventos de riesgos'!B:L,11,0)</f>
        <v>7 - Ejecución y Administración de Procesos</v>
      </c>
      <c r="Y232" s="59" t="str">
        <f>VLOOKUP(Tabla15[[#This Row],[N° 
Evento]],'Eventos de riesgos'!B:M,12,0)</f>
        <v>71 - Recepción, Ejecución y Mantenimiento de Operaciones</v>
      </c>
      <c r="Z232" s="59" t="str">
        <f>VLOOKUP(Tabla15[[#This Row],[N° 
Evento]],'Eventos de riesgos'!B:N,13,0)</f>
        <v>712 - Errores en Digitación de Datos, Mantenimiento o Descarga</v>
      </c>
      <c r="AA232" s="59" t="str">
        <f>+VLOOKUP(Tabla15[[#This Row],[N° 
Evento]],'Eventos de riesgos'!$B$1:$AA$87,23,0)</f>
        <v>Error en pago de compra de cartera  de asociados mediante PSE</v>
      </c>
      <c r="AB232" s="54" t="str">
        <f>VLOOKUP(Tabla15[[#This Row],[N° 
Evento]],'Eventos de riesgos'!B:O,14,0)</f>
        <v>Ninguna</v>
      </c>
      <c r="AC232" s="60">
        <f>VLOOKUP(Tabla15[[#This Row],[N° 
Evento]],'Eventos de riesgos'!B:P,15,0)</f>
        <v>45716.486805555556</v>
      </c>
      <c r="AD232" s="54" t="str">
        <f>VLOOKUP(Tabla15[[#This Row],[N° 
Evento]],'Eventos de riesgos'!B:Q,16,0)</f>
        <v>Tarjeta crédito</v>
      </c>
      <c r="AE232" s="54" t="str">
        <f>VLOOKUP(Tabla15[[#This Row],[N° 
Evento]],'Eventos de riesgos'!B:R,17,0)</f>
        <v>Ninguno</v>
      </c>
      <c r="AF232" s="56" t="str">
        <f>VLOOKUP(Tabla15[[#This Row],[N° 
Evento]],'Eventos de riesgos'!B:V,21,0)</f>
        <v>Aprobado</v>
      </c>
      <c r="AG232" s="59" t="str">
        <f>VLOOKUP(Tabla15[[#This Row],[N° 
Evento]],'Eventos de riesgos'!B:W,22,0)</f>
        <v>04/03/2025 11:43:09: Creada
07/03/2025 17:12:06: Actualizado
01/04/2025 16:54:33: Actualización</v>
      </c>
    </row>
    <row r="233" spans="3:33" ht="59" customHeight="1" x14ac:dyDescent="0.55000000000000004">
      <c r="C233" s="54" t="str">
        <f>+Tabla15[[#This Row],[N° 
Evento]]&amp;"-"&amp;Tabla15[[#This Row],[N° Tarea]]</f>
        <v>75-3</v>
      </c>
      <c r="D233" s="54">
        <v>75</v>
      </c>
      <c r="E233" s="54">
        <v>3</v>
      </c>
      <c r="F233" s="55" t="s">
        <v>679</v>
      </c>
      <c r="G233" s="44" t="s">
        <v>1052</v>
      </c>
      <c r="H233" s="59" t="s">
        <v>682</v>
      </c>
      <c r="I233" s="59" t="s">
        <v>925</v>
      </c>
      <c r="J233" s="57">
        <v>45714</v>
      </c>
      <c r="K233" s="57">
        <v>45715</v>
      </c>
      <c r="L233" s="47" t="str">
        <f>IF(Tabla15[[#This Row],[Fecha de Finalización]]&gt;0,"Cerrada","En Proceso")</f>
        <v>Cerrada</v>
      </c>
      <c r="M233" s="58">
        <f t="shared" si="7"/>
        <v>1</v>
      </c>
      <c r="N233" s="59"/>
      <c r="O233" s="54">
        <f>VLOOKUP(Tabla15[[#This Row],[N° 
Evento]],'Eventos de riesgos'!B:C,2,0)</f>
        <v>2025</v>
      </c>
      <c r="P233" s="54" t="str">
        <f>VLOOKUP(Tabla15[[#This Row],[N° 
Evento]],'Eventos de riesgos'!B:D,3,0)</f>
        <v xml:space="preserve">Feb </v>
      </c>
      <c r="Q233" s="60">
        <f>VLOOKUP(Tabla15[[#This Row],[N° 
Evento]],'Eventos de riesgos'!B:E,4,0)</f>
        <v>45742.487500000003</v>
      </c>
      <c r="R233" s="60">
        <f>VLOOKUP(Tabla15[[#This Row],[N° 
Evento]],'Eventos de riesgos'!B:F,5,0)</f>
        <v>45742.488194444442</v>
      </c>
      <c r="S233" s="60">
        <f>VLOOKUP(Tabla15[[#This Row],[N° 
Evento]],'Eventos de riesgos'!B:G,6,0)</f>
        <v>45742.488194444442</v>
      </c>
      <c r="T233" s="63" t="str">
        <f>VLOOKUP(Tabla15[[#This Row],[N° 
Evento]],'Eventos de riesgos'!B:H,7,0)</f>
        <v>CasoEl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decimalesCausaError humano en la digitación del monto, ya que se ingresó en un formato incorrecto al permitido en la plataforma AvalPayCenter.ImpactoImpacto financiero: Se generó un pago por un valor mucho mayor al debido, lo que pudo afectar la liquidez inmediata para generar otros pagos por parte de la Cooperativa.Impacto operativo: Fue necesario gestionar la reversión del pago con la entidad bancaria, lo que implicó trámites adicionales y posibles demoras en la corrección del saldo y reembolso del dinero.AccionesReporte inmediato al área de tesorería para solicitar apoyo sobre la reversión requerida.(Directora de Riesgos)Se contactó inmediatamente al Banco Occidente para solicitar la reversión del pago. Asimismo al Banco Coopcentral para intentar interrumpir la operación realizada. (Tesorería - Dir Riesgos)Acciones PreventivasRevisión interna del procedimiento para identificar mejoras que eviten errores similares en futuras transacciones. Como parte de las propuestas, se plantea la estandarización del desembolso en valores enteros, reduciendo la necesidad de ingreso manual de decimales. (Directora Riesgos - Tesorería)Explorar y evaluar otras alternativas de pagos o giros seguros para los asociados. (tesorería)</v>
      </c>
      <c r="U233" s="61">
        <f>VLOOKUP(Tabla15[[#This Row],[N° 
Evento]],'Eventos de riesgos'!B:I,8,0)</f>
        <v>0</v>
      </c>
      <c r="V233" s="61">
        <f>VLOOKUP(Tabla15[[#This Row],[N° 
Evento]],'Eventos de riesgos'!B:J,9,0)</f>
        <v>0</v>
      </c>
      <c r="W233" s="61">
        <f>VLOOKUP(Tabla15[[#This Row],[N° 
Evento]],'Eventos de riesgos'!B:K,10,0)</f>
        <v>0</v>
      </c>
      <c r="X233" s="59" t="str">
        <f>VLOOKUP(Tabla15[[#This Row],[N° 
Evento]],'Eventos de riesgos'!B:L,11,0)</f>
        <v>7 - Ejecución y Administración de Procesos</v>
      </c>
      <c r="Y233" s="59" t="str">
        <f>VLOOKUP(Tabla15[[#This Row],[N° 
Evento]],'Eventos de riesgos'!B:M,12,0)</f>
        <v>71 - Recepción, Ejecución y Mantenimiento de Operaciones</v>
      </c>
      <c r="Z233" s="59" t="str">
        <f>VLOOKUP(Tabla15[[#This Row],[N° 
Evento]],'Eventos de riesgos'!B:N,13,0)</f>
        <v>712 - Errores en Digitación de Datos, Mantenimiento o Descarga</v>
      </c>
      <c r="AA233" s="59" t="str">
        <f>+VLOOKUP(Tabla15[[#This Row],[N° 
Evento]],'Eventos de riesgos'!$B$1:$AA$87,23,0)</f>
        <v>Error en pago de compra de cartera  de asociados mediante PSE</v>
      </c>
      <c r="AB233" s="54" t="str">
        <f>VLOOKUP(Tabla15[[#This Row],[N° 
Evento]],'Eventos de riesgos'!B:O,14,0)</f>
        <v>Ninguna</v>
      </c>
      <c r="AC233" s="60">
        <f>VLOOKUP(Tabla15[[#This Row],[N° 
Evento]],'Eventos de riesgos'!B:P,15,0)</f>
        <v>45716.486805555556</v>
      </c>
      <c r="AD233" s="54" t="str">
        <f>VLOOKUP(Tabla15[[#This Row],[N° 
Evento]],'Eventos de riesgos'!B:Q,16,0)</f>
        <v>Tarjeta crédito</v>
      </c>
      <c r="AE233" s="54" t="str">
        <f>VLOOKUP(Tabla15[[#This Row],[N° 
Evento]],'Eventos de riesgos'!B:R,17,0)</f>
        <v>Ninguno</v>
      </c>
      <c r="AF233" s="56" t="str">
        <f>VLOOKUP(Tabla15[[#This Row],[N° 
Evento]],'Eventos de riesgos'!B:V,21,0)</f>
        <v>Aprobado</v>
      </c>
      <c r="AG233" s="59" t="str">
        <f>VLOOKUP(Tabla15[[#This Row],[N° 
Evento]],'Eventos de riesgos'!B:W,22,0)</f>
        <v>04/03/2025 11:43:09: Creada
07/03/2025 17:12:06: Actualizado
01/04/2025 16:54:33: Actualización</v>
      </c>
    </row>
    <row r="234" spans="3:33" ht="59" customHeight="1" x14ac:dyDescent="0.55000000000000004">
      <c r="C234" s="54" t="str">
        <f>+Tabla15[[#This Row],[N° 
Evento]]&amp;"-"&amp;Tabla15[[#This Row],[N° Tarea]]</f>
        <v>75-4</v>
      </c>
      <c r="D234" s="54">
        <v>75</v>
      </c>
      <c r="E234" s="54">
        <v>4</v>
      </c>
      <c r="F234" s="55" t="s">
        <v>680</v>
      </c>
      <c r="G234" s="44" t="s">
        <v>1053</v>
      </c>
      <c r="H234" s="59" t="s">
        <v>766</v>
      </c>
      <c r="I234" s="59" t="s">
        <v>715</v>
      </c>
      <c r="J234" s="57">
        <v>45714</v>
      </c>
      <c r="K234" s="57">
        <v>45730</v>
      </c>
      <c r="L234" s="47" t="str">
        <f>IF(Tabla15[[#This Row],[Fecha de Finalización]]&gt;0,"Cerrada","En Proceso")</f>
        <v>Cerrada</v>
      </c>
      <c r="M234" s="58">
        <f>+K234-J234</f>
        <v>16</v>
      </c>
      <c r="N234" s="59" t="s">
        <v>926</v>
      </c>
      <c r="O234" s="54">
        <f>VLOOKUP(Tabla15[[#This Row],[N° 
Evento]],'Eventos de riesgos'!B:C,2,0)</f>
        <v>2025</v>
      </c>
      <c r="P234" s="54" t="str">
        <f>VLOOKUP(Tabla15[[#This Row],[N° 
Evento]],'Eventos de riesgos'!B:D,3,0)</f>
        <v xml:space="preserve">Feb </v>
      </c>
      <c r="Q234" s="60">
        <f>VLOOKUP(Tabla15[[#This Row],[N° 
Evento]],'Eventos de riesgos'!B:E,4,0)</f>
        <v>45742.487500000003</v>
      </c>
      <c r="R234" s="60">
        <f>VLOOKUP(Tabla15[[#This Row],[N° 
Evento]],'Eventos de riesgos'!B:F,5,0)</f>
        <v>45742.488194444442</v>
      </c>
      <c r="S234" s="60">
        <f>VLOOKUP(Tabla15[[#This Row],[N° 
Evento]],'Eventos de riesgos'!B:G,6,0)</f>
        <v>45742.488194444442</v>
      </c>
      <c r="T234" s="63" t="str">
        <f>VLOOKUP(Tabla15[[#This Row],[N° 
Evento]],'Eventos de riesgos'!B:H,7,0)</f>
        <v>CasoEl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decimalesCausaError humano en la digitación del monto, ya que se ingresó en un formato incorrecto al permitido en la plataforma AvalPayCenter.ImpactoImpacto financiero: Se generó un pago por un valor mucho mayor al debido, lo que pudo afectar la liquidez inmediata para generar otros pagos por parte de la Cooperativa.Impacto operativo: Fue necesario gestionar la reversión del pago con la entidad bancaria, lo que implicó trámites adicionales y posibles demoras en la corrección del saldo y reembolso del dinero.AccionesReporte inmediato al área de tesorería para solicitar apoyo sobre la reversión requerida.(Directora de Riesgos)Se contactó inmediatamente al Banco Occidente para solicitar la reversión del pago. Asimismo al Banco Coopcentral para intentar interrumpir la operación realizada. (Tesorería - Dir Riesgos)Acciones PreventivasRevisión interna del procedimiento para identificar mejoras que eviten errores similares en futuras transacciones. Como parte de las propuestas, se plantea la estandarización del desembolso en valores enteros, reduciendo la necesidad de ingreso manual de decimales. (Directora Riesgos - Tesorería)Explorar y evaluar otras alternativas de pagos o giros seguros para los asociados. (tesorería)</v>
      </c>
      <c r="U234" s="61">
        <f>VLOOKUP(Tabla15[[#This Row],[N° 
Evento]],'Eventos de riesgos'!B:I,8,0)</f>
        <v>0</v>
      </c>
      <c r="V234" s="61">
        <f>VLOOKUP(Tabla15[[#This Row],[N° 
Evento]],'Eventos de riesgos'!B:J,9,0)</f>
        <v>0</v>
      </c>
      <c r="W234" s="61">
        <f>VLOOKUP(Tabla15[[#This Row],[N° 
Evento]],'Eventos de riesgos'!B:K,10,0)</f>
        <v>0</v>
      </c>
      <c r="X234" s="59" t="str">
        <f>VLOOKUP(Tabla15[[#This Row],[N° 
Evento]],'Eventos de riesgos'!B:L,11,0)</f>
        <v>7 - Ejecución y Administración de Procesos</v>
      </c>
      <c r="Y234" s="59" t="str">
        <f>VLOOKUP(Tabla15[[#This Row],[N° 
Evento]],'Eventos de riesgos'!B:M,12,0)</f>
        <v>71 - Recepción, Ejecución y Mantenimiento de Operaciones</v>
      </c>
      <c r="Z234" s="59" t="str">
        <f>VLOOKUP(Tabla15[[#This Row],[N° 
Evento]],'Eventos de riesgos'!B:N,13,0)</f>
        <v>712 - Errores en Digitación de Datos, Mantenimiento o Descarga</v>
      </c>
      <c r="AA234" s="59" t="str">
        <f>+VLOOKUP(Tabla15[[#This Row],[N° 
Evento]],'Eventos de riesgos'!$B$1:$AA$87,23,0)</f>
        <v>Error en pago de compra de cartera  de asociados mediante PSE</v>
      </c>
      <c r="AB234" s="54" t="str">
        <f>VLOOKUP(Tabla15[[#This Row],[N° 
Evento]],'Eventos de riesgos'!B:O,14,0)</f>
        <v>Ninguna</v>
      </c>
      <c r="AC234" s="60">
        <f>VLOOKUP(Tabla15[[#This Row],[N° 
Evento]],'Eventos de riesgos'!B:P,15,0)</f>
        <v>45716.486805555556</v>
      </c>
      <c r="AD234" s="54" t="str">
        <f>VLOOKUP(Tabla15[[#This Row],[N° 
Evento]],'Eventos de riesgos'!B:Q,16,0)</f>
        <v>Tarjeta crédito</v>
      </c>
      <c r="AE234" s="54" t="str">
        <f>VLOOKUP(Tabla15[[#This Row],[N° 
Evento]],'Eventos de riesgos'!B:R,17,0)</f>
        <v>Ninguno</v>
      </c>
      <c r="AF234" s="56" t="str">
        <f>VLOOKUP(Tabla15[[#This Row],[N° 
Evento]],'Eventos de riesgos'!B:V,21,0)</f>
        <v>Aprobado</v>
      </c>
      <c r="AG234" s="59" t="str">
        <f>VLOOKUP(Tabla15[[#This Row],[N° 
Evento]],'Eventos de riesgos'!B:W,22,0)</f>
        <v>04/03/2025 11:43:09: Creada
07/03/2025 17:12:06: Actualizado
01/04/2025 16:54:33: Actualización</v>
      </c>
    </row>
    <row r="235" spans="3:33" ht="59" customHeight="1" thickBot="1" x14ac:dyDescent="0.6">
      <c r="C235" s="54" t="str">
        <f>+Tabla15[[#This Row],[N° 
Evento]]&amp;"-"&amp;Tabla15[[#This Row],[N° Tarea]]</f>
        <v>75-5</v>
      </c>
      <c r="D235" s="54">
        <v>75</v>
      </c>
      <c r="E235" s="54">
        <v>5</v>
      </c>
      <c r="F235" s="55" t="s">
        <v>681</v>
      </c>
      <c r="G235" s="44" t="s">
        <v>1053</v>
      </c>
      <c r="H235" s="59" t="s">
        <v>261</v>
      </c>
      <c r="I235" s="56" t="s">
        <v>714</v>
      </c>
      <c r="J235" s="57">
        <v>45714</v>
      </c>
      <c r="K235" s="57">
        <v>45714</v>
      </c>
      <c r="L235" s="47" t="str">
        <f>IF(Tabla15[[#This Row],[Fecha de Finalización]]&gt;0,"Cerrada","En Proceso")</f>
        <v>Cerrada</v>
      </c>
      <c r="M235" s="58">
        <f>+K235-J235</f>
        <v>0</v>
      </c>
      <c r="N235" s="59" t="s">
        <v>683</v>
      </c>
      <c r="O235" s="54">
        <f>VLOOKUP(Tabla15[[#This Row],[N° 
Evento]],'Eventos de riesgos'!B:C,2,0)</f>
        <v>2025</v>
      </c>
      <c r="P235" s="54" t="str">
        <f>VLOOKUP(Tabla15[[#This Row],[N° 
Evento]],'Eventos de riesgos'!B:D,3,0)</f>
        <v xml:space="preserve">Feb </v>
      </c>
      <c r="Q235" s="60">
        <f>VLOOKUP(Tabla15[[#This Row],[N° 
Evento]],'Eventos de riesgos'!B:E,4,0)</f>
        <v>45742.487500000003</v>
      </c>
      <c r="R235" s="60">
        <f>VLOOKUP(Tabla15[[#This Row],[N° 
Evento]],'Eventos de riesgos'!B:F,5,0)</f>
        <v>45742.488194444442</v>
      </c>
      <c r="S235" s="60">
        <f>VLOOKUP(Tabla15[[#This Row],[N° 
Evento]],'Eventos de riesgos'!B:G,6,0)</f>
        <v>45742.488194444442</v>
      </c>
      <c r="T235" s="63" t="str">
        <f>VLOOKUP(Tabla15[[#This Row],[N° 
Evento]],'Eventos de riesgos'!B:H,7,0)</f>
        <v>CasoEl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decimalesCausaError humano en la digitación del monto, ya que se ingresó en un formato incorrecto al permitido en la plataforma AvalPayCenter.ImpactoImpacto financiero: Se generó un pago por un valor mucho mayor al debido, lo que pudo afectar la liquidez inmediata para generar otros pagos por parte de la Cooperativa.Impacto operativo: Fue necesario gestionar la reversión del pago con la entidad bancaria, lo que implicó trámites adicionales y posibles demoras en la corrección del saldo y reembolso del dinero.AccionesReporte inmediato al área de tesorería para solicitar apoyo sobre la reversión requerida.(Directora de Riesgos)Se contactó inmediatamente al Banco Occidente para solicitar la reversión del pago. Asimismo al Banco Coopcentral para intentar interrumpir la operación realizada. (Tesorería - Dir Riesgos)Acciones PreventivasRevisión interna del procedimiento para identificar mejoras que eviten errores similares en futuras transacciones. Como parte de las propuestas, se plantea la estandarización del desembolso en valores enteros, reduciendo la necesidad de ingreso manual de decimales. (Directora Riesgos - Tesorería)Explorar y evaluar otras alternativas de pagos o giros seguros para los asociados. (tesorería)</v>
      </c>
      <c r="U235" s="61">
        <f>VLOOKUP(Tabla15[[#This Row],[N° 
Evento]],'Eventos de riesgos'!B:I,8,0)</f>
        <v>0</v>
      </c>
      <c r="V235" s="61">
        <f>VLOOKUP(Tabla15[[#This Row],[N° 
Evento]],'Eventos de riesgos'!B:J,9,0)</f>
        <v>0</v>
      </c>
      <c r="W235" s="61">
        <f>VLOOKUP(Tabla15[[#This Row],[N° 
Evento]],'Eventos de riesgos'!B:K,10,0)</f>
        <v>0</v>
      </c>
      <c r="X235" s="59" t="str">
        <f>VLOOKUP(Tabla15[[#This Row],[N° 
Evento]],'Eventos de riesgos'!B:L,11,0)</f>
        <v>7 - Ejecución y Administración de Procesos</v>
      </c>
      <c r="Y235" s="59" t="str">
        <f>VLOOKUP(Tabla15[[#This Row],[N° 
Evento]],'Eventos de riesgos'!B:M,12,0)</f>
        <v>71 - Recepción, Ejecución y Mantenimiento de Operaciones</v>
      </c>
      <c r="Z235" s="59" t="str">
        <f>VLOOKUP(Tabla15[[#This Row],[N° 
Evento]],'Eventos de riesgos'!B:N,13,0)</f>
        <v>712 - Errores en Digitación de Datos, Mantenimiento o Descarga</v>
      </c>
      <c r="AA235" s="59" t="str">
        <f>+VLOOKUP(Tabla15[[#This Row],[N° 
Evento]],'Eventos de riesgos'!$B$1:$AA$87,23,0)</f>
        <v>Error en pago de compra de cartera  de asociados mediante PSE</v>
      </c>
      <c r="AB235" s="54" t="str">
        <f>VLOOKUP(Tabla15[[#This Row],[N° 
Evento]],'Eventos de riesgos'!B:O,14,0)</f>
        <v>Ninguna</v>
      </c>
      <c r="AC235" s="60">
        <f>VLOOKUP(Tabla15[[#This Row],[N° 
Evento]],'Eventos de riesgos'!B:P,15,0)</f>
        <v>45716.486805555556</v>
      </c>
      <c r="AD235" s="54" t="str">
        <f>VLOOKUP(Tabla15[[#This Row],[N° 
Evento]],'Eventos de riesgos'!B:Q,16,0)</f>
        <v>Tarjeta crédito</v>
      </c>
      <c r="AE235" s="54" t="str">
        <f>VLOOKUP(Tabla15[[#This Row],[N° 
Evento]],'Eventos de riesgos'!B:R,17,0)</f>
        <v>Ninguno</v>
      </c>
      <c r="AF235" s="56" t="str">
        <f>VLOOKUP(Tabla15[[#This Row],[N° 
Evento]],'Eventos de riesgos'!B:V,21,0)</f>
        <v>Aprobado</v>
      </c>
      <c r="AG235" s="59" t="str">
        <f>VLOOKUP(Tabla15[[#This Row],[N° 
Evento]],'Eventos de riesgos'!B:W,22,0)</f>
        <v>04/03/2025 11:43:09: Creada
07/03/2025 17:12:06: Actualizado
01/04/2025 16:54:33: Actualización</v>
      </c>
    </row>
    <row r="236" spans="3:33" ht="59" customHeight="1" thickBot="1" x14ac:dyDescent="0.6">
      <c r="C236" s="54" t="str">
        <f>+Tabla15[[#This Row],[N° 
Evento]]&amp;"-"&amp;Tabla15[[#This Row],[N° Tarea]]</f>
        <v>76-1</v>
      </c>
      <c r="D236" s="54">
        <v>76</v>
      </c>
      <c r="E236" s="54">
        <v>1</v>
      </c>
      <c r="F236" s="70" t="s">
        <v>688</v>
      </c>
      <c r="G236" s="44" t="s">
        <v>1052</v>
      </c>
      <c r="H236" s="59" t="s">
        <v>648</v>
      </c>
      <c r="I236" s="56"/>
      <c r="J236" s="57">
        <v>45741</v>
      </c>
      <c r="K236" s="57">
        <v>45742</v>
      </c>
      <c r="L236" s="47" t="str">
        <f>IF(Tabla15[[#This Row],[Fecha de Finalización]]&gt;0,"Cerrada","En Proceso")</f>
        <v>Cerrada</v>
      </c>
      <c r="M236" s="58">
        <f t="shared" si="7"/>
        <v>1</v>
      </c>
      <c r="N236" s="59"/>
      <c r="O236" s="54">
        <f>VLOOKUP(Tabla15[[#This Row],[N° 
Evento]],'Eventos de riesgos'!B:C,2,0)</f>
        <v>2025</v>
      </c>
      <c r="P236" s="54" t="str">
        <f>VLOOKUP(Tabla15[[#This Row],[N° 
Evento]],'Eventos de riesgos'!B:D,3,0)</f>
        <v>Mar</v>
      </c>
      <c r="Q236" s="60">
        <f>VLOOKUP(Tabla15[[#This Row],[N° 
Evento]],'Eventos de riesgos'!B:E,4,0)</f>
        <v>45741.913888888892</v>
      </c>
      <c r="R236" s="60">
        <f>VLOOKUP(Tabla15[[#This Row],[N° 
Evento]],'Eventos de riesgos'!B:F,5,0)</f>
        <v>45741.914583333331</v>
      </c>
      <c r="S236" s="60">
        <f>VLOOKUP(Tabla15[[#This Row],[N° 
Evento]],'Eventos de riesgos'!B:G,6,0)</f>
        <v>45742.914583333331</v>
      </c>
      <c r="T236" s="63" t="str">
        <f>VLOOKUP(Tabla15[[#This Row],[N° 
Evento]],'Eventos de riesgos'!B:H,7,0)</f>
        <v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dispersión.Se actualizó del presente origen: https://feborentidad-my.sharepoint.com/personal/operaciones_febor_coop/Documents/Documentos/Informaciòn D/Operaciones/Nominas/2025/Marzo/[Descuento Febor 2025-03-25-15-29-29.xlsxCausasLas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sensible.ImpactosLos impactos detectados son:Reputacional: Pérdida de confianza institucional entre los asociados y miembros del Consejo de Administración, al recibir información errónea sobre sus productos financieros.Operativo: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gravedad.AccionesCorrectivasDiseño y envío de mensajes correctivos a los 351 asociados con valores errados y a los 1.932 con alerta de devolución sin valor correspondiente.(Comité de gerencia)PreventivasDirectriz acordada en el Comité de Gerencia del 26 de marzo de 2025.Las áreas responsables de la difusión de mensajes deben contar con un esquema de roles diferenciados, que separe al ejecutor del mensaje del responsable de su aprobación. Ningún mensaje deberá ser emitido sin la validación previa del jefe del área correspondiente.Participación del área de Control Interno y Calidad en auditorías aleatorias, con el propósito de fortalecer el proceso de envío de mensajes, tanto en lo relacionado con la precisión del contenido como en la metodología utilizada para filtrar y cruzar la información.
</v>
      </c>
      <c r="U236" s="61">
        <f>VLOOKUP(Tabla15[[#This Row],[N° 
Evento]],'Eventos de riesgos'!B:I,8,0)</f>
        <v>0</v>
      </c>
      <c r="V236" s="61">
        <f>VLOOKUP(Tabla15[[#This Row],[N° 
Evento]],'Eventos de riesgos'!B:J,9,0)</f>
        <v>0</v>
      </c>
      <c r="W236" s="61">
        <f>VLOOKUP(Tabla15[[#This Row],[N° 
Evento]],'Eventos de riesgos'!B:K,10,0)</f>
        <v>0</v>
      </c>
      <c r="X236" s="59" t="str">
        <f>VLOOKUP(Tabla15[[#This Row],[N° 
Evento]],'Eventos de riesgos'!B:L,11,0)</f>
        <v>4 - Asociados o Clientes</v>
      </c>
      <c r="Y236" s="59" t="str">
        <f>VLOOKUP(Tabla15[[#This Row],[N° 
Evento]],'Eventos de riesgos'!B:M,12,0)</f>
        <v>41 - Adecuación, Divulgación de Información y Confianza</v>
      </c>
      <c r="Z236" s="59" t="str">
        <f>VLOOKUP(Tabla15[[#This Row],[N° 
Evento]],'Eventos de riesgos'!B:N,13,0)</f>
        <v>412 - Aspectos de Adecuación, Divulgación de la Información</v>
      </c>
      <c r="AA236" s="59" t="str">
        <f>+VLOOKUP(Tabla15[[#This Row],[N° 
Evento]],'Eventos de riesgos'!$B$1:$AA$87,23,0)</f>
        <v>Error mensajes masivos</v>
      </c>
      <c r="AB236" s="54" t="str">
        <f>VLOOKUP(Tabla15[[#This Row],[N° 
Evento]],'Eventos de riesgos'!B:O,14,0)</f>
        <v>Ninguna</v>
      </c>
      <c r="AC236" s="60">
        <f>VLOOKUP(Tabla15[[#This Row],[N° 
Evento]],'Eventos de riesgos'!B:P,15,0)</f>
        <v>45747.912499999999</v>
      </c>
      <c r="AD236" s="54" t="str">
        <f>VLOOKUP(Tabla15[[#This Row],[N° 
Evento]],'Eventos de riesgos'!B:Q,16,0)</f>
        <v>Varios tipos de crédito</v>
      </c>
      <c r="AE236" s="54" t="str">
        <f>VLOOKUP(Tabla15[[#This Row],[N° 
Evento]],'Eventos de riesgos'!B:R,17,0)</f>
        <v>Mensajería de texto (SMS)</v>
      </c>
      <c r="AF236" s="56" t="str">
        <f>VLOOKUP(Tabla15[[#This Row],[N° 
Evento]],'Eventos de riesgos'!B:V,21,0)</f>
        <v>Aprobado</v>
      </c>
      <c r="AG236" s="59" t="str">
        <f>VLOOKUP(Tabla15[[#This Row],[N° 
Evento]],'Eventos de riesgos'!B:W,22,0)</f>
        <v>01/04/2025 21:57:16: Creado
06/05/2025 16:34:22: Actualizada</v>
      </c>
    </row>
    <row r="237" spans="3:33" ht="59" customHeight="1" thickBot="1" x14ac:dyDescent="0.6">
      <c r="C237" s="54" t="str">
        <f>+Tabla15[[#This Row],[N° 
Evento]]&amp;"-"&amp;Tabla15[[#This Row],[N° Tarea]]</f>
        <v>76-2</v>
      </c>
      <c r="D237" s="54">
        <v>76</v>
      </c>
      <c r="E237" s="54">
        <v>2</v>
      </c>
      <c r="F237" s="71" t="s">
        <v>689</v>
      </c>
      <c r="G237" s="44" t="s">
        <v>1053</v>
      </c>
      <c r="H237" s="59" t="s">
        <v>649</v>
      </c>
      <c r="I237" s="56" t="s">
        <v>425</v>
      </c>
      <c r="J237" s="57">
        <v>45741</v>
      </c>
      <c r="K237" s="57">
        <v>45742</v>
      </c>
      <c r="L237" s="47" t="str">
        <f>IF(Tabla15[[#This Row],[Fecha de Finalización]]&gt;0,"Cerrada","En Proceso")</f>
        <v>Cerrada</v>
      </c>
      <c r="M237" s="58">
        <f t="shared" si="7"/>
        <v>1</v>
      </c>
      <c r="N237" s="59" t="s">
        <v>691</v>
      </c>
      <c r="O237" s="54">
        <f>VLOOKUP(Tabla15[[#This Row],[N° 
Evento]],'Eventos de riesgos'!B:C,2,0)</f>
        <v>2025</v>
      </c>
      <c r="P237" s="54" t="str">
        <f>VLOOKUP(Tabla15[[#This Row],[N° 
Evento]],'Eventos de riesgos'!B:D,3,0)</f>
        <v>Mar</v>
      </c>
      <c r="Q237" s="60">
        <f>VLOOKUP(Tabla15[[#This Row],[N° 
Evento]],'Eventos de riesgos'!B:E,4,0)</f>
        <v>45741.913888888892</v>
      </c>
      <c r="R237" s="60">
        <f>VLOOKUP(Tabla15[[#This Row],[N° 
Evento]],'Eventos de riesgos'!B:F,5,0)</f>
        <v>45741.914583333331</v>
      </c>
      <c r="S237" s="60">
        <f>VLOOKUP(Tabla15[[#This Row],[N° 
Evento]],'Eventos de riesgos'!B:G,6,0)</f>
        <v>45742.914583333331</v>
      </c>
      <c r="T237" s="63" t="str">
        <f>VLOOKUP(Tabla15[[#This Row],[N° 
Evento]],'Eventos de riesgos'!B:H,7,0)</f>
        <v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dispersión.Se actualizó del presente origen: https://feborentidad-my.sharepoint.com/personal/operaciones_febor_coop/Documents/Documentos/Informaciòn D/Operaciones/Nominas/2025/Marzo/[Descuento Febor 2025-03-25-15-29-29.xlsxCausasLas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sensible.ImpactosLos impactos detectados son:Reputacional: Pérdida de confianza institucional entre los asociados y miembros del Consejo de Administración, al recibir información errónea sobre sus productos financieros.Operativo: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gravedad.AccionesCorrectivasDiseño y envío de mensajes correctivos a los 351 asociados con valores errados y a los 1.932 con alerta de devolución sin valor correspondiente.(Comité de gerencia)PreventivasDirectriz acordada en el Comité de Gerencia del 26 de marzo de 2025.Las áreas responsables de la difusión de mensajes deben contar con un esquema de roles diferenciados, que separe al ejecutor del mensaje del responsable de su aprobación. Ningún mensaje deberá ser emitido sin la validación previa del jefe del área correspondiente.Participación del área de Control Interno y Calidad en auditorías aleatorias, con el propósito de fortalecer el proceso de envío de mensajes, tanto en lo relacionado con la precisión del contenido como en la metodología utilizada para filtrar y cruzar la información.
</v>
      </c>
      <c r="U237" s="61">
        <f>VLOOKUP(Tabla15[[#This Row],[N° 
Evento]],'Eventos de riesgos'!B:I,8,0)</f>
        <v>0</v>
      </c>
      <c r="V237" s="61">
        <f>VLOOKUP(Tabla15[[#This Row],[N° 
Evento]],'Eventos de riesgos'!B:J,9,0)</f>
        <v>0</v>
      </c>
      <c r="W237" s="61">
        <f>VLOOKUP(Tabla15[[#This Row],[N° 
Evento]],'Eventos de riesgos'!B:K,10,0)</f>
        <v>0</v>
      </c>
      <c r="X237" s="59" t="str">
        <f>VLOOKUP(Tabla15[[#This Row],[N° 
Evento]],'Eventos de riesgos'!B:L,11,0)</f>
        <v>4 - Asociados o Clientes</v>
      </c>
      <c r="Y237" s="59" t="str">
        <f>VLOOKUP(Tabla15[[#This Row],[N° 
Evento]],'Eventos de riesgos'!B:M,12,0)</f>
        <v>41 - Adecuación, Divulgación de Información y Confianza</v>
      </c>
      <c r="Z237" s="59" t="str">
        <f>VLOOKUP(Tabla15[[#This Row],[N° 
Evento]],'Eventos de riesgos'!B:N,13,0)</f>
        <v>412 - Aspectos de Adecuación, Divulgación de la Información</v>
      </c>
      <c r="AA237" s="59" t="str">
        <f>+VLOOKUP(Tabla15[[#This Row],[N° 
Evento]],'Eventos de riesgos'!$B$1:$AA$87,23,0)</f>
        <v>Error mensajes masivos</v>
      </c>
      <c r="AB237" s="54" t="str">
        <f>VLOOKUP(Tabla15[[#This Row],[N° 
Evento]],'Eventos de riesgos'!B:O,14,0)</f>
        <v>Ninguna</v>
      </c>
      <c r="AC237" s="60">
        <f>VLOOKUP(Tabla15[[#This Row],[N° 
Evento]],'Eventos de riesgos'!B:P,15,0)</f>
        <v>45747.912499999999</v>
      </c>
      <c r="AD237" s="54" t="str">
        <f>VLOOKUP(Tabla15[[#This Row],[N° 
Evento]],'Eventos de riesgos'!B:Q,16,0)</f>
        <v>Varios tipos de crédito</v>
      </c>
      <c r="AE237" s="54" t="str">
        <f>VLOOKUP(Tabla15[[#This Row],[N° 
Evento]],'Eventos de riesgos'!B:R,17,0)</f>
        <v>Mensajería de texto (SMS)</v>
      </c>
      <c r="AF237" s="56" t="str">
        <f>VLOOKUP(Tabla15[[#This Row],[N° 
Evento]],'Eventos de riesgos'!B:V,21,0)</f>
        <v>Aprobado</v>
      </c>
      <c r="AG237" s="59" t="str">
        <f>VLOOKUP(Tabla15[[#This Row],[N° 
Evento]],'Eventos de riesgos'!B:W,22,0)</f>
        <v>01/04/2025 21:57:16: Creado
06/05/2025 16:34:22: Actualizada</v>
      </c>
    </row>
    <row r="238" spans="3:33" ht="59" customHeight="1" thickBot="1" x14ac:dyDescent="0.6">
      <c r="C238" s="54" t="str">
        <f>+Tabla15[[#This Row],[N° 
Evento]]&amp;"-"&amp;Tabla15[[#This Row],[N° Tarea]]</f>
        <v>76-3</v>
      </c>
      <c r="D238" s="54">
        <v>76</v>
      </c>
      <c r="E238" s="54">
        <v>3</v>
      </c>
      <c r="F238" s="71" t="s">
        <v>690</v>
      </c>
      <c r="G238" s="44" t="s">
        <v>1053</v>
      </c>
      <c r="H238" s="59" t="s">
        <v>767</v>
      </c>
      <c r="I238" s="59" t="s">
        <v>650</v>
      </c>
      <c r="J238" s="57">
        <v>45741</v>
      </c>
      <c r="K238" s="57">
        <v>45742</v>
      </c>
      <c r="L238" s="47" t="str">
        <f>IF(Tabla15[[#This Row],[Fecha de Finalización]]&gt;0,"Cerrada","En Proceso")</f>
        <v>Cerrada</v>
      </c>
      <c r="M238" s="58">
        <f t="shared" si="7"/>
        <v>1</v>
      </c>
      <c r="N238" s="59" t="s">
        <v>691</v>
      </c>
      <c r="O238" s="54">
        <f>VLOOKUP(Tabla15[[#This Row],[N° 
Evento]],'Eventos de riesgos'!B:C,2,0)</f>
        <v>2025</v>
      </c>
      <c r="P238" s="54" t="str">
        <f>VLOOKUP(Tabla15[[#This Row],[N° 
Evento]],'Eventos de riesgos'!B:D,3,0)</f>
        <v>Mar</v>
      </c>
      <c r="Q238" s="60">
        <f>VLOOKUP(Tabla15[[#This Row],[N° 
Evento]],'Eventos de riesgos'!B:E,4,0)</f>
        <v>45741.913888888892</v>
      </c>
      <c r="R238" s="60">
        <f>VLOOKUP(Tabla15[[#This Row],[N° 
Evento]],'Eventos de riesgos'!B:F,5,0)</f>
        <v>45741.914583333331</v>
      </c>
      <c r="S238" s="60">
        <f>VLOOKUP(Tabla15[[#This Row],[N° 
Evento]],'Eventos de riesgos'!B:G,6,0)</f>
        <v>45742.914583333331</v>
      </c>
      <c r="T238" s="63" t="str">
        <f>VLOOKUP(Tabla15[[#This Row],[N° 
Evento]],'Eventos de riesgos'!B:H,7,0)</f>
        <v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dispersión.Se actualizó del presente origen: https://feborentidad-my.sharepoint.com/personal/operaciones_febor_coop/Documents/Documentos/Informaciòn D/Operaciones/Nominas/2025/Marzo/[Descuento Febor 2025-03-25-15-29-29.xlsxCausasLas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sensible.ImpactosLos impactos detectados son:Reputacional: Pérdida de confianza institucional entre los asociados y miembros del Consejo de Administración, al recibir información errónea sobre sus productos financieros.Operativo: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gravedad.AccionesCorrectivasDiseño y envío de mensajes correctivos a los 351 asociados con valores errados y a los 1.932 con alerta de devolución sin valor correspondiente.(Comité de gerencia)PreventivasDirectriz acordada en el Comité de Gerencia del 26 de marzo de 2025.Las áreas responsables de la difusión de mensajes deben contar con un esquema de roles diferenciados, que separe al ejecutor del mensaje del responsable de su aprobación. Ningún mensaje deberá ser emitido sin la validación previa del jefe del área correspondiente.Participación del área de Control Interno y Calidad en auditorías aleatorias, con el propósito de fortalecer el proceso de envío de mensajes, tanto en lo relacionado con la precisión del contenido como en la metodología utilizada para filtrar y cruzar la información.
</v>
      </c>
      <c r="U238" s="61">
        <f>VLOOKUP(Tabla15[[#This Row],[N° 
Evento]],'Eventos de riesgos'!B:I,8,0)</f>
        <v>0</v>
      </c>
      <c r="V238" s="61">
        <f>VLOOKUP(Tabla15[[#This Row],[N° 
Evento]],'Eventos de riesgos'!B:J,9,0)</f>
        <v>0</v>
      </c>
      <c r="W238" s="61">
        <f>VLOOKUP(Tabla15[[#This Row],[N° 
Evento]],'Eventos de riesgos'!B:K,10,0)</f>
        <v>0</v>
      </c>
      <c r="X238" s="59" t="str">
        <f>VLOOKUP(Tabla15[[#This Row],[N° 
Evento]],'Eventos de riesgos'!B:L,11,0)</f>
        <v>4 - Asociados o Clientes</v>
      </c>
      <c r="Y238" s="59" t="str">
        <f>VLOOKUP(Tabla15[[#This Row],[N° 
Evento]],'Eventos de riesgos'!B:M,12,0)</f>
        <v>41 - Adecuación, Divulgación de Información y Confianza</v>
      </c>
      <c r="Z238" s="59" t="str">
        <f>VLOOKUP(Tabla15[[#This Row],[N° 
Evento]],'Eventos de riesgos'!B:N,13,0)</f>
        <v>412 - Aspectos de Adecuación, Divulgación de la Información</v>
      </c>
      <c r="AA238" s="59" t="str">
        <f>+VLOOKUP(Tabla15[[#This Row],[N° 
Evento]],'Eventos de riesgos'!$B$1:$AA$87,23,0)</f>
        <v>Error mensajes masivos</v>
      </c>
      <c r="AB238" s="54" t="str">
        <f>VLOOKUP(Tabla15[[#This Row],[N° 
Evento]],'Eventos de riesgos'!B:O,14,0)</f>
        <v>Ninguna</v>
      </c>
      <c r="AC238" s="60">
        <f>VLOOKUP(Tabla15[[#This Row],[N° 
Evento]],'Eventos de riesgos'!B:P,15,0)</f>
        <v>45747.912499999999</v>
      </c>
      <c r="AD238" s="54" t="str">
        <f>VLOOKUP(Tabla15[[#This Row],[N° 
Evento]],'Eventos de riesgos'!B:Q,16,0)</f>
        <v>Varios tipos de crédito</v>
      </c>
      <c r="AE238" s="54" t="str">
        <f>VLOOKUP(Tabla15[[#This Row],[N° 
Evento]],'Eventos de riesgos'!B:R,17,0)</f>
        <v>Mensajería de texto (SMS)</v>
      </c>
      <c r="AF238" s="56" t="str">
        <f>VLOOKUP(Tabla15[[#This Row],[N° 
Evento]],'Eventos de riesgos'!B:V,21,0)</f>
        <v>Aprobado</v>
      </c>
      <c r="AG238" s="59" t="str">
        <f>VLOOKUP(Tabla15[[#This Row],[N° 
Evento]],'Eventos de riesgos'!B:W,22,0)</f>
        <v>01/04/2025 21:57:16: Creado
06/05/2025 16:34:22: Actualizada</v>
      </c>
    </row>
    <row r="239" spans="3:33" ht="59" customHeight="1" x14ac:dyDescent="0.55000000000000004">
      <c r="C239" s="54" t="str">
        <f>+Tabla15[[#This Row],[N° 
Evento]]&amp;"-"&amp;Tabla15[[#This Row],[N° Tarea]]</f>
        <v>77-1</v>
      </c>
      <c r="D239" s="54">
        <v>77</v>
      </c>
      <c r="E239" s="54">
        <v>1</v>
      </c>
      <c r="F239" s="55" t="s">
        <v>712</v>
      </c>
      <c r="G239" s="44" t="s">
        <v>1052</v>
      </c>
      <c r="H239" s="59" t="s">
        <v>713</v>
      </c>
      <c r="I239" s="59" t="s">
        <v>727</v>
      </c>
      <c r="J239" s="57">
        <v>45820</v>
      </c>
      <c r="K239" s="57">
        <v>45820</v>
      </c>
      <c r="L239" s="47" t="str">
        <f>IF(Tabla15[[#This Row],[Fecha de Finalización]]&gt;0,"Cerrada","En Proceso")</f>
        <v>Cerrada</v>
      </c>
      <c r="M239" s="58">
        <f t="shared" ref="M239:M249" si="8">+K239-J239</f>
        <v>0</v>
      </c>
      <c r="N239" s="59"/>
      <c r="O239" s="54">
        <f>VLOOKUP(Tabla15[[#This Row],[N° 
Evento]],'Eventos de riesgos'!B:C,2,0)</f>
        <v>2025</v>
      </c>
      <c r="P239" s="54" t="str">
        <f>VLOOKUP(Tabla15[[#This Row],[N° 
Evento]],'Eventos de riesgos'!B:D,3,0)</f>
        <v>Jun</v>
      </c>
      <c r="Q239" s="60">
        <f>VLOOKUP(Tabla15[[#This Row],[N° 
Evento]],'Eventos de riesgos'!B:E,4,0)</f>
        <v>45820.80972222222</v>
      </c>
      <c r="R239" s="60">
        <f>VLOOKUP(Tabla15[[#This Row],[N° 
Evento]],'Eventos de riesgos'!B:F,5,0)</f>
        <v>45820.80972222222</v>
      </c>
      <c r="S239" s="60">
        <f>VLOOKUP(Tabla15[[#This Row],[N° 
Evento]],'Eventos de riesgos'!B:G,6,0)</f>
        <v>45821.80972222222</v>
      </c>
      <c r="T239"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39" s="61">
        <f>VLOOKUP(Tabla15[[#This Row],[N° 
Evento]],'Eventos de riesgos'!B:I,8,0)</f>
        <v>28344421</v>
      </c>
      <c r="V239" s="61">
        <f>VLOOKUP(Tabla15[[#This Row],[N° 
Evento]],'Eventos de riesgos'!B:J,9,0)</f>
        <v>28344421</v>
      </c>
      <c r="W239" s="61">
        <f>VLOOKUP(Tabla15[[#This Row],[N° 
Evento]],'Eventos de riesgos'!B:K,10,0)</f>
        <v>0</v>
      </c>
      <c r="X239" s="59" t="str">
        <f>VLOOKUP(Tabla15[[#This Row],[N° 
Evento]],'Eventos de riesgos'!B:L,11,0)</f>
        <v>7 - Ejecución y Administración de Procesos</v>
      </c>
      <c r="Y239" s="59" t="str">
        <f>VLOOKUP(Tabla15[[#This Row],[N° 
Evento]],'Eventos de riesgos'!B:M,12,0)</f>
        <v>71 - Recepción, Ejecución y Mantenimiento de Operaciones</v>
      </c>
      <c r="Z239" s="59" t="str">
        <f>VLOOKUP(Tabla15[[#This Row],[N° 
Evento]],'Eventos de riesgos'!B:N,13,0)</f>
        <v>713 - Incumplimiento de Plazos o Responsabilidades</v>
      </c>
      <c r="AA239" s="59" t="str">
        <f>+VLOOKUP(Tabla15[[#This Row],[N° 
Evento]],'Eventos de riesgos'!$B$1:$AA$87,23,0)</f>
        <v>Giros de lotes duplicados</v>
      </c>
      <c r="AB239" s="54" t="str">
        <f>VLOOKUP(Tabla15[[#This Row],[N° 
Evento]],'Eventos de riesgos'!B:O,14,0)</f>
        <v>Ninguna</v>
      </c>
      <c r="AC239" s="60">
        <f>VLOOKUP(Tabla15[[#This Row],[N° 
Evento]],'Eventos de riesgos'!B:P,15,0)</f>
        <v>45838.809027777781</v>
      </c>
      <c r="AD239" s="54" t="str">
        <f>VLOOKUP(Tabla15[[#This Row],[N° 
Evento]],'Eventos de riesgos'!B:Q,16,0)</f>
        <v>Ninguno</v>
      </c>
      <c r="AE239" s="54" t="str">
        <f>VLOOKUP(Tabla15[[#This Row],[N° 
Evento]],'Eventos de riesgos'!B:R,17,0)</f>
        <v>Ninguno</v>
      </c>
      <c r="AF239" s="56" t="str">
        <f>VLOOKUP(Tabla15[[#This Row],[N° 
Evento]],'Eventos de riesgos'!B:V,21,0)</f>
        <v>Aprobado</v>
      </c>
      <c r="AG239" s="59" t="str">
        <f>VLOOKUP(Tabla15[[#This Row],[N° 
Evento]],'Eventos de riesgos'!B:W,22,0)</f>
        <v>17/07/2025 19:27:04: Creado
01/08/2025 16:29:30: Actualizado</v>
      </c>
    </row>
    <row r="240" spans="3:33" ht="59" customHeight="1" x14ac:dyDescent="0.55000000000000004">
      <c r="C240" s="54" t="str">
        <f>+Tabla15[[#This Row],[N° 
Evento]]&amp;"-"&amp;Tabla15[[#This Row],[N° Tarea]]</f>
        <v>77-2</v>
      </c>
      <c r="D240" s="54">
        <v>77</v>
      </c>
      <c r="E240" s="54">
        <v>2</v>
      </c>
      <c r="F240" s="55" t="s">
        <v>716</v>
      </c>
      <c r="G240" s="44" t="s">
        <v>1052</v>
      </c>
      <c r="H240" s="59" t="s">
        <v>261</v>
      </c>
      <c r="I240" s="56" t="s">
        <v>714</v>
      </c>
      <c r="J240" s="57">
        <v>45820</v>
      </c>
      <c r="K240" s="57">
        <v>45820</v>
      </c>
      <c r="L240" s="47" t="str">
        <f>IF(Tabla15[[#This Row],[Fecha de Finalización]]&gt;0,"Cerrada","En Proceso")</f>
        <v>Cerrada</v>
      </c>
      <c r="M240" s="58">
        <f t="shared" si="8"/>
        <v>0</v>
      </c>
      <c r="N240" s="59"/>
      <c r="O240" s="54">
        <f>VLOOKUP(Tabla15[[#This Row],[N° 
Evento]],'Eventos de riesgos'!B:C,2,0)</f>
        <v>2025</v>
      </c>
      <c r="P240" s="54" t="str">
        <f>VLOOKUP(Tabla15[[#This Row],[N° 
Evento]],'Eventos de riesgos'!B:D,3,0)</f>
        <v>Jun</v>
      </c>
      <c r="Q240" s="60">
        <f>VLOOKUP(Tabla15[[#This Row],[N° 
Evento]],'Eventos de riesgos'!B:E,4,0)</f>
        <v>45820.80972222222</v>
      </c>
      <c r="R240" s="60">
        <f>VLOOKUP(Tabla15[[#This Row],[N° 
Evento]],'Eventos de riesgos'!B:F,5,0)</f>
        <v>45820.80972222222</v>
      </c>
      <c r="S240" s="60">
        <f>VLOOKUP(Tabla15[[#This Row],[N° 
Evento]],'Eventos de riesgos'!B:G,6,0)</f>
        <v>45821.80972222222</v>
      </c>
      <c r="T240"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0" s="61">
        <f>VLOOKUP(Tabla15[[#This Row],[N° 
Evento]],'Eventos de riesgos'!B:I,8,0)</f>
        <v>28344421</v>
      </c>
      <c r="V240" s="61">
        <f>VLOOKUP(Tabla15[[#This Row],[N° 
Evento]],'Eventos de riesgos'!B:J,9,0)</f>
        <v>28344421</v>
      </c>
      <c r="W240" s="61">
        <f>VLOOKUP(Tabla15[[#This Row],[N° 
Evento]],'Eventos de riesgos'!B:K,10,0)</f>
        <v>0</v>
      </c>
      <c r="X240" s="59" t="str">
        <f>VLOOKUP(Tabla15[[#This Row],[N° 
Evento]],'Eventos de riesgos'!B:L,11,0)</f>
        <v>7 - Ejecución y Administración de Procesos</v>
      </c>
      <c r="Y240" s="59" t="str">
        <f>VLOOKUP(Tabla15[[#This Row],[N° 
Evento]],'Eventos de riesgos'!B:M,12,0)</f>
        <v>71 - Recepción, Ejecución y Mantenimiento de Operaciones</v>
      </c>
      <c r="Z240" s="59" t="str">
        <f>VLOOKUP(Tabla15[[#This Row],[N° 
Evento]],'Eventos de riesgos'!B:N,13,0)</f>
        <v>713 - Incumplimiento de Plazos o Responsabilidades</v>
      </c>
      <c r="AA240" s="59" t="str">
        <f>+VLOOKUP(Tabla15[[#This Row],[N° 
Evento]],'Eventos de riesgos'!$B$1:$AA$87,23,0)</f>
        <v>Giros de lotes duplicados</v>
      </c>
      <c r="AB240" s="54" t="str">
        <f>VLOOKUP(Tabla15[[#This Row],[N° 
Evento]],'Eventos de riesgos'!B:O,14,0)</f>
        <v>Ninguna</v>
      </c>
      <c r="AC240" s="60">
        <f>VLOOKUP(Tabla15[[#This Row],[N° 
Evento]],'Eventos de riesgos'!B:P,15,0)</f>
        <v>45838.809027777781</v>
      </c>
      <c r="AD240" s="54" t="str">
        <f>VLOOKUP(Tabla15[[#This Row],[N° 
Evento]],'Eventos de riesgos'!B:Q,16,0)</f>
        <v>Ninguno</v>
      </c>
      <c r="AE240" s="54" t="str">
        <f>VLOOKUP(Tabla15[[#This Row],[N° 
Evento]],'Eventos de riesgos'!B:R,17,0)</f>
        <v>Ninguno</v>
      </c>
      <c r="AF240" s="56" t="str">
        <f>VLOOKUP(Tabla15[[#This Row],[N° 
Evento]],'Eventos de riesgos'!B:V,21,0)</f>
        <v>Aprobado</v>
      </c>
      <c r="AG240" s="59" t="str">
        <f>VLOOKUP(Tabla15[[#This Row],[N° 
Evento]],'Eventos de riesgos'!B:W,22,0)</f>
        <v>17/07/2025 19:27:04: Creado
01/08/2025 16:29:30: Actualizado</v>
      </c>
    </row>
    <row r="241" spans="3:33" ht="59" customHeight="1" x14ac:dyDescent="0.55000000000000004">
      <c r="C241" s="54" t="str">
        <f>+Tabla15[[#This Row],[N° 
Evento]]&amp;"-"&amp;Tabla15[[#This Row],[N° Tarea]]</f>
        <v>77-3</v>
      </c>
      <c r="D241" s="54">
        <v>77</v>
      </c>
      <c r="E241" s="54">
        <v>3</v>
      </c>
      <c r="F241" s="55" t="s">
        <v>717</v>
      </c>
      <c r="G241" s="44" t="s">
        <v>1052</v>
      </c>
      <c r="H241" s="59" t="s">
        <v>261</v>
      </c>
      <c r="I241" s="56" t="s">
        <v>714</v>
      </c>
      <c r="J241" s="57">
        <v>45820</v>
      </c>
      <c r="K241" s="57">
        <v>45820</v>
      </c>
      <c r="L241" s="47" t="str">
        <f>IF(Tabla15[[#This Row],[Fecha de Finalización]]&gt;0,"Cerrada","En Proceso")</f>
        <v>Cerrada</v>
      </c>
      <c r="M241" s="58">
        <f t="shared" si="8"/>
        <v>0</v>
      </c>
      <c r="N241" s="59"/>
      <c r="O241" s="54">
        <f>VLOOKUP(Tabla15[[#This Row],[N° 
Evento]],'Eventos de riesgos'!B:C,2,0)</f>
        <v>2025</v>
      </c>
      <c r="P241" s="54" t="str">
        <f>VLOOKUP(Tabla15[[#This Row],[N° 
Evento]],'Eventos de riesgos'!B:D,3,0)</f>
        <v>Jun</v>
      </c>
      <c r="Q241" s="60">
        <f>VLOOKUP(Tabla15[[#This Row],[N° 
Evento]],'Eventos de riesgos'!B:E,4,0)</f>
        <v>45820.80972222222</v>
      </c>
      <c r="R241" s="60">
        <f>VLOOKUP(Tabla15[[#This Row],[N° 
Evento]],'Eventos de riesgos'!B:F,5,0)</f>
        <v>45820.80972222222</v>
      </c>
      <c r="S241" s="60">
        <f>VLOOKUP(Tabla15[[#This Row],[N° 
Evento]],'Eventos de riesgos'!B:G,6,0)</f>
        <v>45821.80972222222</v>
      </c>
      <c r="T241"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1" s="61">
        <f>VLOOKUP(Tabla15[[#This Row],[N° 
Evento]],'Eventos de riesgos'!B:I,8,0)</f>
        <v>28344421</v>
      </c>
      <c r="V241" s="61">
        <f>VLOOKUP(Tabla15[[#This Row],[N° 
Evento]],'Eventos de riesgos'!B:J,9,0)</f>
        <v>28344421</v>
      </c>
      <c r="W241" s="61">
        <f>VLOOKUP(Tabla15[[#This Row],[N° 
Evento]],'Eventos de riesgos'!B:K,10,0)</f>
        <v>0</v>
      </c>
      <c r="X241" s="59" t="str">
        <f>VLOOKUP(Tabla15[[#This Row],[N° 
Evento]],'Eventos de riesgos'!B:L,11,0)</f>
        <v>7 - Ejecución y Administración de Procesos</v>
      </c>
      <c r="Y241" s="59" t="str">
        <f>VLOOKUP(Tabla15[[#This Row],[N° 
Evento]],'Eventos de riesgos'!B:M,12,0)</f>
        <v>71 - Recepción, Ejecución y Mantenimiento de Operaciones</v>
      </c>
      <c r="Z241" s="59" t="str">
        <f>VLOOKUP(Tabla15[[#This Row],[N° 
Evento]],'Eventos de riesgos'!B:N,13,0)</f>
        <v>713 - Incumplimiento de Plazos o Responsabilidades</v>
      </c>
      <c r="AA241" s="59" t="str">
        <f>+VLOOKUP(Tabla15[[#This Row],[N° 
Evento]],'Eventos de riesgos'!$B$1:$AA$87,23,0)</f>
        <v>Giros de lotes duplicados</v>
      </c>
      <c r="AB241" s="54" t="str">
        <f>VLOOKUP(Tabla15[[#This Row],[N° 
Evento]],'Eventos de riesgos'!B:O,14,0)</f>
        <v>Ninguna</v>
      </c>
      <c r="AC241" s="60">
        <f>VLOOKUP(Tabla15[[#This Row],[N° 
Evento]],'Eventos de riesgos'!B:P,15,0)</f>
        <v>45838.809027777781</v>
      </c>
      <c r="AD241" s="54" t="str">
        <f>VLOOKUP(Tabla15[[#This Row],[N° 
Evento]],'Eventos de riesgos'!B:Q,16,0)</f>
        <v>Ninguno</v>
      </c>
      <c r="AE241" s="54" t="str">
        <f>VLOOKUP(Tabla15[[#This Row],[N° 
Evento]],'Eventos de riesgos'!B:R,17,0)</f>
        <v>Ninguno</v>
      </c>
      <c r="AF241" s="56" t="str">
        <f>VLOOKUP(Tabla15[[#This Row],[N° 
Evento]],'Eventos de riesgos'!B:V,21,0)</f>
        <v>Aprobado</v>
      </c>
      <c r="AG241" s="59" t="str">
        <f>VLOOKUP(Tabla15[[#This Row],[N° 
Evento]],'Eventos de riesgos'!B:W,22,0)</f>
        <v>17/07/2025 19:27:04: Creado
01/08/2025 16:29:30: Actualizado</v>
      </c>
    </row>
    <row r="242" spans="3:33" ht="59" customHeight="1" x14ac:dyDescent="0.55000000000000004">
      <c r="C242" s="54" t="str">
        <f>+Tabla15[[#This Row],[N° 
Evento]]&amp;"-"&amp;Tabla15[[#This Row],[N° Tarea]]</f>
        <v>77-4</v>
      </c>
      <c r="D242" s="54">
        <v>77</v>
      </c>
      <c r="E242" s="54">
        <v>4</v>
      </c>
      <c r="F242" s="55" t="s">
        <v>718</v>
      </c>
      <c r="G242" s="44" t="s">
        <v>1052</v>
      </c>
      <c r="H242" s="59" t="s">
        <v>782</v>
      </c>
      <c r="I242" s="59" t="s">
        <v>724</v>
      </c>
      <c r="J242" s="57">
        <v>45820</v>
      </c>
      <c r="K242" s="57">
        <v>45820</v>
      </c>
      <c r="L242" s="47" t="str">
        <f>IF(Tabla15[[#This Row],[Fecha de Finalización]]&gt;0,"Cerrada","En Proceso")</f>
        <v>Cerrada</v>
      </c>
      <c r="M242" s="58">
        <f t="shared" si="8"/>
        <v>0</v>
      </c>
      <c r="N242" s="59"/>
      <c r="O242" s="54">
        <f>VLOOKUP(Tabla15[[#This Row],[N° 
Evento]],'Eventos de riesgos'!B:C,2,0)</f>
        <v>2025</v>
      </c>
      <c r="P242" s="54" t="str">
        <f>VLOOKUP(Tabla15[[#This Row],[N° 
Evento]],'Eventos de riesgos'!B:D,3,0)</f>
        <v>Jun</v>
      </c>
      <c r="Q242" s="60">
        <f>VLOOKUP(Tabla15[[#This Row],[N° 
Evento]],'Eventos de riesgos'!B:E,4,0)</f>
        <v>45820.80972222222</v>
      </c>
      <c r="R242" s="60">
        <f>VLOOKUP(Tabla15[[#This Row],[N° 
Evento]],'Eventos de riesgos'!B:F,5,0)</f>
        <v>45820.80972222222</v>
      </c>
      <c r="S242" s="60">
        <f>VLOOKUP(Tabla15[[#This Row],[N° 
Evento]],'Eventos de riesgos'!B:G,6,0)</f>
        <v>45821.80972222222</v>
      </c>
      <c r="T242"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2" s="61">
        <f>VLOOKUP(Tabla15[[#This Row],[N° 
Evento]],'Eventos de riesgos'!B:I,8,0)</f>
        <v>28344421</v>
      </c>
      <c r="V242" s="61">
        <f>VLOOKUP(Tabla15[[#This Row],[N° 
Evento]],'Eventos de riesgos'!B:J,9,0)</f>
        <v>28344421</v>
      </c>
      <c r="W242" s="61">
        <f>VLOOKUP(Tabla15[[#This Row],[N° 
Evento]],'Eventos de riesgos'!B:K,10,0)</f>
        <v>0</v>
      </c>
      <c r="X242" s="59" t="str">
        <f>VLOOKUP(Tabla15[[#This Row],[N° 
Evento]],'Eventos de riesgos'!B:L,11,0)</f>
        <v>7 - Ejecución y Administración de Procesos</v>
      </c>
      <c r="Y242" s="59" t="str">
        <f>VLOOKUP(Tabla15[[#This Row],[N° 
Evento]],'Eventos de riesgos'!B:M,12,0)</f>
        <v>71 - Recepción, Ejecución y Mantenimiento de Operaciones</v>
      </c>
      <c r="Z242" s="59" t="str">
        <f>VLOOKUP(Tabla15[[#This Row],[N° 
Evento]],'Eventos de riesgos'!B:N,13,0)</f>
        <v>713 - Incumplimiento de Plazos o Responsabilidades</v>
      </c>
      <c r="AA242" s="59" t="str">
        <f>+VLOOKUP(Tabla15[[#This Row],[N° 
Evento]],'Eventos de riesgos'!$B$1:$AA$87,23,0)</f>
        <v>Giros de lotes duplicados</v>
      </c>
      <c r="AB242" s="54" t="str">
        <f>VLOOKUP(Tabla15[[#This Row],[N° 
Evento]],'Eventos de riesgos'!B:O,14,0)</f>
        <v>Ninguna</v>
      </c>
      <c r="AC242" s="60">
        <f>VLOOKUP(Tabla15[[#This Row],[N° 
Evento]],'Eventos de riesgos'!B:P,15,0)</f>
        <v>45838.809027777781</v>
      </c>
      <c r="AD242" s="54" t="str">
        <f>VLOOKUP(Tabla15[[#This Row],[N° 
Evento]],'Eventos de riesgos'!B:Q,16,0)</f>
        <v>Ninguno</v>
      </c>
      <c r="AE242" s="54" t="str">
        <f>VLOOKUP(Tabla15[[#This Row],[N° 
Evento]],'Eventos de riesgos'!B:R,17,0)</f>
        <v>Ninguno</v>
      </c>
      <c r="AF242" s="56" t="str">
        <f>VLOOKUP(Tabla15[[#This Row],[N° 
Evento]],'Eventos de riesgos'!B:V,21,0)</f>
        <v>Aprobado</v>
      </c>
      <c r="AG242" s="59" t="str">
        <f>VLOOKUP(Tabla15[[#This Row],[N° 
Evento]],'Eventos de riesgos'!B:W,22,0)</f>
        <v>17/07/2025 19:27:04: Creado
01/08/2025 16:29:30: Actualizado</v>
      </c>
    </row>
    <row r="243" spans="3:33" ht="59" customHeight="1" x14ac:dyDescent="0.55000000000000004">
      <c r="C243" s="54" t="str">
        <f>+Tabla15[[#This Row],[N° 
Evento]]&amp;"-"&amp;Tabla15[[#This Row],[N° Tarea]]</f>
        <v>77-5</v>
      </c>
      <c r="D243" s="54">
        <v>77</v>
      </c>
      <c r="E243" s="54">
        <v>5</v>
      </c>
      <c r="F243" s="55" t="s">
        <v>719</v>
      </c>
      <c r="G243" s="44" t="s">
        <v>1052</v>
      </c>
      <c r="H243" s="59" t="s">
        <v>937</v>
      </c>
      <c r="I243" s="59" t="s">
        <v>724</v>
      </c>
      <c r="J243" s="57">
        <v>45820</v>
      </c>
      <c r="K243" s="57">
        <v>45820</v>
      </c>
      <c r="L243" s="47" t="str">
        <f>IF(Tabla15[[#This Row],[Fecha de Finalización]]&gt;0,"Cerrada","En Proceso")</f>
        <v>Cerrada</v>
      </c>
      <c r="M243" s="58">
        <f t="shared" si="8"/>
        <v>0</v>
      </c>
      <c r="N243" s="59"/>
      <c r="O243" s="54">
        <f>VLOOKUP(Tabla15[[#This Row],[N° 
Evento]],'Eventos de riesgos'!B:C,2,0)</f>
        <v>2025</v>
      </c>
      <c r="P243" s="54" t="str">
        <f>VLOOKUP(Tabla15[[#This Row],[N° 
Evento]],'Eventos de riesgos'!B:D,3,0)</f>
        <v>Jun</v>
      </c>
      <c r="Q243" s="60">
        <f>VLOOKUP(Tabla15[[#This Row],[N° 
Evento]],'Eventos de riesgos'!B:E,4,0)</f>
        <v>45820.80972222222</v>
      </c>
      <c r="R243" s="60">
        <f>VLOOKUP(Tabla15[[#This Row],[N° 
Evento]],'Eventos de riesgos'!B:F,5,0)</f>
        <v>45820.80972222222</v>
      </c>
      <c r="S243" s="60">
        <f>VLOOKUP(Tabla15[[#This Row],[N° 
Evento]],'Eventos de riesgos'!B:G,6,0)</f>
        <v>45821.80972222222</v>
      </c>
      <c r="T243"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3" s="61">
        <f>VLOOKUP(Tabla15[[#This Row],[N° 
Evento]],'Eventos de riesgos'!B:I,8,0)</f>
        <v>28344421</v>
      </c>
      <c r="V243" s="61">
        <f>VLOOKUP(Tabla15[[#This Row],[N° 
Evento]],'Eventos de riesgos'!B:J,9,0)</f>
        <v>28344421</v>
      </c>
      <c r="W243" s="61">
        <f>VLOOKUP(Tabla15[[#This Row],[N° 
Evento]],'Eventos de riesgos'!B:K,10,0)</f>
        <v>0</v>
      </c>
      <c r="X243" s="59" t="str">
        <f>VLOOKUP(Tabla15[[#This Row],[N° 
Evento]],'Eventos de riesgos'!B:L,11,0)</f>
        <v>7 - Ejecución y Administración de Procesos</v>
      </c>
      <c r="Y243" s="59" t="str">
        <f>VLOOKUP(Tabla15[[#This Row],[N° 
Evento]],'Eventos de riesgos'!B:M,12,0)</f>
        <v>71 - Recepción, Ejecución y Mantenimiento de Operaciones</v>
      </c>
      <c r="Z243" s="59" t="str">
        <f>VLOOKUP(Tabla15[[#This Row],[N° 
Evento]],'Eventos de riesgos'!B:N,13,0)</f>
        <v>713 - Incumplimiento de Plazos o Responsabilidades</v>
      </c>
      <c r="AA243" s="59" t="str">
        <f>+VLOOKUP(Tabla15[[#This Row],[N° 
Evento]],'Eventos de riesgos'!$B$1:$AA$87,23,0)</f>
        <v>Giros de lotes duplicados</v>
      </c>
      <c r="AB243" s="54" t="str">
        <f>VLOOKUP(Tabla15[[#This Row],[N° 
Evento]],'Eventos de riesgos'!B:O,14,0)</f>
        <v>Ninguna</v>
      </c>
      <c r="AC243" s="60">
        <f>VLOOKUP(Tabla15[[#This Row],[N° 
Evento]],'Eventos de riesgos'!B:P,15,0)</f>
        <v>45838.809027777781</v>
      </c>
      <c r="AD243" s="54" t="str">
        <f>VLOOKUP(Tabla15[[#This Row],[N° 
Evento]],'Eventos de riesgos'!B:Q,16,0)</f>
        <v>Ninguno</v>
      </c>
      <c r="AE243" s="54" t="str">
        <f>VLOOKUP(Tabla15[[#This Row],[N° 
Evento]],'Eventos de riesgos'!B:R,17,0)</f>
        <v>Ninguno</v>
      </c>
      <c r="AF243" s="56" t="str">
        <f>VLOOKUP(Tabla15[[#This Row],[N° 
Evento]],'Eventos de riesgos'!B:V,21,0)</f>
        <v>Aprobado</v>
      </c>
      <c r="AG243" s="59" t="str">
        <f>VLOOKUP(Tabla15[[#This Row],[N° 
Evento]],'Eventos de riesgos'!B:W,22,0)</f>
        <v>17/07/2025 19:27:04: Creado
01/08/2025 16:29:30: Actualizado</v>
      </c>
    </row>
    <row r="244" spans="3:33" ht="59" customHeight="1" x14ac:dyDescent="0.55000000000000004">
      <c r="C244" s="54" t="str">
        <f>+Tabla15[[#This Row],[N° 
Evento]]&amp;"-"&amp;Tabla15[[#This Row],[N° Tarea]]</f>
        <v>77-6</v>
      </c>
      <c r="D244" s="54">
        <v>77</v>
      </c>
      <c r="E244" s="54">
        <v>6</v>
      </c>
      <c r="F244" s="55" t="s">
        <v>720</v>
      </c>
      <c r="G244" s="44" t="s">
        <v>1052</v>
      </c>
      <c r="H244" s="59" t="s">
        <v>725</v>
      </c>
      <c r="I244" s="56" t="s">
        <v>726</v>
      </c>
      <c r="J244" s="57">
        <v>45820</v>
      </c>
      <c r="K244" s="57">
        <v>45854</v>
      </c>
      <c r="L244" s="47" t="str">
        <f>IF(Tabla15[[#This Row],[Fecha de Finalización]]&gt;0,"Cerrada","En Proceso")</f>
        <v>Cerrada</v>
      </c>
      <c r="M244" s="58">
        <f t="shared" si="8"/>
        <v>34</v>
      </c>
      <c r="N244" s="59"/>
      <c r="O244" s="54">
        <f>VLOOKUP(Tabla15[[#This Row],[N° 
Evento]],'Eventos de riesgos'!B:C,2,0)</f>
        <v>2025</v>
      </c>
      <c r="P244" s="54" t="str">
        <f>VLOOKUP(Tabla15[[#This Row],[N° 
Evento]],'Eventos de riesgos'!B:D,3,0)</f>
        <v>Jun</v>
      </c>
      <c r="Q244" s="60">
        <f>VLOOKUP(Tabla15[[#This Row],[N° 
Evento]],'Eventos de riesgos'!B:E,4,0)</f>
        <v>45820.80972222222</v>
      </c>
      <c r="R244" s="60">
        <f>VLOOKUP(Tabla15[[#This Row],[N° 
Evento]],'Eventos de riesgos'!B:F,5,0)</f>
        <v>45820.80972222222</v>
      </c>
      <c r="S244" s="60">
        <f>VLOOKUP(Tabla15[[#This Row],[N° 
Evento]],'Eventos de riesgos'!B:G,6,0)</f>
        <v>45821.80972222222</v>
      </c>
      <c r="T244"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4" s="61">
        <f>VLOOKUP(Tabla15[[#This Row],[N° 
Evento]],'Eventos de riesgos'!B:I,8,0)</f>
        <v>28344421</v>
      </c>
      <c r="V244" s="61">
        <f>VLOOKUP(Tabla15[[#This Row],[N° 
Evento]],'Eventos de riesgos'!B:J,9,0)</f>
        <v>28344421</v>
      </c>
      <c r="W244" s="61">
        <f>VLOOKUP(Tabla15[[#This Row],[N° 
Evento]],'Eventos de riesgos'!B:K,10,0)</f>
        <v>0</v>
      </c>
      <c r="X244" s="59" t="str">
        <f>VLOOKUP(Tabla15[[#This Row],[N° 
Evento]],'Eventos de riesgos'!B:L,11,0)</f>
        <v>7 - Ejecución y Administración de Procesos</v>
      </c>
      <c r="Y244" s="59" t="str">
        <f>VLOOKUP(Tabla15[[#This Row],[N° 
Evento]],'Eventos de riesgos'!B:M,12,0)</f>
        <v>71 - Recepción, Ejecución y Mantenimiento de Operaciones</v>
      </c>
      <c r="Z244" s="59" t="str">
        <f>VLOOKUP(Tabla15[[#This Row],[N° 
Evento]],'Eventos de riesgos'!B:N,13,0)</f>
        <v>713 - Incumplimiento de Plazos o Responsabilidades</v>
      </c>
      <c r="AA244" s="59" t="str">
        <f>+VLOOKUP(Tabla15[[#This Row],[N° 
Evento]],'Eventos de riesgos'!$B$1:$AA$87,23,0)</f>
        <v>Giros de lotes duplicados</v>
      </c>
      <c r="AB244" s="54" t="str">
        <f>VLOOKUP(Tabla15[[#This Row],[N° 
Evento]],'Eventos de riesgos'!B:O,14,0)</f>
        <v>Ninguna</v>
      </c>
      <c r="AC244" s="60">
        <f>VLOOKUP(Tabla15[[#This Row],[N° 
Evento]],'Eventos de riesgos'!B:P,15,0)</f>
        <v>45838.809027777781</v>
      </c>
      <c r="AD244" s="54" t="str">
        <f>VLOOKUP(Tabla15[[#This Row],[N° 
Evento]],'Eventos de riesgos'!B:Q,16,0)</f>
        <v>Ninguno</v>
      </c>
      <c r="AE244" s="54" t="str">
        <f>VLOOKUP(Tabla15[[#This Row],[N° 
Evento]],'Eventos de riesgos'!B:R,17,0)</f>
        <v>Ninguno</v>
      </c>
      <c r="AF244" s="56" t="str">
        <f>VLOOKUP(Tabla15[[#This Row],[N° 
Evento]],'Eventos de riesgos'!B:V,21,0)</f>
        <v>Aprobado</v>
      </c>
      <c r="AG244" s="59" t="str">
        <f>VLOOKUP(Tabla15[[#This Row],[N° 
Evento]],'Eventos de riesgos'!B:W,22,0)</f>
        <v>17/07/2025 19:27:04: Creado
01/08/2025 16:29:30: Actualizado</v>
      </c>
    </row>
    <row r="245" spans="3:33" ht="59" customHeight="1" x14ac:dyDescent="0.55000000000000004">
      <c r="C245" s="54" t="str">
        <f>+Tabla15[[#This Row],[N° 
Evento]]&amp;"-"&amp;Tabla15[[#This Row],[N° Tarea]]</f>
        <v>77-7</v>
      </c>
      <c r="D245" s="54">
        <v>77</v>
      </c>
      <c r="E245" s="54">
        <v>7</v>
      </c>
      <c r="F245" s="55" t="s">
        <v>721</v>
      </c>
      <c r="G245" s="44" t="s">
        <v>1053</v>
      </c>
      <c r="H245" s="59" t="s">
        <v>713</v>
      </c>
      <c r="I245" s="59" t="s">
        <v>727</v>
      </c>
      <c r="J245" s="57">
        <v>45820</v>
      </c>
      <c r="K245" s="57">
        <v>45820</v>
      </c>
      <c r="L245" s="47" t="str">
        <f>IF(Tabla15[[#This Row],[Fecha de Finalización]]&gt;0,"Cerrada","En Proceso")</f>
        <v>Cerrada</v>
      </c>
      <c r="M245" s="58">
        <f t="shared" si="8"/>
        <v>0</v>
      </c>
      <c r="N245" s="59"/>
      <c r="O245" s="54">
        <f>VLOOKUP(Tabla15[[#This Row],[N° 
Evento]],'Eventos de riesgos'!B:C,2,0)</f>
        <v>2025</v>
      </c>
      <c r="P245" s="54" t="str">
        <f>VLOOKUP(Tabla15[[#This Row],[N° 
Evento]],'Eventos de riesgos'!B:D,3,0)</f>
        <v>Jun</v>
      </c>
      <c r="Q245" s="60">
        <f>VLOOKUP(Tabla15[[#This Row],[N° 
Evento]],'Eventos de riesgos'!B:E,4,0)</f>
        <v>45820.80972222222</v>
      </c>
      <c r="R245" s="60">
        <f>VLOOKUP(Tabla15[[#This Row],[N° 
Evento]],'Eventos de riesgos'!B:F,5,0)</f>
        <v>45820.80972222222</v>
      </c>
      <c r="S245" s="60">
        <f>VLOOKUP(Tabla15[[#This Row],[N° 
Evento]],'Eventos de riesgos'!B:G,6,0)</f>
        <v>45821.80972222222</v>
      </c>
      <c r="T245"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5" s="61">
        <f>VLOOKUP(Tabla15[[#This Row],[N° 
Evento]],'Eventos de riesgos'!B:I,8,0)</f>
        <v>28344421</v>
      </c>
      <c r="V245" s="61">
        <f>VLOOKUP(Tabla15[[#This Row],[N° 
Evento]],'Eventos de riesgos'!B:J,9,0)</f>
        <v>28344421</v>
      </c>
      <c r="W245" s="61">
        <f>VLOOKUP(Tabla15[[#This Row],[N° 
Evento]],'Eventos de riesgos'!B:K,10,0)</f>
        <v>0</v>
      </c>
      <c r="X245" s="59" t="str">
        <f>VLOOKUP(Tabla15[[#This Row],[N° 
Evento]],'Eventos de riesgos'!B:L,11,0)</f>
        <v>7 - Ejecución y Administración de Procesos</v>
      </c>
      <c r="Y245" s="59" t="str">
        <f>VLOOKUP(Tabla15[[#This Row],[N° 
Evento]],'Eventos de riesgos'!B:M,12,0)</f>
        <v>71 - Recepción, Ejecución y Mantenimiento de Operaciones</v>
      </c>
      <c r="Z245" s="59" t="str">
        <f>VLOOKUP(Tabla15[[#This Row],[N° 
Evento]],'Eventos de riesgos'!B:N,13,0)</f>
        <v>713 - Incumplimiento de Plazos o Responsabilidades</v>
      </c>
      <c r="AA245" s="59" t="str">
        <f>+VLOOKUP(Tabla15[[#This Row],[N° 
Evento]],'Eventos de riesgos'!$B$1:$AA$87,23,0)</f>
        <v>Giros de lotes duplicados</v>
      </c>
      <c r="AB245" s="54" t="str">
        <f>VLOOKUP(Tabla15[[#This Row],[N° 
Evento]],'Eventos de riesgos'!B:O,14,0)</f>
        <v>Ninguna</v>
      </c>
      <c r="AC245" s="60">
        <f>VLOOKUP(Tabla15[[#This Row],[N° 
Evento]],'Eventos de riesgos'!B:P,15,0)</f>
        <v>45838.809027777781</v>
      </c>
      <c r="AD245" s="54" t="str">
        <f>VLOOKUP(Tabla15[[#This Row],[N° 
Evento]],'Eventos de riesgos'!B:Q,16,0)</f>
        <v>Ninguno</v>
      </c>
      <c r="AE245" s="54" t="str">
        <f>VLOOKUP(Tabla15[[#This Row],[N° 
Evento]],'Eventos de riesgos'!B:R,17,0)</f>
        <v>Ninguno</v>
      </c>
      <c r="AF245" s="56" t="str">
        <f>VLOOKUP(Tabla15[[#This Row],[N° 
Evento]],'Eventos de riesgos'!B:V,21,0)</f>
        <v>Aprobado</v>
      </c>
      <c r="AG245" s="59" t="str">
        <f>VLOOKUP(Tabla15[[#This Row],[N° 
Evento]],'Eventos de riesgos'!B:W,22,0)</f>
        <v>17/07/2025 19:27:04: Creado
01/08/2025 16:29:30: Actualizado</v>
      </c>
    </row>
    <row r="246" spans="3:33" ht="59" customHeight="1" x14ac:dyDescent="0.55000000000000004">
      <c r="C246" s="54" t="str">
        <f>+Tabla15[[#This Row],[N° 
Evento]]&amp;"-"&amp;Tabla15[[#This Row],[N° Tarea]]</f>
        <v>77-8</v>
      </c>
      <c r="D246" s="54">
        <v>77</v>
      </c>
      <c r="E246" s="54">
        <v>8</v>
      </c>
      <c r="F246" s="55" t="s">
        <v>722</v>
      </c>
      <c r="G246" s="44" t="s">
        <v>1053</v>
      </c>
      <c r="H246" s="59" t="s">
        <v>713</v>
      </c>
      <c r="I246" s="59" t="s">
        <v>727</v>
      </c>
      <c r="J246" s="57">
        <v>45820</v>
      </c>
      <c r="K246" s="57">
        <v>45820</v>
      </c>
      <c r="L246" s="47" t="str">
        <f>IF(Tabla15[[#This Row],[Fecha de Finalización]]&gt;0,"Cerrada","En Proceso")</f>
        <v>Cerrada</v>
      </c>
      <c r="M246" s="58">
        <f t="shared" si="8"/>
        <v>0</v>
      </c>
      <c r="N246" s="59"/>
      <c r="O246" s="54">
        <f>VLOOKUP(Tabla15[[#This Row],[N° 
Evento]],'Eventos de riesgos'!B:C,2,0)</f>
        <v>2025</v>
      </c>
      <c r="P246" s="54" t="str">
        <f>VLOOKUP(Tabla15[[#This Row],[N° 
Evento]],'Eventos de riesgos'!B:D,3,0)</f>
        <v>Jun</v>
      </c>
      <c r="Q246" s="60">
        <f>VLOOKUP(Tabla15[[#This Row],[N° 
Evento]],'Eventos de riesgos'!B:E,4,0)</f>
        <v>45820.80972222222</v>
      </c>
      <c r="R246" s="60">
        <f>VLOOKUP(Tabla15[[#This Row],[N° 
Evento]],'Eventos de riesgos'!B:F,5,0)</f>
        <v>45820.80972222222</v>
      </c>
      <c r="S246" s="60">
        <f>VLOOKUP(Tabla15[[#This Row],[N° 
Evento]],'Eventos de riesgos'!B:G,6,0)</f>
        <v>45821.80972222222</v>
      </c>
      <c r="T246"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6" s="61">
        <f>VLOOKUP(Tabla15[[#This Row],[N° 
Evento]],'Eventos de riesgos'!B:I,8,0)</f>
        <v>28344421</v>
      </c>
      <c r="V246" s="61">
        <f>VLOOKUP(Tabla15[[#This Row],[N° 
Evento]],'Eventos de riesgos'!B:J,9,0)</f>
        <v>28344421</v>
      </c>
      <c r="W246" s="61">
        <f>VLOOKUP(Tabla15[[#This Row],[N° 
Evento]],'Eventos de riesgos'!B:K,10,0)</f>
        <v>0</v>
      </c>
      <c r="X246" s="59" t="str">
        <f>VLOOKUP(Tabla15[[#This Row],[N° 
Evento]],'Eventos de riesgos'!B:L,11,0)</f>
        <v>7 - Ejecución y Administración de Procesos</v>
      </c>
      <c r="Y246" s="59" t="str">
        <f>VLOOKUP(Tabla15[[#This Row],[N° 
Evento]],'Eventos de riesgos'!B:M,12,0)</f>
        <v>71 - Recepción, Ejecución y Mantenimiento de Operaciones</v>
      </c>
      <c r="Z246" s="59" t="str">
        <f>VLOOKUP(Tabla15[[#This Row],[N° 
Evento]],'Eventos de riesgos'!B:N,13,0)</f>
        <v>713 - Incumplimiento de Plazos o Responsabilidades</v>
      </c>
      <c r="AA246" s="59" t="str">
        <f>+VLOOKUP(Tabla15[[#This Row],[N° 
Evento]],'Eventos de riesgos'!$B$1:$AA$87,23,0)</f>
        <v>Giros de lotes duplicados</v>
      </c>
      <c r="AB246" s="54" t="str">
        <f>VLOOKUP(Tabla15[[#This Row],[N° 
Evento]],'Eventos de riesgos'!B:O,14,0)</f>
        <v>Ninguna</v>
      </c>
      <c r="AC246" s="60">
        <f>VLOOKUP(Tabla15[[#This Row],[N° 
Evento]],'Eventos de riesgos'!B:P,15,0)</f>
        <v>45838.809027777781</v>
      </c>
      <c r="AD246" s="54" t="str">
        <f>VLOOKUP(Tabla15[[#This Row],[N° 
Evento]],'Eventos de riesgos'!B:Q,16,0)</f>
        <v>Ninguno</v>
      </c>
      <c r="AE246" s="54" t="str">
        <f>VLOOKUP(Tabla15[[#This Row],[N° 
Evento]],'Eventos de riesgos'!B:R,17,0)</f>
        <v>Ninguno</v>
      </c>
      <c r="AF246" s="56" t="str">
        <f>VLOOKUP(Tabla15[[#This Row],[N° 
Evento]],'Eventos de riesgos'!B:V,21,0)</f>
        <v>Aprobado</v>
      </c>
      <c r="AG246" s="59" t="str">
        <f>VLOOKUP(Tabla15[[#This Row],[N° 
Evento]],'Eventos de riesgos'!B:W,22,0)</f>
        <v>17/07/2025 19:27:04: Creado
01/08/2025 16:29:30: Actualizado</v>
      </c>
    </row>
    <row r="247" spans="3:33" ht="59" customHeight="1" x14ac:dyDescent="0.55000000000000004">
      <c r="C247" s="54" t="str">
        <f>+Tabla15[[#This Row],[N° 
Evento]]&amp;"-"&amp;Tabla15[[#This Row],[N° Tarea]]</f>
        <v>77-9</v>
      </c>
      <c r="D247" s="54">
        <v>77</v>
      </c>
      <c r="E247" s="54">
        <v>9</v>
      </c>
      <c r="F247" s="55" t="s">
        <v>723</v>
      </c>
      <c r="G247" s="44" t="s">
        <v>1053</v>
      </c>
      <c r="H247" s="59" t="s">
        <v>728</v>
      </c>
      <c r="I247" s="59" t="s">
        <v>729</v>
      </c>
      <c r="J247" s="57">
        <v>45820</v>
      </c>
      <c r="K247" s="57">
        <v>45820</v>
      </c>
      <c r="L247" s="47" t="str">
        <f>IF(Tabla15[[#This Row],[Fecha de Finalización]]&gt;0,"Cerrada","En Proceso")</f>
        <v>Cerrada</v>
      </c>
      <c r="M247" s="58">
        <f t="shared" si="8"/>
        <v>0</v>
      </c>
      <c r="N247" s="59" t="s">
        <v>730</v>
      </c>
      <c r="O247" s="54">
        <f>VLOOKUP(Tabla15[[#This Row],[N° 
Evento]],'Eventos de riesgos'!B:C,2,0)</f>
        <v>2025</v>
      </c>
      <c r="P247" s="54" t="str">
        <f>VLOOKUP(Tabla15[[#This Row],[N° 
Evento]],'Eventos de riesgos'!B:D,3,0)</f>
        <v>Jun</v>
      </c>
      <c r="Q247" s="60">
        <f>VLOOKUP(Tabla15[[#This Row],[N° 
Evento]],'Eventos de riesgos'!B:E,4,0)</f>
        <v>45820.80972222222</v>
      </c>
      <c r="R247" s="60">
        <f>VLOOKUP(Tabla15[[#This Row],[N° 
Evento]],'Eventos de riesgos'!B:F,5,0)</f>
        <v>45820.80972222222</v>
      </c>
      <c r="S247" s="60">
        <f>VLOOKUP(Tabla15[[#This Row],[N° 
Evento]],'Eventos de riesgos'!B:G,6,0)</f>
        <v>45821.80972222222</v>
      </c>
      <c r="T247"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7" s="61">
        <f>VLOOKUP(Tabla15[[#This Row],[N° 
Evento]],'Eventos de riesgos'!B:I,8,0)</f>
        <v>28344421</v>
      </c>
      <c r="V247" s="61">
        <f>VLOOKUP(Tabla15[[#This Row],[N° 
Evento]],'Eventos de riesgos'!B:J,9,0)</f>
        <v>28344421</v>
      </c>
      <c r="W247" s="61">
        <f>VLOOKUP(Tabla15[[#This Row],[N° 
Evento]],'Eventos de riesgos'!B:K,10,0)</f>
        <v>0</v>
      </c>
      <c r="X247" s="59" t="str">
        <f>VLOOKUP(Tabla15[[#This Row],[N° 
Evento]],'Eventos de riesgos'!B:L,11,0)</f>
        <v>7 - Ejecución y Administración de Procesos</v>
      </c>
      <c r="Y247" s="59" t="str">
        <f>VLOOKUP(Tabla15[[#This Row],[N° 
Evento]],'Eventos de riesgos'!B:M,12,0)</f>
        <v>71 - Recepción, Ejecución y Mantenimiento de Operaciones</v>
      </c>
      <c r="Z247" s="59" t="str">
        <f>VLOOKUP(Tabla15[[#This Row],[N° 
Evento]],'Eventos de riesgos'!B:N,13,0)</f>
        <v>713 - Incumplimiento de Plazos o Responsabilidades</v>
      </c>
      <c r="AA247" s="59" t="str">
        <f>+VLOOKUP(Tabla15[[#This Row],[N° 
Evento]],'Eventos de riesgos'!$B$1:$AA$87,23,0)</f>
        <v>Giros de lotes duplicados</v>
      </c>
      <c r="AB247" s="54" t="str">
        <f>VLOOKUP(Tabla15[[#This Row],[N° 
Evento]],'Eventos de riesgos'!B:O,14,0)</f>
        <v>Ninguna</v>
      </c>
      <c r="AC247" s="60">
        <f>VLOOKUP(Tabla15[[#This Row],[N° 
Evento]],'Eventos de riesgos'!B:P,15,0)</f>
        <v>45838.809027777781</v>
      </c>
      <c r="AD247" s="54" t="str">
        <f>VLOOKUP(Tabla15[[#This Row],[N° 
Evento]],'Eventos de riesgos'!B:Q,16,0)</f>
        <v>Ninguno</v>
      </c>
      <c r="AE247" s="54" t="str">
        <f>VLOOKUP(Tabla15[[#This Row],[N° 
Evento]],'Eventos de riesgos'!B:R,17,0)</f>
        <v>Ninguno</v>
      </c>
      <c r="AF247" s="56" t="str">
        <f>VLOOKUP(Tabla15[[#This Row],[N° 
Evento]],'Eventos de riesgos'!B:V,21,0)</f>
        <v>Aprobado</v>
      </c>
      <c r="AG247" s="59" t="str">
        <f>VLOOKUP(Tabla15[[#This Row],[N° 
Evento]],'Eventos de riesgos'!B:W,22,0)</f>
        <v>17/07/2025 19:27:04: Creado
01/08/2025 16:29:30: Actualizado</v>
      </c>
    </row>
    <row r="248" spans="3:33" ht="132" customHeight="1" x14ac:dyDescent="0.55000000000000004">
      <c r="C248" s="54" t="str">
        <f>+Tabla15[[#This Row],[N° 
Evento]]&amp;"-"&amp;Tabla15[[#This Row],[N° Tarea]]</f>
        <v>77-10</v>
      </c>
      <c r="D248" s="54">
        <v>77</v>
      </c>
      <c r="E248" s="54">
        <v>10</v>
      </c>
      <c r="F248" s="55" t="s">
        <v>731</v>
      </c>
      <c r="G248" s="44" t="s">
        <v>1053</v>
      </c>
      <c r="H248" s="59" t="s">
        <v>939</v>
      </c>
      <c r="I248" s="59" t="s">
        <v>927</v>
      </c>
      <c r="J248" s="57">
        <v>45820</v>
      </c>
      <c r="K248" s="57">
        <v>45850</v>
      </c>
      <c r="L248" s="47" t="s">
        <v>217</v>
      </c>
      <c r="M248" s="58">
        <f t="shared" si="8"/>
        <v>30</v>
      </c>
      <c r="N248" s="59" t="s">
        <v>928</v>
      </c>
      <c r="O248" s="54">
        <f>VLOOKUP(Tabla15[[#This Row],[N° 
Evento]],'Eventos de riesgos'!B:C,2,0)</f>
        <v>2025</v>
      </c>
      <c r="P248" s="54" t="str">
        <f>VLOOKUP(Tabla15[[#This Row],[N° 
Evento]],'Eventos de riesgos'!B:D,3,0)</f>
        <v>Jun</v>
      </c>
      <c r="Q248" s="60">
        <f>VLOOKUP(Tabla15[[#This Row],[N° 
Evento]],'Eventos de riesgos'!B:E,4,0)</f>
        <v>45820.80972222222</v>
      </c>
      <c r="R248" s="60">
        <f>VLOOKUP(Tabla15[[#This Row],[N° 
Evento]],'Eventos de riesgos'!B:F,5,0)</f>
        <v>45820.80972222222</v>
      </c>
      <c r="S248" s="60">
        <f>VLOOKUP(Tabla15[[#This Row],[N° 
Evento]],'Eventos de riesgos'!B:G,6,0)</f>
        <v>45821.80972222222</v>
      </c>
      <c r="T248"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8" s="61">
        <f>VLOOKUP(Tabla15[[#This Row],[N° 
Evento]],'Eventos de riesgos'!B:I,8,0)</f>
        <v>28344421</v>
      </c>
      <c r="V248" s="61">
        <f>VLOOKUP(Tabla15[[#This Row],[N° 
Evento]],'Eventos de riesgos'!B:J,9,0)</f>
        <v>28344421</v>
      </c>
      <c r="W248" s="61">
        <f>VLOOKUP(Tabla15[[#This Row],[N° 
Evento]],'Eventos de riesgos'!B:K,10,0)</f>
        <v>0</v>
      </c>
      <c r="X248" s="59" t="str">
        <f>VLOOKUP(Tabla15[[#This Row],[N° 
Evento]],'Eventos de riesgos'!B:L,11,0)</f>
        <v>7 - Ejecución y Administración de Procesos</v>
      </c>
      <c r="Y248" s="59" t="str">
        <f>VLOOKUP(Tabla15[[#This Row],[N° 
Evento]],'Eventos de riesgos'!B:M,12,0)</f>
        <v>71 - Recepción, Ejecución y Mantenimiento de Operaciones</v>
      </c>
      <c r="Z248" s="59" t="str">
        <f>VLOOKUP(Tabla15[[#This Row],[N° 
Evento]],'Eventos de riesgos'!B:N,13,0)</f>
        <v>713 - Incumplimiento de Plazos o Responsabilidades</v>
      </c>
      <c r="AA248" s="59" t="str">
        <f>+VLOOKUP(Tabla15[[#This Row],[N° 
Evento]],'Eventos de riesgos'!$B$1:$AA$87,23,0)</f>
        <v>Giros de lotes duplicados</v>
      </c>
      <c r="AB248" s="54" t="str">
        <f>VLOOKUP(Tabla15[[#This Row],[N° 
Evento]],'Eventos de riesgos'!B:O,14,0)</f>
        <v>Ninguna</v>
      </c>
      <c r="AC248" s="60">
        <f>VLOOKUP(Tabla15[[#This Row],[N° 
Evento]],'Eventos de riesgos'!B:P,15,0)</f>
        <v>45838.809027777781</v>
      </c>
      <c r="AD248" s="54" t="str">
        <f>VLOOKUP(Tabla15[[#This Row],[N° 
Evento]],'Eventos de riesgos'!B:Q,16,0)</f>
        <v>Ninguno</v>
      </c>
      <c r="AE248" s="54" t="str">
        <f>VLOOKUP(Tabla15[[#This Row],[N° 
Evento]],'Eventos de riesgos'!B:R,17,0)</f>
        <v>Ninguno</v>
      </c>
      <c r="AF248" s="56" t="str">
        <f>VLOOKUP(Tabla15[[#This Row],[N° 
Evento]],'Eventos de riesgos'!B:V,21,0)</f>
        <v>Aprobado</v>
      </c>
      <c r="AG248" s="59" t="str">
        <f>VLOOKUP(Tabla15[[#This Row],[N° 
Evento]],'Eventos de riesgos'!B:W,22,0)</f>
        <v>17/07/2025 19:27:04: Creado
01/08/2025 16:29:30: Actualizado</v>
      </c>
    </row>
    <row r="249" spans="3:33" ht="76.5" customHeight="1" x14ac:dyDescent="0.55000000000000004">
      <c r="C249" s="54" t="str">
        <f>+Tabla15[[#This Row],[N° 
Evento]]&amp;"-"&amp;Tabla15[[#This Row],[N° Tarea]]</f>
        <v>77-11</v>
      </c>
      <c r="D249" s="54">
        <v>77</v>
      </c>
      <c r="E249" s="54">
        <v>11</v>
      </c>
      <c r="F249" s="55" t="s">
        <v>732</v>
      </c>
      <c r="G249" s="44" t="s">
        <v>1053</v>
      </c>
      <c r="H249" s="59" t="s">
        <v>649</v>
      </c>
      <c r="I249" s="59" t="s">
        <v>733</v>
      </c>
      <c r="J249" s="57">
        <v>45820</v>
      </c>
      <c r="K249" s="57">
        <v>45850</v>
      </c>
      <c r="L249" s="47" t="str">
        <f>IF(Tabla15[[#This Row],[Fecha de Finalización]]&gt;0,"Cerrada","En Proceso")</f>
        <v>Cerrada</v>
      </c>
      <c r="M249" s="58">
        <f t="shared" si="8"/>
        <v>30</v>
      </c>
      <c r="N249" s="59" t="s">
        <v>831</v>
      </c>
      <c r="O249" s="54">
        <f>VLOOKUP(Tabla15[[#This Row],[N° 
Evento]],'Eventos de riesgos'!B:C,2,0)</f>
        <v>2025</v>
      </c>
      <c r="P249" s="54" t="str">
        <f>VLOOKUP(Tabla15[[#This Row],[N° 
Evento]],'Eventos de riesgos'!B:D,3,0)</f>
        <v>Jun</v>
      </c>
      <c r="Q249" s="60">
        <f>VLOOKUP(Tabla15[[#This Row],[N° 
Evento]],'Eventos de riesgos'!B:E,4,0)</f>
        <v>45820.80972222222</v>
      </c>
      <c r="R249" s="60">
        <f>VLOOKUP(Tabla15[[#This Row],[N° 
Evento]],'Eventos de riesgos'!B:F,5,0)</f>
        <v>45820.80972222222</v>
      </c>
      <c r="S249" s="60">
        <f>VLOOKUP(Tabla15[[#This Row],[N° 
Evento]],'Eventos de riesgos'!B:G,6,0)</f>
        <v>45821.80972222222</v>
      </c>
      <c r="T249"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 exposición de errores financieros de esta naturaleza puede afectar la percepción de confianza, eficiencia y control institucional ante asociados y entes de control.·   Acciones  Correctivas  Confirmación de que todos los giros fueron realizados a cuentas de asociados activos, sin afectación a terceros.  Verificación que fueran asociados de las cuentas destino, en esta ocasión fueron: Davivienda, Scotiabank y Occidente.  Contacto inmediato con los asociados a través de llamadas y por WhatsApp para gestionar la recuperación de recursos.  Seguimiento y recuperación de recursos: Asegurar el reintegro total de los valores girados en exceso a los asociados del lote duplicado.  Registro de la trazabilidad, apoyo y refuerzo por parte de servicio al Asociado para el contacto con los asociados  Evaluación y determinación de procesos disciplinarios  Preventivas  Notificación inmediata cuando se detecten fallas en el sistema durante el proceso de cargue de lotes, con el fin de alertar a los usuarios aprobadores y activar una atención especial antes de efectuar cualquier giro.  Bloqueo de lotes errados. Ante la identificación de un lote cargado más de una vez en el sistema, se deberá proceder con el bloqueo inmediato de los registros duplicados en la plataforma de Coopcentral, con el fin de prevenir su eventual aprobación.  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  Realizar un análisis estadístico del historial de transacciones, con el propósito de identificar los niveles diarios de aprobación habituales y determinar si es pertinente establecer límites o topes operativos.  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v>
      </c>
      <c r="U249" s="61">
        <f>VLOOKUP(Tabla15[[#This Row],[N° 
Evento]],'Eventos de riesgos'!B:I,8,0)</f>
        <v>28344421</v>
      </c>
      <c r="V249" s="61">
        <f>VLOOKUP(Tabla15[[#This Row],[N° 
Evento]],'Eventos de riesgos'!B:J,9,0)</f>
        <v>28344421</v>
      </c>
      <c r="W249" s="61">
        <f>VLOOKUP(Tabla15[[#This Row],[N° 
Evento]],'Eventos de riesgos'!B:K,10,0)</f>
        <v>0</v>
      </c>
      <c r="X249" s="59" t="str">
        <f>VLOOKUP(Tabla15[[#This Row],[N° 
Evento]],'Eventos de riesgos'!B:L,11,0)</f>
        <v>7 - Ejecución y Administración de Procesos</v>
      </c>
      <c r="Y249" s="59" t="str">
        <f>VLOOKUP(Tabla15[[#This Row],[N° 
Evento]],'Eventos de riesgos'!B:M,12,0)</f>
        <v>71 - Recepción, Ejecución y Mantenimiento de Operaciones</v>
      </c>
      <c r="Z249" s="59" t="str">
        <f>VLOOKUP(Tabla15[[#This Row],[N° 
Evento]],'Eventos de riesgos'!B:N,13,0)</f>
        <v>713 - Incumplimiento de Plazos o Responsabilidades</v>
      </c>
      <c r="AA249" s="59" t="str">
        <f>+VLOOKUP(Tabla15[[#This Row],[N° 
Evento]],'Eventos de riesgos'!$B$1:$AA$87,23,0)</f>
        <v>Giros de lotes duplicados</v>
      </c>
      <c r="AB249" s="54" t="str">
        <f>VLOOKUP(Tabla15[[#This Row],[N° 
Evento]],'Eventos de riesgos'!B:O,14,0)</f>
        <v>Ninguna</v>
      </c>
      <c r="AC249" s="60">
        <f>VLOOKUP(Tabla15[[#This Row],[N° 
Evento]],'Eventos de riesgos'!B:P,15,0)</f>
        <v>45838.809027777781</v>
      </c>
      <c r="AD249" s="54" t="str">
        <f>VLOOKUP(Tabla15[[#This Row],[N° 
Evento]],'Eventos de riesgos'!B:Q,16,0)</f>
        <v>Ninguno</v>
      </c>
      <c r="AE249" s="54" t="str">
        <f>VLOOKUP(Tabla15[[#This Row],[N° 
Evento]],'Eventos de riesgos'!B:R,17,0)</f>
        <v>Ninguno</v>
      </c>
      <c r="AF249" s="56" t="str">
        <f>VLOOKUP(Tabla15[[#This Row],[N° 
Evento]],'Eventos de riesgos'!B:V,21,0)</f>
        <v>Aprobado</v>
      </c>
      <c r="AG249" s="59" t="str">
        <f>VLOOKUP(Tabla15[[#This Row],[N° 
Evento]],'Eventos de riesgos'!B:W,22,0)</f>
        <v>17/07/2025 19:27:04: Creado
01/08/2025 16:29:30: Actualizado</v>
      </c>
    </row>
    <row r="250" spans="3:33" ht="59" customHeight="1" x14ac:dyDescent="0.55000000000000004">
      <c r="C250" s="54" t="str">
        <f>+Tabla15[[#This Row],[N° 
Evento]]&amp;"-"&amp;Tabla15[[#This Row],[N° Tarea]]</f>
        <v>78-1</v>
      </c>
      <c r="D250" s="54">
        <v>78</v>
      </c>
      <c r="E250" s="54">
        <v>1</v>
      </c>
      <c r="F250" s="55" t="s">
        <v>734</v>
      </c>
      <c r="G250" s="44" t="s">
        <v>1052</v>
      </c>
      <c r="H250" s="59" t="s">
        <v>760</v>
      </c>
      <c r="I250" s="59" t="s">
        <v>95</v>
      </c>
      <c r="J250" s="57">
        <v>45845</v>
      </c>
      <c r="K250" s="57">
        <v>45845</v>
      </c>
      <c r="L250" s="47" t="str">
        <f>IF(Tabla15[[#This Row],[Fecha de Finalización]]&gt;0,"Cerrada","En Proceso")</f>
        <v>Cerrada</v>
      </c>
      <c r="M250" s="58">
        <f t="shared" ref="M250:M263" si="9">+K250-J250</f>
        <v>0</v>
      </c>
      <c r="N250" s="59"/>
      <c r="O250" s="54">
        <f>VLOOKUP(Tabla15[[#This Row],[N° 
Evento]],'Eventos de riesgos'!B:C,2,0)</f>
        <v>2025</v>
      </c>
      <c r="P250" s="54" t="str">
        <f>VLOOKUP(Tabla15[[#This Row],[N° 
Evento]],'Eventos de riesgos'!B:D,3,0)</f>
        <v>Jul</v>
      </c>
      <c r="Q250" s="60">
        <f>VLOOKUP(Tabla15[[#This Row],[N° 
Evento]],'Eventos de riesgos'!B:E,4,0)</f>
        <v>45842.597222222219</v>
      </c>
      <c r="R250" s="60">
        <f>VLOOKUP(Tabla15[[#This Row],[N° 
Evento]],'Eventos de riesgos'!B:F,5,0)</f>
        <v>45845.597916666666</v>
      </c>
      <c r="S250" s="60">
        <f>VLOOKUP(Tabla15[[#This Row],[N° 
Evento]],'Eventos de riesgos'!B:G,6,0)</f>
        <v>45839.597916666666</v>
      </c>
      <c r="T250" s="63" t="str">
        <f>VLOOKUP(Tabla15[[#This Row],[N° 
Evento]],'Eventos de riesgos'!B:H,7,0)</f>
        <v>CasoDurante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pago.Atención a asociadosDesde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cobro.Soporte para ajustes en el sistemaUna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#66041.Gestión de recaudoDesde el área de Operaciones se gestionó el recaudo de las cuotas del producto DAES, logrando normalizar la situación de 452 asociados de un total de 723. Del total restante, 56 se encuentran pendientes de ajuste técnico y 215 asociados presentan cuotas aún por pagar.CausasPresuntas fallas derivadas de las actualizaciones en el Core Financiero WOG, las cuales impidieron la correcta apertura de cuotas del producto DAES en múltiples cuentas, afectando los ciclos normales de recaudo.Ausencia de revisión y validación técnica posterior a los procesos de actualización, lo que permitió que las inconsistencias no fueran identificadas ni corregidas oportunamente pese a que ya se habían presentado unos meses atrás.ImpactoAumento de la mora en DAES por no lograr el recaudo efectivo.Afectación en la imagen por la percepción de desorganización en el manejo de los descuentos.Incremento en la carga operativa para la gestión y seguimiento de estos casosAccioneCorrectivasAtención a los asociados inconformesSoporte técnico para ajuste del sistemaGestión de recaudo y programación de cuotas morosas para quienes no sea posible efectuar el recaudo.PreventivasIncorporar la validación cruzada para detectar inconstancias técnicas por lo menos 1 vez al mes                                                ci</v>
      </c>
      <c r="U250" s="61">
        <f>VLOOKUP(Tabla15[[#This Row],[N° 
Evento]],'Eventos de riesgos'!B:I,8,0)</f>
        <v>0</v>
      </c>
      <c r="V250" s="61">
        <f>VLOOKUP(Tabla15[[#This Row],[N° 
Evento]],'Eventos de riesgos'!B:J,9,0)</f>
        <v>0</v>
      </c>
      <c r="W250" s="61">
        <f>VLOOKUP(Tabla15[[#This Row],[N° 
Evento]],'Eventos de riesgos'!B:K,10,0)</f>
        <v>0</v>
      </c>
      <c r="X250" s="59" t="str">
        <f>VLOOKUP(Tabla15[[#This Row],[N° 
Evento]],'Eventos de riesgos'!B:L,11,0)</f>
        <v>4 - Asociados o Clientes</v>
      </c>
      <c r="Y250" s="59" t="str">
        <f>VLOOKUP(Tabla15[[#This Row],[N° 
Evento]],'Eventos de riesgos'!B:M,12,0)</f>
        <v>43 - Productos o Servicios Defectuosos</v>
      </c>
      <c r="Z250" s="59" t="str">
        <f>VLOOKUP(Tabla15[[#This Row],[N° 
Evento]],'Eventos de riesgos'!B:N,13,0)</f>
        <v>431 - Defectos del Producto</v>
      </c>
      <c r="AA250" s="59" t="str">
        <f>+VLOOKUP(Tabla15[[#This Row],[N° 
Evento]],'Eventos de riesgos'!$B$1:$AA$87,23,0)</f>
        <v>Falla en apertura de cuota CDAT</v>
      </c>
      <c r="AB250" s="54" t="str">
        <f>VLOOKUP(Tabla15[[#This Row],[N° 
Evento]],'Eventos de riesgos'!B:O,14,0)</f>
        <v>Ninguna</v>
      </c>
      <c r="AC250" s="60">
        <f>VLOOKUP(Tabla15[[#This Row],[N° 
Evento]],'Eventos de riesgos'!B:P,15,0)</f>
        <v>45845.606944444444</v>
      </c>
      <c r="AD250" s="54" t="str">
        <f>VLOOKUP(Tabla15[[#This Row],[N° 
Evento]],'Eventos de riesgos'!B:Q,16,0)</f>
        <v>Depósito de Ahorro con Estímulo (DAES)</v>
      </c>
      <c r="AE250" s="54" t="str">
        <f>VLOOKUP(Tabla15[[#This Row],[N° 
Evento]],'Eventos de riesgos'!B:R,17,0)</f>
        <v>Ninguno</v>
      </c>
      <c r="AF250" s="56" t="str">
        <f>VLOOKUP(Tabla15[[#This Row],[N° 
Evento]],'Eventos de riesgos'!B:V,21,0)</f>
        <v>Aprobado</v>
      </c>
      <c r="AG250" s="59" t="str">
        <f>VLOOKUP(Tabla15[[#This Row],[N° 
Evento]],'Eventos de riesgos'!B:W,22,0)</f>
        <v>null
04/08/2025 09:46:13: Aprobado para gestión
04/08/2025 09:46:30: Aprobado para gestión
04/08/2025 13:45:57: Actualizado
04/08/2025 13:50:27: Actualización</v>
      </c>
    </row>
    <row r="251" spans="3:33" ht="59" customHeight="1" x14ac:dyDescent="0.55000000000000004">
      <c r="C251" s="54" t="str">
        <f>+Tabla15[[#This Row],[N° 
Evento]]&amp;"-"&amp;Tabla15[[#This Row],[N° Tarea]]</f>
        <v>78-2</v>
      </c>
      <c r="D251" s="54">
        <v>78</v>
      </c>
      <c r="E251" s="54">
        <v>2</v>
      </c>
      <c r="F251" s="55" t="s">
        <v>735</v>
      </c>
      <c r="G251" s="44" t="s">
        <v>1052</v>
      </c>
      <c r="H251" s="59" t="s">
        <v>740</v>
      </c>
      <c r="I251" s="59" t="s">
        <v>91</v>
      </c>
      <c r="J251" s="57">
        <v>45845</v>
      </c>
      <c r="K251" s="57">
        <v>45845</v>
      </c>
      <c r="L251" s="47" t="str">
        <f>IF(Tabla15[[#This Row],[Fecha de Finalización]]&gt;0,"Cerrada","En Proceso")</f>
        <v>Cerrada</v>
      </c>
      <c r="M251" s="58">
        <f t="shared" si="9"/>
        <v>0</v>
      </c>
      <c r="N251" s="59"/>
      <c r="O251" s="54">
        <f>VLOOKUP(Tabla15[[#This Row],[N° 
Evento]],'Eventos de riesgos'!B:C,2,0)</f>
        <v>2025</v>
      </c>
      <c r="P251" s="54" t="str">
        <f>VLOOKUP(Tabla15[[#This Row],[N° 
Evento]],'Eventos de riesgos'!B:D,3,0)</f>
        <v>Jul</v>
      </c>
      <c r="Q251" s="60">
        <f>VLOOKUP(Tabla15[[#This Row],[N° 
Evento]],'Eventos de riesgos'!B:E,4,0)</f>
        <v>45842.597222222219</v>
      </c>
      <c r="R251" s="60">
        <f>VLOOKUP(Tabla15[[#This Row],[N° 
Evento]],'Eventos de riesgos'!B:F,5,0)</f>
        <v>45845.597916666666</v>
      </c>
      <c r="S251" s="60">
        <f>VLOOKUP(Tabla15[[#This Row],[N° 
Evento]],'Eventos de riesgos'!B:G,6,0)</f>
        <v>45839.597916666666</v>
      </c>
      <c r="T251" s="63" t="str">
        <f>VLOOKUP(Tabla15[[#This Row],[N° 
Evento]],'Eventos de riesgos'!B:H,7,0)</f>
        <v>CasoDurante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pago.Atención a asociadosDesde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cobro.Soporte para ajustes en el sistemaUna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#66041.Gestión de recaudoDesde el área de Operaciones se gestionó el recaudo de las cuotas del producto DAES, logrando normalizar la situación de 452 asociados de un total de 723. Del total restante, 56 se encuentran pendientes de ajuste técnico y 215 asociados presentan cuotas aún por pagar.CausasPresuntas fallas derivadas de las actualizaciones en el Core Financiero WOG, las cuales impidieron la correcta apertura de cuotas del producto DAES en múltiples cuentas, afectando los ciclos normales de recaudo.Ausencia de revisión y validación técnica posterior a los procesos de actualización, lo que permitió que las inconsistencias no fueran identificadas ni corregidas oportunamente pese a que ya se habían presentado unos meses atrás.ImpactoAumento de la mora en DAES por no lograr el recaudo efectivo.Afectación en la imagen por la percepción de desorganización en el manejo de los descuentos.Incremento en la carga operativa para la gestión y seguimiento de estos casosAccioneCorrectivasAtención a los asociados inconformesSoporte técnico para ajuste del sistemaGestión de recaudo y programación de cuotas morosas para quienes no sea posible efectuar el recaudo.PreventivasIncorporar la validación cruzada para detectar inconstancias técnicas por lo menos 1 vez al mes                                                ci</v>
      </c>
      <c r="U251" s="61">
        <f>VLOOKUP(Tabla15[[#This Row],[N° 
Evento]],'Eventos de riesgos'!B:I,8,0)</f>
        <v>0</v>
      </c>
      <c r="V251" s="61">
        <f>VLOOKUP(Tabla15[[#This Row],[N° 
Evento]],'Eventos de riesgos'!B:J,9,0)</f>
        <v>0</v>
      </c>
      <c r="W251" s="61">
        <f>VLOOKUP(Tabla15[[#This Row],[N° 
Evento]],'Eventos de riesgos'!B:K,10,0)</f>
        <v>0</v>
      </c>
      <c r="X251" s="59" t="str">
        <f>VLOOKUP(Tabla15[[#This Row],[N° 
Evento]],'Eventos de riesgos'!B:L,11,0)</f>
        <v>4 - Asociados o Clientes</v>
      </c>
      <c r="Y251" s="59" t="str">
        <f>VLOOKUP(Tabla15[[#This Row],[N° 
Evento]],'Eventos de riesgos'!B:M,12,0)</f>
        <v>43 - Productos o Servicios Defectuosos</v>
      </c>
      <c r="Z251" s="59" t="str">
        <f>VLOOKUP(Tabla15[[#This Row],[N° 
Evento]],'Eventos de riesgos'!B:N,13,0)</f>
        <v>431 - Defectos del Producto</v>
      </c>
      <c r="AA251" s="59" t="str">
        <f>+VLOOKUP(Tabla15[[#This Row],[N° 
Evento]],'Eventos de riesgos'!$B$1:$AA$87,23,0)</f>
        <v>Falla en apertura de cuota CDAT</v>
      </c>
      <c r="AB251" s="54" t="str">
        <f>VLOOKUP(Tabla15[[#This Row],[N° 
Evento]],'Eventos de riesgos'!B:O,14,0)</f>
        <v>Ninguna</v>
      </c>
      <c r="AC251" s="60">
        <f>VLOOKUP(Tabla15[[#This Row],[N° 
Evento]],'Eventos de riesgos'!B:P,15,0)</f>
        <v>45845.606944444444</v>
      </c>
      <c r="AD251" s="54" t="str">
        <f>VLOOKUP(Tabla15[[#This Row],[N° 
Evento]],'Eventos de riesgos'!B:Q,16,0)</f>
        <v>Depósito de Ahorro con Estímulo (DAES)</v>
      </c>
      <c r="AE251" s="54" t="str">
        <f>VLOOKUP(Tabla15[[#This Row],[N° 
Evento]],'Eventos de riesgos'!B:R,17,0)</f>
        <v>Ninguno</v>
      </c>
      <c r="AF251" s="56" t="str">
        <f>VLOOKUP(Tabla15[[#This Row],[N° 
Evento]],'Eventos de riesgos'!B:V,21,0)</f>
        <v>Aprobado</v>
      </c>
      <c r="AG251" s="59" t="str">
        <f>VLOOKUP(Tabla15[[#This Row],[N° 
Evento]],'Eventos de riesgos'!B:W,22,0)</f>
        <v>null
04/08/2025 09:46:13: Aprobado para gestión
04/08/2025 09:46:30: Aprobado para gestión
04/08/2025 13:45:57: Actualizado
04/08/2025 13:50:27: Actualización</v>
      </c>
    </row>
    <row r="252" spans="3:33" ht="59" customHeight="1" x14ac:dyDescent="0.55000000000000004">
      <c r="C252" s="54" t="str">
        <f>+Tabla15[[#This Row],[N° 
Evento]]&amp;"-"&amp;Tabla15[[#This Row],[N° Tarea]]</f>
        <v>78-3</v>
      </c>
      <c r="D252" s="54">
        <v>78</v>
      </c>
      <c r="E252" s="54">
        <v>3</v>
      </c>
      <c r="F252" s="55" t="s">
        <v>736</v>
      </c>
      <c r="G252" s="44" t="s">
        <v>1052</v>
      </c>
      <c r="H252" s="59" t="s">
        <v>741</v>
      </c>
      <c r="I252" s="59" t="s">
        <v>91</v>
      </c>
      <c r="J252" s="57">
        <v>45845</v>
      </c>
      <c r="K252" s="57">
        <v>45868</v>
      </c>
      <c r="L252" s="47" t="str">
        <f>IF(Tabla15[[#This Row],[Fecha de Finalización]]&gt;0,"Cerrada","En Proceso")</f>
        <v>Cerrada</v>
      </c>
      <c r="M252" s="58">
        <f t="shared" si="9"/>
        <v>23</v>
      </c>
      <c r="N252" s="59" t="s">
        <v>814</v>
      </c>
      <c r="O252" s="54">
        <f>VLOOKUP(Tabla15[[#This Row],[N° 
Evento]],'Eventos de riesgos'!B:C,2,0)</f>
        <v>2025</v>
      </c>
      <c r="P252" s="54" t="str">
        <f>VLOOKUP(Tabla15[[#This Row],[N° 
Evento]],'Eventos de riesgos'!B:D,3,0)</f>
        <v>Jul</v>
      </c>
      <c r="Q252" s="60">
        <f>VLOOKUP(Tabla15[[#This Row],[N° 
Evento]],'Eventos de riesgos'!B:E,4,0)</f>
        <v>45842.597222222219</v>
      </c>
      <c r="R252" s="60">
        <f>VLOOKUP(Tabla15[[#This Row],[N° 
Evento]],'Eventos de riesgos'!B:F,5,0)</f>
        <v>45845.597916666666</v>
      </c>
      <c r="S252" s="60">
        <f>VLOOKUP(Tabla15[[#This Row],[N° 
Evento]],'Eventos de riesgos'!B:G,6,0)</f>
        <v>45839.597916666666</v>
      </c>
      <c r="T252" s="63" t="str">
        <f>VLOOKUP(Tabla15[[#This Row],[N° 
Evento]],'Eventos de riesgos'!B:H,7,0)</f>
        <v>CasoDurante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pago.Atención a asociadosDesde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cobro.Soporte para ajustes en el sistemaUna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#66041.Gestión de recaudoDesde el área de Operaciones se gestionó el recaudo de las cuotas del producto DAES, logrando normalizar la situación de 452 asociados de un total de 723. Del total restante, 56 se encuentran pendientes de ajuste técnico y 215 asociados presentan cuotas aún por pagar.CausasPresuntas fallas derivadas de las actualizaciones en el Core Financiero WOG, las cuales impidieron la correcta apertura de cuotas del producto DAES en múltiples cuentas, afectando los ciclos normales de recaudo.Ausencia de revisión y validación técnica posterior a los procesos de actualización, lo que permitió que las inconsistencias no fueran identificadas ni corregidas oportunamente pese a que ya se habían presentado unos meses atrás.ImpactoAumento de la mora en DAES por no lograr el recaudo efectivo.Afectación en la imagen por la percepción de desorganización en el manejo de los descuentos.Incremento en la carga operativa para la gestión y seguimiento de estos casosAccioneCorrectivasAtención a los asociados inconformesSoporte técnico para ajuste del sistemaGestión de recaudo y programación de cuotas morosas para quienes no sea posible efectuar el recaudo.PreventivasIncorporar la validación cruzada para detectar inconstancias técnicas por lo menos 1 vez al mes                                                ci</v>
      </c>
      <c r="U252" s="61">
        <f>VLOOKUP(Tabla15[[#This Row],[N° 
Evento]],'Eventos de riesgos'!B:I,8,0)</f>
        <v>0</v>
      </c>
      <c r="V252" s="61">
        <f>VLOOKUP(Tabla15[[#This Row],[N° 
Evento]],'Eventos de riesgos'!B:J,9,0)</f>
        <v>0</v>
      </c>
      <c r="W252" s="61">
        <f>VLOOKUP(Tabla15[[#This Row],[N° 
Evento]],'Eventos de riesgos'!B:K,10,0)</f>
        <v>0</v>
      </c>
      <c r="X252" s="59" t="str">
        <f>VLOOKUP(Tabla15[[#This Row],[N° 
Evento]],'Eventos de riesgos'!B:L,11,0)</f>
        <v>4 - Asociados o Clientes</v>
      </c>
      <c r="Y252" s="59" t="str">
        <f>VLOOKUP(Tabla15[[#This Row],[N° 
Evento]],'Eventos de riesgos'!B:M,12,0)</f>
        <v>43 - Productos o Servicios Defectuosos</v>
      </c>
      <c r="Z252" s="59" t="str">
        <f>VLOOKUP(Tabla15[[#This Row],[N° 
Evento]],'Eventos de riesgos'!B:N,13,0)</f>
        <v>431 - Defectos del Producto</v>
      </c>
      <c r="AA252" s="59" t="str">
        <f>+VLOOKUP(Tabla15[[#This Row],[N° 
Evento]],'Eventos de riesgos'!$B$1:$AA$87,23,0)</f>
        <v>Falla en apertura de cuota CDAT</v>
      </c>
      <c r="AB252" s="54" t="str">
        <f>VLOOKUP(Tabla15[[#This Row],[N° 
Evento]],'Eventos de riesgos'!B:O,14,0)</f>
        <v>Ninguna</v>
      </c>
      <c r="AC252" s="60">
        <f>VLOOKUP(Tabla15[[#This Row],[N° 
Evento]],'Eventos de riesgos'!B:P,15,0)</f>
        <v>45845.606944444444</v>
      </c>
      <c r="AD252" s="54" t="str">
        <f>VLOOKUP(Tabla15[[#This Row],[N° 
Evento]],'Eventos de riesgos'!B:Q,16,0)</f>
        <v>Depósito de Ahorro con Estímulo (DAES)</v>
      </c>
      <c r="AE252" s="54" t="str">
        <f>VLOOKUP(Tabla15[[#This Row],[N° 
Evento]],'Eventos de riesgos'!B:R,17,0)</f>
        <v>Ninguno</v>
      </c>
      <c r="AF252" s="56" t="str">
        <f>VLOOKUP(Tabla15[[#This Row],[N° 
Evento]],'Eventos de riesgos'!B:V,21,0)</f>
        <v>Aprobado</v>
      </c>
      <c r="AG252" s="59" t="str">
        <f>VLOOKUP(Tabla15[[#This Row],[N° 
Evento]],'Eventos de riesgos'!B:W,22,0)</f>
        <v>null
04/08/2025 09:46:13: Aprobado para gestión
04/08/2025 09:46:30: Aprobado para gestión
04/08/2025 13:45:57: Actualizado
04/08/2025 13:50:27: Actualización</v>
      </c>
    </row>
    <row r="253" spans="3:33" ht="59" customHeight="1" x14ac:dyDescent="0.55000000000000004">
      <c r="C253" s="54" t="str">
        <f>+Tabla15[[#This Row],[N° 
Evento]]&amp;"-"&amp;Tabla15[[#This Row],[N° Tarea]]</f>
        <v>78-4</v>
      </c>
      <c r="D253" s="54">
        <v>78</v>
      </c>
      <c r="E253" s="54">
        <v>4</v>
      </c>
      <c r="F253" s="55" t="s">
        <v>737</v>
      </c>
      <c r="G253" s="44" t="s">
        <v>1052</v>
      </c>
      <c r="H253" s="59" t="s">
        <v>233</v>
      </c>
      <c r="I253" s="59" t="s">
        <v>240</v>
      </c>
      <c r="J253" s="57">
        <v>45845</v>
      </c>
      <c r="K253" s="57">
        <v>45868</v>
      </c>
      <c r="L253" s="47" t="str">
        <f>IF(Tabla15[[#This Row],[Fecha de Finalización]]&gt;0,"Cerrada","En Proceso")</f>
        <v>Cerrada</v>
      </c>
      <c r="M253" s="58">
        <f t="shared" si="9"/>
        <v>23</v>
      </c>
      <c r="N253" s="59" t="s">
        <v>814</v>
      </c>
      <c r="O253" s="54">
        <f>VLOOKUP(Tabla15[[#This Row],[N° 
Evento]],'Eventos de riesgos'!B:C,2,0)</f>
        <v>2025</v>
      </c>
      <c r="P253" s="54" t="str">
        <f>VLOOKUP(Tabla15[[#This Row],[N° 
Evento]],'Eventos de riesgos'!B:D,3,0)</f>
        <v>Jul</v>
      </c>
      <c r="Q253" s="60">
        <f>VLOOKUP(Tabla15[[#This Row],[N° 
Evento]],'Eventos de riesgos'!B:E,4,0)</f>
        <v>45842.597222222219</v>
      </c>
      <c r="R253" s="60">
        <f>VLOOKUP(Tabla15[[#This Row],[N° 
Evento]],'Eventos de riesgos'!B:F,5,0)</f>
        <v>45845.597916666666</v>
      </c>
      <c r="S253" s="60">
        <f>VLOOKUP(Tabla15[[#This Row],[N° 
Evento]],'Eventos de riesgos'!B:G,6,0)</f>
        <v>45839.597916666666</v>
      </c>
      <c r="T253" s="63" t="str">
        <f>VLOOKUP(Tabla15[[#This Row],[N° 
Evento]],'Eventos de riesgos'!B:H,7,0)</f>
        <v>CasoDurante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pago.Atención a asociadosDesde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cobro.Soporte para ajustes en el sistemaUna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#66041.Gestión de recaudoDesde el área de Operaciones se gestionó el recaudo de las cuotas del producto DAES, logrando normalizar la situación de 452 asociados de un total de 723. Del total restante, 56 se encuentran pendientes de ajuste técnico y 215 asociados presentan cuotas aún por pagar.CausasPresuntas fallas derivadas de las actualizaciones en el Core Financiero WOG, las cuales impidieron la correcta apertura de cuotas del producto DAES en múltiples cuentas, afectando los ciclos normales de recaudo.Ausencia de revisión y validación técnica posterior a los procesos de actualización, lo que permitió que las inconsistencias no fueran identificadas ni corregidas oportunamente pese a que ya se habían presentado unos meses atrás.ImpactoAumento de la mora en DAES por no lograr el recaudo efectivo.Afectación en la imagen por la percepción de desorganización en el manejo de los descuentos.Incremento en la carga operativa para la gestión y seguimiento de estos casosAccioneCorrectivasAtención a los asociados inconformesSoporte técnico para ajuste del sistemaGestión de recaudo y programación de cuotas morosas para quienes no sea posible efectuar el recaudo.PreventivasIncorporar la validación cruzada para detectar inconstancias técnicas por lo menos 1 vez al mes                                                ci</v>
      </c>
      <c r="U253" s="61">
        <f>VLOOKUP(Tabla15[[#This Row],[N° 
Evento]],'Eventos de riesgos'!B:I,8,0)</f>
        <v>0</v>
      </c>
      <c r="V253" s="61">
        <f>VLOOKUP(Tabla15[[#This Row],[N° 
Evento]],'Eventos de riesgos'!B:J,9,0)</f>
        <v>0</v>
      </c>
      <c r="W253" s="61">
        <f>VLOOKUP(Tabla15[[#This Row],[N° 
Evento]],'Eventos de riesgos'!B:K,10,0)</f>
        <v>0</v>
      </c>
      <c r="X253" s="59" t="str">
        <f>VLOOKUP(Tabla15[[#This Row],[N° 
Evento]],'Eventos de riesgos'!B:L,11,0)</f>
        <v>4 - Asociados o Clientes</v>
      </c>
      <c r="Y253" s="59" t="str">
        <f>VLOOKUP(Tabla15[[#This Row],[N° 
Evento]],'Eventos de riesgos'!B:M,12,0)</f>
        <v>43 - Productos o Servicios Defectuosos</v>
      </c>
      <c r="Z253" s="59" t="str">
        <f>VLOOKUP(Tabla15[[#This Row],[N° 
Evento]],'Eventos de riesgos'!B:N,13,0)</f>
        <v>431 - Defectos del Producto</v>
      </c>
      <c r="AA253" s="59" t="str">
        <f>+VLOOKUP(Tabla15[[#This Row],[N° 
Evento]],'Eventos de riesgos'!$B$1:$AA$87,23,0)</f>
        <v>Falla en apertura de cuota CDAT</v>
      </c>
      <c r="AB253" s="54" t="str">
        <f>VLOOKUP(Tabla15[[#This Row],[N° 
Evento]],'Eventos de riesgos'!B:O,14,0)</f>
        <v>Ninguna</v>
      </c>
      <c r="AC253" s="60">
        <f>VLOOKUP(Tabla15[[#This Row],[N° 
Evento]],'Eventos de riesgos'!B:P,15,0)</f>
        <v>45845.606944444444</v>
      </c>
      <c r="AD253" s="54" t="str">
        <f>VLOOKUP(Tabla15[[#This Row],[N° 
Evento]],'Eventos de riesgos'!B:Q,16,0)</f>
        <v>Depósito de Ahorro con Estímulo (DAES)</v>
      </c>
      <c r="AE253" s="54" t="str">
        <f>VLOOKUP(Tabla15[[#This Row],[N° 
Evento]],'Eventos de riesgos'!B:R,17,0)</f>
        <v>Ninguno</v>
      </c>
      <c r="AF253" s="56" t="str">
        <f>VLOOKUP(Tabla15[[#This Row],[N° 
Evento]],'Eventos de riesgos'!B:V,21,0)</f>
        <v>Aprobado</v>
      </c>
      <c r="AG253" s="59" t="str">
        <f>VLOOKUP(Tabla15[[#This Row],[N° 
Evento]],'Eventos de riesgos'!B:W,22,0)</f>
        <v>null
04/08/2025 09:46:13: Aprobado para gestión
04/08/2025 09:46:30: Aprobado para gestión
04/08/2025 13:45:57: Actualizado
04/08/2025 13:50:27: Actualización</v>
      </c>
    </row>
    <row r="254" spans="3:33" ht="59" customHeight="1" x14ac:dyDescent="0.55000000000000004">
      <c r="C254" s="54" t="str">
        <f>+Tabla15[[#This Row],[N° 
Evento]]&amp;"-"&amp;Tabla15[[#This Row],[N° Tarea]]</f>
        <v>78-5</v>
      </c>
      <c r="D254" s="54">
        <v>78</v>
      </c>
      <c r="E254" s="54">
        <v>5</v>
      </c>
      <c r="F254" s="55" t="s">
        <v>738</v>
      </c>
      <c r="G254" s="44" t="s">
        <v>1053</v>
      </c>
      <c r="H254" s="59" t="s">
        <v>739</v>
      </c>
      <c r="I254" s="59" t="s">
        <v>91</v>
      </c>
      <c r="J254" s="57">
        <v>45845</v>
      </c>
      <c r="K254" s="57">
        <v>45868</v>
      </c>
      <c r="L254" s="47" t="str">
        <f>IF(Tabla15[[#This Row],[Fecha de Finalización]]&gt;0,"Cerrada","En Proceso")</f>
        <v>Cerrada</v>
      </c>
      <c r="M254" s="58">
        <f t="shared" si="9"/>
        <v>23</v>
      </c>
      <c r="N254" s="59" t="s">
        <v>814</v>
      </c>
      <c r="O254" s="54">
        <f>VLOOKUP(Tabla15[[#This Row],[N° 
Evento]],'Eventos de riesgos'!B:C,2,0)</f>
        <v>2025</v>
      </c>
      <c r="P254" s="54" t="str">
        <f>VLOOKUP(Tabla15[[#This Row],[N° 
Evento]],'Eventos de riesgos'!B:D,3,0)</f>
        <v>Jul</v>
      </c>
      <c r="Q254" s="60">
        <f>VLOOKUP(Tabla15[[#This Row],[N° 
Evento]],'Eventos de riesgos'!B:E,4,0)</f>
        <v>45842.597222222219</v>
      </c>
      <c r="R254" s="60">
        <f>VLOOKUP(Tabla15[[#This Row],[N° 
Evento]],'Eventos de riesgos'!B:F,5,0)</f>
        <v>45845.597916666666</v>
      </c>
      <c r="S254" s="60">
        <f>VLOOKUP(Tabla15[[#This Row],[N° 
Evento]],'Eventos de riesgos'!B:G,6,0)</f>
        <v>45839.597916666666</v>
      </c>
      <c r="T254" s="63" t="str">
        <f>VLOOKUP(Tabla15[[#This Row],[N° 
Evento]],'Eventos de riesgos'!B:H,7,0)</f>
        <v>CasoDurante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pago.Atención a asociadosDesde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cobro.Soporte para ajustes en el sistemaUna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#66041.Gestión de recaudoDesde el área de Operaciones se gestionó el recaudo de las cuotas del producto DAES, logrando normalizar la situación de 452 asociados de un total de 723. Del total restante, 56 se encuentran pendientes de ajuste técnico y 215 asociados presentan cuotas aún por pagar.CausasPresuntas fallas derivadas de las actualizaciones en el Core Financiero WOG, las cuales impidieron la correcta apertura de cuotas del producto DAES en múltiples cuentas, afectando los ciclos normales de recaudo.Ausencia de revisión y validación técnica posterior a los procesos de actualización, lo que permitió que las inconsistencias no fueran identificadas ni corregidas oportunamente pese a que ya se habían presentado unos meses atrás.ImpactoAumento de la mora en DAES por no lograr el recaudo efectivo.Afectación en la imagen por la percepción de desorganización en el manejo de los descuentos.Incremento en la carga operativa para la gestión y seguimiento de estos casosAccioneCorrectivasAtención a los asociados inconformesSoporte técnico para ajuste del sistemaGestión de recaudo y programación de cuotas morosas para quienes no sea posible efectuar el recaudo.PreventivasIncorporar la validación cruzada para detectar inconstancias técnicas por lo menos 1 vez al mes                                                ci</v>
      </c>
      <c r="U254" s="61">
        <f>VLOOKUP(Tabla15[[#This Row],[N° 
Evento]],'Eventos de riesgos'!B:I,8,0)</f>
        <v>0</v>
      </c>
      <c r="V254" s="61">
        <f>VLOOKUP(Tabla15[[#This Row],[N° 
Evento]],'Eventos de riesgos'!B:J,9,0)</f>
        <v>0</v>
      </c>
      <c r="W254" s="61">
        <f>VLOOKUP(Tabla15[[#This Row],[N° 
Evento]],'Eventos de riesgos'!B:K,10,0)</f>
        <v>0</v>
      </c>
      <c r="X254" s="59" t="str">
        <f>VLOOKUP(Tabla15[[#This Row],[N° 
Evento]],'Eventos de riesgos'!B:L,11,0)</f>
        <v>4 - Asociados o Clientes</v>
      </c>
      <c r="Y254" s="59" t="str">
        <f>VLOOKUP(Tabla15[[#This Row],[N° 
Evento]],'Eventos de riesgos'!B:M,12,0)</f>
        <v>43 - Productos o Servicios Defectuosos</v>
      </c>
      <c r="Z254" s="59" t="str">
        <f>VLOOKUP(Tabla15[[#This Row],[N° 
Evento]],'Eventos de riesgos'!B:N,13,0)</f>
        <v>431 - Defectos del Producto</v>
      </c>
      <c r="AA254" s="59" t="str">
        <f>+VLOOKUP(Tabla15[[#This Row],[N° 
Evento]],'Eventos de riesgos'!$B$1:$AA$87,23,0)</f>
        <v>Falla en apertura de cuota CDAT</v>
      </c>
      <c r="AB254" s="54" t="str">
        <f>VLOOKUP(Tabla15[[#This Row],[N° 
Evento]],'Eventos de riesgos'!B:O,14,0)</f>
        <v>Ninguna</v>
      </c>
      <c r="AC254" s="60">
        <f>VLOOKUP(Tabla15[[#This Row],[N° 
Evento]],'Eventos de riesgos'!B:P,15,0)</f>
        <v>45845.606944444444</v>
      </c>
      <c r="AD254" s="54" t="str">
        <f>VLOOKUP(Tabla15[[#This Row],[N° 
Evento]],'Eventos de riesgos'!B:Q,16,0)</f>
        <v>Depósito de Ahorro con Estímulo (DAES)</v>
      </c>
      <c r="AE254" s="54" t="str">
        <f>VLOOKUP(Tabla15[[#This Row],[N° 
Evento]],'Eventos de riesgos'!B:R,17,0)</f>
        <v>Ninguno</v>
      </c>
      <c r="AF254" s="56" t="str">
        <f>VLOOKUP(Tabla15[[#This Row],[N° 
Evento]],'Eventos de riesgos'!B:V,21,0)</f>
        <v>Aprobado</v>
      </c>
      <c r="AG254" s="59" t="str">
        <f>VLOOKUP(Tabla15[[#This Row],[N° 
Evento]],'Eventos de riesgos'!B:W,22,0)</f>
        <v>null
04/08/2025 09:46:13: Aprobado para gestión
04/08/2025 09:46:30: Aprobado para gestión
04/08/2025 13:45:57: Actualizado
04/08/2025 13:50:27: Actualización</v>
      </c>
    </row>
    <row r="255" spans="3:33" ht="59" customHeight="1" x14ac:dyDescent="0.55000000000000004">
      <c r="C255" s="54" t="str">
        <f>+Tabla15[[#This Row],[N° 
Evento]]&amp;"-"&amp;Tabla15[[#This Row],[N° Tarea]]</f>
        <v>79-1</v>
      </c>
      <c r="D255" s="54">
        <v>79</v>
      </c>
      <c r="E255" s="54">
        <v>1</v>
      </c>
      <c r="F255" s="55" t="s">
        <v>742</v>
      </c>
      <c r="G255" s="44" t="s">
        <v>1052</v>
      </c>
      <c r="H255" s="59" t="s">
        <v>215</v>
      </c>
      <c r="I255" s="59" t="s">
        <v>91</v>
      </c>
      <c r="J255" s="57">
        <v>45859</v>
      </c>
      <c r="K255" s="57">
        <v>45859</v>
      </c>
      <c r="L255" s="47" t="str">
        <f>IF(Tabla15[[#This Row],[Fecha de Finalización]]&gt;0,"Cerrada","En Proceso")</f>
        <v>Cerrada</v>
      </c>
      <c r="M255" s="58">
        <f t="shared" si="9"/>
        <v>0</v>
      </c>
      <c r="N255" s="59"/>
      <c r="O255" s="54">
        <f>VLOOKUP(Tabla15[[#This Row],[N° 
Evento]],'Eventos de riesgos'!B:C,2,0)</f>
        <v>2025</v>
      </c>
      <c r="P255" s="54" t="str">
        <f>VLOOKUP(Tabla15[[#This Row],[N° 
Evento]],'Eventos de riesgos'!B:D,3,0)</f>
        <v>Jul</v>
      </c>
      <c r="Q255" s="60">
        <f>VLOOKUP(Tabla15[[#This Row],[N° 
Evento]],'Eventos de riesgos'!B:E,4,0)</f>
        <v>45890.614583333336</v>
      </c>
      <c r="R255" s="60">
        <f>VLOOKUP(Tabla15[[#This Row],[N° 
Evento]],'Eventos de riesgos'!B:F,5,0)</f>
        <v>45892.614583333336</v>
      </c>
      <c r="S255" s="60">
        <f>VLOOKUP(Tabla15[[#This Row],[N° 
Evento]],'Eventos de riesgos'!B:G,6,0)</f>
        <v>45890.614583333336</v>
      </c>
      <c r="T255"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55" s="61">
        <f>VLOOKUP(Tabla15[[#This Row],[N° 
Evento]],'Eventos de riesgos'!B:I,8,0)</f>
        <v>10040000</v>
      </c>
      <c r="V255" s="61">
        <f>VLOOKUP(Tabla15[[#This Row],[N° 
Evento]],'Eventos de riesgos'!B:J,9,0)</f>
        <v>0</v>
      </c>
      <c r="W255" s="61">
        <f>VLOOKUP(Tabla15[[#This Row],[N° 
Evento]],'Eventos de riesgos'!B:K,10,0)</f>
        <v>0</v>
      </c>
      <c r="X255" s="59" t="str">
        <f>VLOOKUP(Tabla15[[#This Row],[N° 
Evento]],'Eventos de riesgos'!B:L,11,0)</f>
        <v>2 - Fraude Externo</v>
      </c>
      <c r="Y255" s="59" t="str">
        <f>VLOOKUP(Tabla15[[#This Row],[N° 
Evento]],'Eventos de riesgos'!B:M,12,0)</f>
        <v>22 - Hurto y Fraude</v>
      </c>
      <c r="Z255" s="59" t="str">
        <f>VLOOKUP(Tabla15[[#This Row],[N° 
Evento]],'Eventos de riesgos'!B:N,13,0)</f>
        <v>221 - Robo o Hurto</v>
      </c>
      <c r="AA255" s="59" t="str">
        <f>+VLOOKUP(Tabla15[[#This Row],[N° 
Evento]],'Eventos de riesgos'!$B$1:$AA$87,23,0)</f>
        <v>Fraude en retiros sin tarjeta</v>
      </c>
      <c r="AB255" s="54" t="str">
        <f>VLOOKUP(Tabla15[[#This Row],[N° 
Evento]],'Eventos de riesgos'!B:O,14,0)</f>
        <v>Ninguna</v>
      </c>
      <c r="AC255" s="60">
        <f>VLOOKUP(Tabla15[[#This Row],[N° 
Evento]],'Eventos de riesgos'!B:P,15,0)</f>
        <v>45869.613194444442</v>
      </c>
      <c r="AD255" s="54" t="str">
        <f>VLOOKUP(Tabla15[[#This Row],[N° 
Evento]],'Eventos de riesgos'!B:Q,16,0)</f>
        <v>Ahorros voluntarios</v>
      </c>
      <c r="AE255" s="54" t="str">
        <f>VLOOKUP(Tabla15[[#This Row],[N° 
Evento]],'Eventos de riesgos'!B:R,17,0)</f>
        <v>Aplicación móvil (App Febor)</v>
      </c>
      <c r="AF255" s="56" t="str">
        <f>VLOOKUP(Tabla15[[#This Row],[N° 
Evento]],'Eventos de riesgos'!B:V,21,0)</f>
        <v>Aprobado</v>
      </c>
      <c r="AG255" s="59" t="str">
        <f>VLOOKUP(Tabla15[[#This Row],[N° 
Evento]],'Eventos de riesgos'!B:W,22,0)</f>
        <v>04/08/2025 14:45:53: Actualización</v>
      </c>
    </row>
    <row r="256" spans="3:33" ht="59" customHeight="1" x14ac:dyDescent="0.55000000000000004">
      <c r="C256" s="54" t="str">
        <f>+Tabla15[[#This Row],[N° 
Evento]]&amp;"-"&amp;Tabla15[[#This Row],[N° Tarea]]</f>
        <v>79-2</v>
      </c>
      <c r="D256" s="54">
        <v>79</v>
      </c>
      <c r="E256" s="54">
        <v>2</v>
      </c>
      <c r="F256" s="55" t="s">
        <v>743</v>
      </c>
      <c r="G256" s="44" t="s">
        <v>1052</v>
      </c>
      <c r="H256" s="59" t="s">
        <v>215</v>
      </c>
      <c r="I256" s="59" t="s">
        <v>91</v>
      </c>
      <c r="J256" s="57">
        <v>45859</v>
      </c>
      <c r="K256" s="57">
        <v>45859</v>
      </c>
      <c r="L256" s="47" t="str">
        <f>IF(Tabla15[[#This Row],[Fecha de Finalización]]&gt;0,"Cerrada","En Proceso")</f>
        <v>Cerrada</v>
      </c>
      <c r="M256" s="58">
        <f t="shared" si="9"/>
        <v>0</v>
      </c>
      <c r="N256" s="59"/>
      <c r="O256" s="54">
        <f>VLOOKUP(Tabla15[[#This Row],[N° 
Evento]],'Eventos de riesgos'!B:C,2,0)</f>
        <v>2025</v>
      </c>
      <c r="P256" s="54" t="str">
        <f>VLOOKUP(Tabla15[[#This Row],[N° 
Evento]],'Eventos de riesgos'!B:D,3,0)</f>
        <v>Jul</v>
      </c>
      <c r="Q256" s="60">
        <f>VLOOKUP(Tabla15[[#This Row],[N° 
Evento]],'Eventos de riesgos'!B:E,4,0)</f>
        <v>45890.614583333336</v>
      </c>
      <c r="R256" s="60">
        <f>VLOOKUP(Tabla15[[#This Row],[N° 
Evento]],'Eventos de riesgos'!B:F,5,0)</f>
        <v>45892.614583333336</v>
      </c>
      <c r="S256" s="60">
        <f>VLOOKUP(Tabla15[[#This Row],[N° 
Evento]],'Eventos de riesgos'!B:G,6,0)</f>
        <v>45890.614583333336</v>
      </c>
      <c r="T256"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56" s="61">
        <f>VLOOKUP(Tabla15[[#This Row],[N° 
Evento]],'Eventos de riesgos'!B:I,8,0)</f>
        <v>10040000</v>
      </c>
      <c r="V256" s="61">
        <f>VLOOKUP(Tabla15[[#This Row],[N° 
Evento]],'Eventos de riesgos'!B:J,9,0)</f>
        <v>0</v>
      </c>
      <c r="W256" s="61">
        <f>VLOOKUP(Tabla15[[#This Row],[N° 
Evento]],'Eventos de riesgos'!B:K,10,0)</f>
        <v>0</v>
      </c>
      <c r="X256" s="59" t="str">
        <f>VLOOKUP(Tabla15[[#This Row],[N° 
Evento]],'Eventos de riesgos'!B:L,11,0)</f>
        <v>2 - Fraude Externo</v>
      </c>
      <c r="Y256" s="59" t="str">
        <f>VLOOKUP(Tabla15[[#This Row],[N° 
Evento]],'Eventos de riesgos'!B:M,12,0)</f>
        <v>22 - Hurto y Fraude</v>
      </c>
      <c r="Z256" s="59" t="str">
        <f>VLOOKUP(Tabla15[[#This Row],[N° 
Evento]],'Eventos de riesgos'!B:N,13,0)</f>
        <v>221 - Robo o Hurto</v>
      </c>
      <c r="AA256" s="59" t="str">
        <f>+VLOOKUP(Tabla15[[#This Row],[N° 
Evento]],'Eventos de riesgos'!$B$1:$AA$87,23,0)</f>
        <v>Fraude en retiros sin tarjeta</v>
      </c>
      <c r="AB256" s="54" t="str">
        <f>VLOOKUP(Tabla15[[#This Row],[N° 
Evento]],'Eventos de riesgos'!B:O,14,0)</f>
        <v>Ninguna</v>
      </c>
      <c r="AC256" s="60">
        <f>VLOOKUP(Tabla15[[#This Row],[N° 
Evento]],'Eventos de riesgos'!B:P,15,0)</f>
        <v>45869.613194444442</v>
      </c>
      <c r="AD256" s="54" t="str">
        <f>VLOOKUP(Tabla15[[#This Row],[N° 
Evento]],'Eventos de riesgos'!B:Q,16,0)</f>
        <v>Ahorros voluntarios</v>
      </c>
      <c r="AE256" s="54" t="str">
        <f>VLOOKUP(Tabla15[[#This Row],[N° 
Evento]],'Eventos de riesgos'!B:R,17,0)</f>
        <v>Aplicación móvil (App Febor)</v>
      </c>
      <c r="AF256" s="56" t="str">
        <f>VLOOKUP(Tabla15[[#This Row],[N° 
Evento]],'Eventos de riesgos'!B:V,21,0)</f>
        <v>Aprobado</v>
      </c>
      <c r="AG256" s="59" t="str">
        <f>VLOOKUP(Tabla15[[#This Row],[N° 
Evento]],'Eventos de riesgos'!B:W,22,0)</f>
        <v>04/08/2025 14:45:53: Actualización</v>
      </c>
    </row>
    <row r="257" spans="3:33" ht="59" customHeight="1" x14ac:dyDescent="0.55000000000000004">
      <c r="C257" s="54" t="str">
        <f>+Tabla15[[#This Row],[N° 
Evento]]&amp;"-"&amp;Tabla15[[#This Row],[N° Tarea]]</f>
        <v>79-3</v>
      </c>
      <c r="D257" s="54">
        <v>79</v>
      </c>
      <c r="E257" s="54">
        <v>3</v>
      </c>
      <c r="F257" s="55" t="s">
        <v>744</v>
      </c>
      <c r="G257" s="44" t="s">
        <v>1053</v>
      </c>
      <c r="H257" s="59" t="s">
        <v>224</v>
      </c>
      <c r="I257" s="59" t="s">
        <v>269</v>
      </c>
      <c r="J257" s="57">
        <v>45859</v>
      </c>
      <c r="K257" s="57">
        <v>45859</v>
      </c>
      <c r="L257" s="47" t="str">
        <f>IF(Tabla15[[#This Row],[Fecha de Finalización]]&gt;0,"Cerrada","En Proceso")</f>
        <v>Cerrada</v>
      </c>
      <c r="M257" s="58">
        <f t="shared" si="9"/>
        <v>0</v>
      </c>
      <c r="N257" s="59"/>
      <c r="O257" s="54">
        <f>VLOOKUP(Tabla15[[#This Row],[N° 
Evento]],'Eventos de riesgos'!B:C,2,0)</f>
        <v>2025</v>
      </c>
      <c r="P257" s="54" t="str">
        <f>VLOOKUP(Tabla15[[#This Row],[N° 
Evento]],'Eventos de riesgos'!B:D,3,0)</f>
        <v>Jul</v>
      </c>
      <c r="Q257" s="60">
        <f>VLOOKUP(Tabla15[[#This Row],[N° 
Evento]],'Eventos de riesgos'!B:E,4,0)</f>
        <v>45890.614583333336</v>
      </c>
      <c r="R257" s="60">
        <f>VLOOKUP(Tabla15[[#This Row],[N° 
Evento]],'Eventos de riesgos'!B:F,5,0)</f>
        <v>45892.614583333336</v>
      </c>
      <c r="S257" s="60">
        <f>VLOOKUP(Tabla15[[#This Row],[N° 
Evento]],'Eventos de riesgos'!B:G,6,0)</f>
        <v>45890.614583333336</v>
      </c>
      <c r="T257"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57" s="61">
        <f>VLOOKUP(Tabla15[[#This Row],[N° 
Evento]],'Eventos de riesgos'!B:I,8,0)</f>
        <v>10040000</v>
      </c>
      <c r="V257" s="61">
        <f>VLOOKUP(Tabla15[[#This Row],[N° 
Evento]],'Eventos de riesgos'!B:J,9,0)</f>
        <v>0</v>
      </c>
      <c r="W257" s="61">
        <f>VLOOKUP(Tabla15[[#This Row],[N° 
Evento]],'Eventos de riesgos'!B:K,10,0)</f>
        <v>0</v>
      </c>
      <c r="X257" s="59" t="str">
        <f>VLOOKUP(Tabla15[[#This Row],[N° 
Evento]],'Eventos de riesgos'!B:L,11,0)</f>
        <v>2 - Fraude Externo</v>
      </c>
      <c r="Y257" s="59" t="str">
        <f>VLOOKUP(Tabla15[[#This Row],[N° 
Evento]],'Eventos de riesgos'!B:M,12,0)</f>
        <v>22 - Hurto y Fraude</v>
      </c>
      <c r="Z257" s="59" t="str">
        <f>VLOOKUP(Tabla15[[#This Row],[N° 
Evento]],'Eventos de riesgos'!B:N,13,0)</f>
        <v>221 - Robo o Hurto</v>
      </c>
      <c r="AA257" s="59" t="str">
        <f>+VLOOKUP(Tabla15[[#This Row],[N° 
Evento]],'Eventos de riesgos'!$B$1:$AA$87,23,0)</f>
        <v>Fraude en retiros sin tarjeta</v>
      </c>
      <c r="AB257" s="54" t="str">
        <f>VLOOKUP(Tabla15[[#This Row],[N° 
Evento]],'Eventos de riesgos'!B:O,14,0)</f>
        <v>Ninguna</v>
      </c>
      <c r="AC257" s="60">
        <f>VLOOKUP(Tabla15[[#This Row],[N° 
Evento]],'Eventos de riesgos'!B:P,15,0)</f>
        <v>45869.613194444442</v>
      </c>
      <c r="AD257" s="54" t="str">
        <f>VLOOKUP(Tabla15[[#This Row],[N° 
Evento]],'Eventos de riesgos'!B:Q,16,0)</f>
        <v>Ahorros voluntarios</v>
      </c>
      <c r="AE257" s="54" t="str">
        <f>VLOOKUP(Tabla15[[#This Row],[N° 
Evento]],'Eventos de riesgos'!B:R,17,0)</f>
        <v>Aplicación móvil (App Febor)</v>
      </c>
      <c r="AF257" s="56" t="str">
        <f>VLOOKUP(Tabla15[[#This Row],[N° 
Evento]],'Eventos de riesgos'!B:V,21,0)</f>
        <v>Aprobado</v>
      </c>
      <c r="AG257" s="59" t="str">
        <f>VLOOKUP(Tabla15[[#This Row],[N° 
Evento]],'Eventos de riesgos'!B:W,22,0)</f>
        <v>04/08/2025 14:45:53: Actualización</v>
      </c>
    </row>
    <row r="258" spans="3:33" ht="59" customHeight="1" x14ac:dyDescent="0.55000000000000004">
      <c r="C258" s="54" t="str">
        <f>+Tabla15[[#This Row],[N° 
Evento]]&amp;"-"&amp;Tabla15[[#This Row],[N° Tarea]]</f>
        <v>79-4</v>
      </c>
      <c r="D258" s="54">
        <v>79</v>
      </c>
      <c r="E258" s="54">
        <v>4</v>
      </c>
      <c r="F258" s="55" t="s">
        <v>745</v>
      </c>
      <c r="G258" s="44" t="s">
        <v>1052</v>
      </c>
      <c r="H258" s="59" t="s">
        <v>215</v>
      </c>
      <c r="I258" s="59" t="s">
        <v>91</v>
      </c>
      <c r="J258" s="57">
        <v>45859</v>
      </c>
      <c r="K258" s="57">
        <v>45866</v>
      </c>
      <c r="L258" s="47" t="str">
        <f>IF(Tabla15[[#This Row],[Fecha de Finalización]]&gt;0,"Cerrada","En Proceso")</f>
        <v>Cerrada</v>
      </c>
      <c r="M258" s="58">
        <f t="shared" si="9"/>
        <v>7</v>
      </c>
      <c r="N258" s="59"/>
      <c r="O258" s="54">
        <f>VLOOKUP(Tabla15[[#This Row],[N° 
Evento]],'Eventos de riesgos'!B:C,2,0)</f>
        <v>2025</v>
      </c>
      <c r="P258" s="54" t="str">
        <f>VLOOKUP(Tabla15[[#This Row],[N° 
Evento]],'Eventos de riesgos'!B:D,3,0)</f>
        <v>Jul</v>
      </c>
      <c r="Q258" s="60">
        <f>VLOOKUP(Tabla15[[#This Row],[N° 
Evento]],'Eventos de riesgos'!B:E,4,0)</f>
        <v>45890.614583333336</v>
      </c>
      <c r="R258" s="60">
        <f>VLOOKUP(Tabla15[[#This Row],[N° 
Evento]],'Eventos de riesgos'!B:F,5,0)</f>
        <v>45892.614583333336</v>
      </c>
      <c r="S258" s="60">
        <f>VLOOKUP(Tabla15[[#This Row],[N° 
Evento]],'Eventos de riesgos'!B:G,6,0)</f>
        <v>45890.614583333336</v>
      </c>
      <c r="T258"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58" s="61">
        <f>VLOOKUP(Tabla15[[#This Row],[N° 
Evento]],'Eventos de riesgos'!B:I,8,0)</f>
        <v>10040000</v>
      </c>
      <c r="V258" s="61">
        <f>VLOOKUP(Tabla15[[#This Row],[N° 
Evento]],'Eventos de riesgos'!B:J,9,0)</f>
        <v>0</v>
      </c>
      <c r="W258" s="61">
        <f>VLOOKUP(Tabla15[[#This Row],[N° 
Evento]],'Eventos de riesgos'!B:K,10,0)</f>
        <v>0</v>
      </c>
      <c r="X258" s="59" t="str">
        <f>VLOOKUP(Tabla15[[#This Row],[N° 
Evento]],'Eventos de riesgos'!B:L,11,0)</f>
        <v>2 - Fraude Externo</v>
      </c>
      <c r="Y258" s="59" t="str">
        <f>VLOOKUP(Tabla15[[#This Row],[N° 
Evento]],'Eventos de riesgos'!B:M,12,0)</f>
        <v>22 - Hurto y Fraude</v>
      </c>
      <c r="Z258" s="59" t="str">
        <f>VLOOKUP(Tabla15[[#This Row],[N° 
Evento]],'Eventos de riesgos'!B:N,13,0)</f>
        <v>221 - Robo o Hurto</v>
      </c>
      <c r="AA258" s="59" t="str">
        <f>+VLOOKUP(Tabla15[[#This Row],[N° 
Evento]],'Eventos de riesgos'!$B$1:$AA$87,23,0)</f>
        <v>Fraude en retiros sin tarjeta</v>
      </c>
      <c r="AB258" s="54" t="str">
        <f>VLOOKUP(Tabla15[[#This Row],[N° 
Evento]],'Eventos de riesgos'!B:O,14,0)</f>
        <v>Ninguna</v>
      </c>
      <c r="AC258" s="60">
        <f>VLOOKUP(Tabla15[[#This Row],[N° 
Evento]],'Eventos de riesgos'!B:P,15,0)</f>
        <v>45869.613194444442</v>
      </c>
      <c r="AD258" s="54" t="str">
        <f>VLOOKUP(Tabla15[[#This Row],[N° 
Evento]],'Eventos de riesgos'!B:Q,16,0)</f>
        <v>Ahorros voluntarios</v>
      </c>
      <c r="AE258" s="54" t="str">
        <f>VLOOKUP(Tabla15[[#This Row],[N° 
Evento]],'Eventos de riesgos'!B:R,17,0)</f>
        <v>Aplicación móvil (App Febor)</v>
      </c>
      <c r="AF258" s="56" t="str">
        <f>VLOOKUP(Tabla15[[#This Row],[N° 
Evento]],'Eventos de riesgos'!B:V,21,0)</f>
        <v>Aprobado</v>
      </c>
      <c r="AG258" s="59" t="str">
        <f>VLOOKUP(Tabla15[[#This Row],[N° 
Evento]],'Eventos de riesgos'!B:W,22,0)</f>
        <v>04/08/2025 14:45:53: Actualización</v>
      </c>
    </row>
    <row r="259" spans="3:33" ht="59" customHeight="1" x14ac:dyDescent="0.55000000000000004">
      <c r="C259" s="54" t="str">
        <f>+Tabla15[[#This Row],[N° 
Evento]]&amp;"-"&amp;Tabla15[[#This Row],[N° Tarea]]</f>
        <v>79-5</v>
      </c>
      <c r="D259" s="54">
        <v>79</v>
      </c>
      <c r="E259" s="54">
        <v>5</v>
      </c>
      <c r="F259" s="55" t="s">
        <v>746</v>
      </c>
      <c r="G259" s="44" t="s">
        <v>1052</v>
      </c>
      <c r="H259" s="59" t="s">
        <v>215</v>
      </c>
      <c r="I259" s="59" t="s">
        <v>91</v>
      </c>
      <c r="J259" s="57">
        <v>45859</v>
      </c>
      <c r="K259" s="57">
        <v>45859</v>
      </c>
      <c r="L259" s="47" t="str">
        <f>IF(Tabla15[[#This Row],[Fecha de Finalización]]&gt;0,"Cerrada","En Proceso")</f>
        <v>Cerrada</v>
      </c>
      <c r="M259" s="58">
        <f t="shared" si="9"/>
        <v>0</v>
      </c>
      <c r="N259" s="59"/>
      <c r="O259" s="54">
        <f>VLOOKUP(Tabla15[[#This Row],[N° 
Evento]],'Eventos de riesgos'!B:C,2,0)</f>
        <v>2025</v>
      </c>
      <c r="P259" s="54" t="str">
        <f>VLOOKUP(Tabla15[[#This Row],[N° 
Evento]],'Eventos de riesgos'!B:D,3,0)</f>
        <v>Jul</v>
      </c>
      <c r="Q259" s="60">
        <f>VLOOKUP(Tabla15[[#This Row],[N° 
Evento]],'Eventos de riesgos'!B:E,4,0)</f>
        <v>45890.614583333336</v>
      </c>
      <c r="R259" s="60">
        <f>VLOOKUP(Tabla15[[#This Row],[N° 
Evento]],'Eventos de riesgos'!B:F,5,0)</f>
        <v>45892.614583333336</v>
      </c>
      <c r="S259" s="60">
        <f>VLOOKUP(Tabla15[[#This Row],[N° 
Evento]],'Eventos de riesgos'!B:G,6,0)</f>
        <v>45890.614583333336</v>
      </c>
      <c r="T259"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59" s="61">
        <f>VLOOKUP(Tabla15[[#This Row],[N° 
Evento]],'Eventos de riesgos'!B:I,8,0)</f>
        <v>10040000</v>
      </c>
      <c r="V259" s="61">
        <f>VLOOKUP(Tabla15[[#This Row],[N° 
Evento]],'Eventos de riesgos'!B:J,9,0)</f>
        <v>0</v>
      </c>
      <c r="W259" s="61">
        <f>VLOOKUP(Tabla15[[#This Row],[N° 
Evento]],'Eventos de riesgos'!B:K,10,0)</f>
        <v>0</v>
      </c>
      <c r="X259" s="59" t="str">
        <f>VLOOKUP(Tabla15[[#This Row],[N° 
Evento]],'Eventos de riesgos'!B:L,11,0)</f>
        <v>2 - Fraude Externo</v>
      </c>
      <c r="Y259" s="59" t="str">
        <f>VLOOKUP(Tabla15[[#This Row],[N° 
Evento]],'Eventos de riesgos'!B:M,12,0)</f>
        <v>22 - Hurto y Fraude</v>
      </c>
      <c r="Z259" s="59" t="str">
        <f>VLOOKUP(Tabla15[[#This Row],[N° 
Evento]],'Eventos de riesgos'!B:N,13,0)</f>
        <v>221 - Robo o Hurto</v>
      </c>
      <c r="AA259" s="59" t="str">
        <f>+VLOOKUP(Tabla15[[#This Row],[N° 
Evento]],'Eventos de riesgos'!$B$1:$AA$87,23,0)</f>
        <v>Fraude en retiros sin tarjeta</v>
      </c>
      <c r="AB259" s="54" t="str">
        <f>VLOOKUP(Tabla15[[#This Row],[N° 
Evento]],'Eventos de riesgos'!B:O,14,0)</f>
        <v>Ninguna</v>
      </c>
      <c r="AC259" s="60">
        <f>VLOOKUP(Tabla15[[#This Row],[N° 
Evento]],'Eventos de riesgos'!B:P,15,0)</f>
        <v>45869.613194444442</v>
      </c>
      <c r="AD259" s="54" t="str">
        <f>VLOOKUP(Tabla15[[#This Row],[N° 
Evento]],'Eventos de riesgos'!B:Q,16,0)</f>
        <v>Ahorros voluntarios</v>
      </c>
      <c r="AE259" s="54" t="str">
        <f>VLOOKUP(Tabla15[[#This Row],[N° 
Evento]],'Eventos de riesgos'!B:R,17,0)</f>
        <v>Aplicación móvil (App Febor)</v>
      </c>
      <c r="AF259" s="56" t="str">
        <f>VLOOKUP(Tabla15[[#This Row],[N° 
Evento]],'Eventos de riesgos'!B:V,21,0)</f>
        <v>Aprobado</v>
      </c>
      <c r="AG259" s="59" t="str">
        <f>VLOOKUP(Tabla15[[#This Row],[N° 
Evento]],'Eventos de riesgos'!B:W,22,0)</f>
        <v>04/08/2025 14:45:53: Actualización</v>
      </c>
    </row>
    <row r="260" spans="3:33" ht="59" customHeight="1" x14ac:dyDescent="0.55000000000000004">
      <c r="C260" s="54" t="str">
        <f>+Tabla15[[#This Row],[N° 
Evento]]&amp;"-"&amp;Tabla15[[#This Row],[N° Tarea]]</f>
        <v>79-6</v>
      </c>
      <c r="D260" s="54">
        <v>79</v>
      </c>
      <c r="E260" s="54">
        <v>6</v>
      </c>
      <c r="F260" s="55" t="s">
        <v>747</v>
      </c>
      <c r="G260" s="44" t="s">
        <v>1053</v>
      </c>
      <c r="H260" s="59" t="s">
        <v>783</v>
      </c>
      <c r="I260" s="59" t="s">
        <v>91</v>
      </c>
      <c r="J260" s="57">
        <v>45859</v>
      </c>
      <c r="K260" s="57">
        <v>45859</v>
      </c>
      <c r="L260" s="47" t="str">
        <f>IF(Tabla15[[#This Row],[Fecha de Finalización]]&gt;0,"Cerrada","En Proceso")</f>
        <v>Cerrada</v>
      </c>
      <c r="M260" s="58">
        <f t="shared" si="9"/>
        <v>0</v>
      </c>
      <c r="N260" s="59"/>
      <c r="O260" s="54">
        <f>VLOOKUP(Tabla15[[#This Row],[N° 
Evento]],'Eventos de riesgos'!B:C,2,0)</f>
        <v>2025</v>
      </c>
      <c r="P260" s="54" t="str">
        <f>VLOOKUP(Tabla15[[#This Row],[N° 
Evento]],'Eventos de riesgos'!B:D,3,0)</f>
        <v>Jul</v>
      </c>
      <c r="Q260" s="60">
        <f>VLOOKUP(Tabla15[[#This Row],[N° 
Evento]],'Eventos de riesgos'!B:E,4,0)</f>
        <v>45890.614583333336</v>
      </c>
      <c r="R260" s="60">
        <f>VLOOKUP(Tabla15[[#This Row],[N° 
Evento]],'Eventos de riesgos'!B:F,5,0)</f>
        <v>45892.614583333336</v>
      </c>
      <c r="S260" s="60">
        <f>VLOOKUP(Tabla15[[#This Row],[N° 
Evento]],'Eventos de riesgos'!B:G,6,0)</f>
        <v>45890.614583333336</v>
      </c>
      <c r="T260"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0" s="61">
        <f>VLOOKUP(Tabla15[[#This Row],[N° 
Evento]],'Eventos de riesgos'!B:I,8,0)</f>
        <v>10040000</v>
      </c>
      <c r="V260" s="61">
        <f>VLOOKUP(Tabla15[[#This Row],[N° 
Evento]],'Eventos de riesgos'!B:J,9,0)</f>
        <v>0</v>
      </c>
      <c r="W260" s="61">
        <f>VLOOKUP(Tabla15[[#This Row],[N° 
Evento]],'Eventos de riesgos'!B:K,10,0)</f>
        <v>0</v>
      </c>
      <c r="X260" s="59" t="str">
        <f>VLOOKUP(Tabla15[[#This Row],[N° 
Evento]],'Eventos de riesgos'!B:L,11,0)</f>
        <v>2 - Fraude Externo</v>
      </c>
      <c r="Y260" s="59" t="str">
        <f>VLOOKUP(Tabla15[[#This Row],[N° 
Evento]],'Eventos de riesgos'!B:M,12,0)</f>
        <v>22 - Hurto y Fraude</v>
      </c>
      <c r="Z260" s="59" t="str">
        <f>VLOOKUP(Tabla15[[#This Row],[N° 
Evento]],'Eventos de riesgos'!B:N,13,0)</f>
        <v>221 - Robo o Hurto</v>
      </c>
      <c r="AA260" s="59" t="str">
        <f>+VLOOKUP(Tabla15[[#This Row],[N° 
Evento]],'Eventos de riesgos'!$B$1:$AA$87,23,0)</f>
        <v>Fraude en retiros sin tarjeta</v>
      </c>
      <c r="AB260" s="54" t="str">
        <f>VLOOKUP(Tabla15[[#This Row],[N° 
Evento]],'Eventos de riesgos'!B:O,14,0)</f>
        <v>Ninguna</v>
      </c>
      <c r="AC260" s="60">
        <f>VLOOKUP(Tabla15[[#This Row],[N° 
Evento]],'Eventos de riesgos'!B:P,15,0)</f>
        <v>45869.613194444442</v>
      </c>
      <c r="AD260" s="54" t="str">
        <f>VLOOKUP(Tabla15[[#This Row],[N° 
Evento]],'Eventos de riesgos'!B:Q,16,0)</f>
        <v>Ahorros voluntarios</v>
      </c>
      <c r="AE260" s="54" t="str">
        <f>VLOOKUP(Tabla15[[#This Row],[N° 
Evento]],'Eventos de riesgos'!B:R,17,0)</f>
        <v>Aplicación móvil (App Febor)</v>
      </c>
      <c r="AF260" s="56" t="str">
        <f>VLOOKUP(Tabla15[[#This Row],[N° 
Evento]],'Eventos de riesgos'!B:V,21,0)</f>
        <v>Aprobado</v>
      </c>
      <c r="AG260" s="59" t="str">
        <f>VLOOKUP(Tabla15[[#This Row],[N° 
Evento]],'Eventos de riesgos'!B:W,22,0)</f>
        <v>04/08/2025 14:45:53: Actualización</v>
      </c>
    </row>
    <row r="261" spans="3:33" ht="59" customHeight="1" x14ac:dyDescent="0.55000000000000004">
      <c r="C261" s="54" t="str">
        <f>+Tabla15[[#This Row],[N° 
Evento]]&amp;"-"&amp;Tabla15[[#This Row],[N° Tarea]]</f>
        <v>79-7</v>
      </c>
      <c r="D261" s="54">
        <v>79</v>
      </c>
      <c r="E261" s="54">
        <v>7</v>
      </c>
      <c r="F261" s="55" t="s">
        <v>748</v>
      </c>
      <c r="G261" s="44" t="s">
        <v>1052</v>
      </c>
      <c r="H261" s="59" t="s">
        <v>768</v>
      </c>
      <c r="I261" s="59" t="s">
        <v>755</v>
      </c>
      <c r="J261" s="57">
        <v>45859</v>
      </c>
      <c r="K261" s="57">
        <v>45859</v>
      </c>
      <c r="L261" s="47" t="str">
        <f>IF(Tabla15[[#This Row],[Fecha de Finalización]]&gt;0,"Cerrada","En Proceso")</f>
        <v>Cerrada</v>
      </c>
      <c r="M261" s="58">
        <f t="shared" si="9"/>
        <v>0</v>
      </c>
      <c r="N261" s="59"/>
      <c r="O261" s="54">
        <f>VLOOKUP(Tabla15[[#This Row],[N° 
Evento]],'Eventos de riesgos'!B:C,2,0)</f>
        <v>2025</v>
      </c>
      <c r="P261" s="54" t="str">
        <f>VLOOKUP(Tabla15[[#This Row],[N° 
Evento]],'Eventos de riesgos'!B:D,3,0)</f>
        <v>Jul</v>
      </c>
      <c r="Q261" s="60">
        <f>VLOOKUP(Tabla15[[#This Row],[N° 
Evento]],'Eventos de riesgos'!B:E,4,0)</f>
        <v>45890.614583333336</v>
      </c>
      <c r="R261" s="60">
        <f>VLOOKUP(Tabla15[[#This Row],[N° 
Evento]],'Eventos de riesgos'!B:F,5,0)</f>
        <v>45892.614583333336</v>
      </c>
      <c r="S261" s="60">
        <f>VLOOKUP(Tabla15[[#This Row],[N° 
Evento]],'Eventos de riesgos'!B:G,6,0)</f>
        <v>45890.614583333336</v>
      </c>
      <c r="T261"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1" s="61">
        <f>VLOOKUP(Tabla15[[#This Row],[N° 
Evento]],'Eventos de riesgos'!B:I,8,0)</f>
        <v>10040000</v>
      </c>
      <c r="V261" s="61">
        <f>VLOOKUP(Tabla15[[#This Row],[N° 
Evento]],'Eventos de riesgos'!B:J,9,0)</f>
        <v>0</v>
      </c>
      <c r="W261" s="61">
        <f>VLOOKUP(Tabla15[[#This Row],[N° 
Evento]],'Eventos de riesgos'!B:K,10,0)</f>
        <v>0</v>
      </c>
      <c r="X261" s="59" t="str">
        <f>VLOOKUP(Tabla15[[#This Row],[N° 
Evento]],'Eventos de riesgos'!B:L,11,0)</f>
        <v>2 - Fraude Externo</v>
      </c>
      <c r="Y261" s="59" t="str">
        <f>VLOOKUP(Tabla15[[#This Row],[N° 
Evento]],'Eventos de riesgos'!B:M,12,0)</f>
        <v>22 - Hurto y Fraude</v>
      </c>
      <c r="Z261" s="59" t="str">
        <f>VLOOKUP(Tabla15[[#This Row],[N° 
Evento]],'Eventos de riesgos'!B:N,13,0)</f>
        <v>221 - Robo o Hurto</v>
      </c>
      <c r="AA261" s="59" t="str">
        <f>+VLOOKUP(Tabla15[[#This Row],[N° 
Evento]],'Eventos de riesgos'!$B$1:$AA$87,23,0)</f>
        <v>Fraude en retiros sin tarjeta</v>
      </c>
      <c r="AB261" s="54" t="str">
        <f>VLOOKUP(Tabla15[[#This Row],[N° 
Evento]],'Eventos de riesgos'!B:O,14,0)</f>
        <v>Ninguna</v>
      </c>
      <c r="AC261" s="60">
        <f>VLOOKUP(Tabla15[[#This Row],[N° 
Evento]],'Eventos de riesgos'!B:P,15,0)</f>
        <v>45869.613194444442</v>
      </c>
      <c r="AD261" s="54" t="str">
        <f>VLOOKUP(Tabla15[[#This Row],[N° 
Evento]],'Eventos de riesgos'!B:Q,16,0)</f>
        <v>Ahorros voluntarios</v>
      </c>
      <c r="AE261" s="54" t="str">
        <f>VLOOKUP(Tabla15[[#This Row],[N° 
Evento]],'Eventos de riesgos'!B:R,17,0)</f>
        <v>Aplicación móvil (App Febor)</v>
      </c>
      <c r="AF261" s="56" t="str">
        <f>VLOOKUP(Tabla15[[#This Row],[N° 
Evento]],'Eventos de riesgos'!B:V,21,0)</f>
        <v>Aprobado</v>
      </c>
      <c r="AG261" s="59" t="str">
        <f>VLOOKUP(Tabla15[[#This Row],[N° 
Evento]],'Eventos de riesgos'!B:W,22,0)</f>
        <v>04/08/2025 14:45:53: Actualización</v>
      </c>
    </row>
    <row r="262" spans="3:33" ht="59" customHeight="1" x14ac:dyDescent="0.55000000000000004">
      <c r="C262" s="54" t="str">
        <f>+Tabla15[[#This Row],[N° 
Evento]]&amp;"-"&amp;Tabla15[[#This Row],[N° Tarea]]</f>
        <v>79-8</v>
      </c>
      <c r="D262" s="54">
        <v>79</v>
      </c>
      <c r="E262" s="54">
        <v>8</v>
      </c>
      <c r="F262" s="55" t="s">
        <v>749</v>
      </c>
      <c r="G262" s="44" t="s">
        <v>1052</v>
      </c>
      <c r="H262" s="59" t="s">
        <v>765</v>
      </c>
      <c r="I262" s="59" t="s">
        <v>259</v>
      </c>
      <c r="J262" s="57">
        <v>45859</v>
      </c>
      <c r="K262" s="57">
        <v>45860</v>
      </c>
      <c r="L262" s="47" t="str">
        <f>IF(Tabla15[[#This Row],[Fecha de Finalización]]&gt;0,"Cerrada","En Proceso")</f>
        <v>Cerrada</v>
      </c>
      <c r="M262" s="58">
        <f t="shared" si="9"/>
        <v>1</v>
      </c>
      <c r="N262" s="59"/>
      <c r="O262" s="54">
        <f>VLOOKUP(Tabla15[[#This Row],[N° 
Evento]],'Eventos de riesgos'!B:C,2,0)</f>
        <v>2025</v>
      </c>
      <c r="P262" s="54" t="str">
        <f>VLOOKUP(Tabla15[[#This Row],[N° 
Evento]],'Eventos de riesgos'!B:D,3,0)</f>
        <v>Jul</v>
      </c>
      <c r="Q262" s="60">
        <f>VLOOKUP(Tabla15[[#This Row],[N° 
Evento]],'Eventos de riesgos'!B:E,4,0)</f>
        <v>45890.614583333336</v>
      </c>
      <c r="R262" s="60">
        <f>VLOOKUP(Tabla15[[#This Row],[N° 
Evento]],'Eventos de riesgos'!B:F,5,0)</f>
        <v>45892.614583333336</v>
      </c>
      <c r="S262" s="60">
        <f>VLOOKUP(Tabla15[[#This Row],[N° 
Evento]],'Eventos de riesgos'!B:G,6,0)</f>
        <v>45890.614583333336</v>
      </c>
      <c r="T262"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2" s="61">
        <f>VLOOKUP(Tabla15[[#This Row],[N° 
Evento]],'Eventos de riesgos'!B:I,8,0)</f>
        <v>10040000</v>
      </c>
      <c r="V262" s="61">
        <f>VLOOKUP(Tabla15[[#This Row],[N° 
Evento]],'Eventos de riesgos'!B:J,9,0)</f>
        <v>0</v>
      </c>
      <c r="W262" s="61">
        <f>VLOOKUP(Tabla15[[#This Row],[N° 
Evento]],'Eventos de riesgos'!B:K,10,0)</f>
        <v>0</v>
      </c>
      <c r="X262" s="59" t="str">
        <f>VLOOKUP(Tabla15[[#This Row],[N° 
Evento]],'Eventos de riesgos'!B:L,11,0)</f>
        <v>2 - Fraude Externo</v>
      </c>
      <c r="Y262" s="59" t="str">
        <f>VLOOKUP(Tabla15[[#This Row],[N° 
Evento]],'Eventos de riesgos'!B:M,12,0)</f>
        <v>22 - Hurto y Fraude</v>
      </c>
      <c r="Z262" s="59" t="str">
        <f>VLOOKUP(Tabla15[[#This Row],[N° 
Evento]],'Eventos de riesgos'!B:N,13,0)</f>
        <v>221 - Robo o Hurto</v>
      </c>
      <c r="AA262" s="59" t="str">
        <f>+VLOOKUP(Tabla15[[#This Row],[N° 
Evento]],'Eventos de riesgos'!$B$1:$AA$87,23,0)</f>
        <v>Fraude en retiros sin tarjeta</v>
      </c>
      <c r="AB262" s="54" t="str">
        <f>VLOOKUP(Tabla15[[#This Row],[N° 
Evento]],'Eventos de riesgos'!B:O,14,0)</f>
        <v>Ninguna</v>
      </c>
      <c r="AC262" s="60">
        <f>VLOOKUP(Tabla15[[#This Row],[N° 
Evento]],'Eventos de riesgos'!B:P,15,0)</f>
        <v>45869.613194444442</v>
      </c>
      <c r="AD262" s="54" t="str">
        <f>VLOOKUP(Tabla15[[#This Row],[N° 
Evento]],'Eventos de riesgos'!B:Q,16,0)</f>
        <v>Ahorros voluntarios</v>
      </c>
      <c r="AE262" s="54" t="str">
        <f>VLOOKUP(Tabla15[[#This Row],[N° 
Evento]],'Eventos de riesgos'!B:R,17,0)</f>
        <v>Aplicación móvil (App Febor)</v>
      </c>
      <c r="AF262" s="56" t="str">
        <f>VLOOKUP(Tabla15[[#This Row],[N° 
Evento]],'Eventos de riesgos'!B:V,21,0)</f>
        <v>Aprobado</v>
      </c>
      <c r="AG262" s="59" t="str">
        <f>VLOOKUP(Tabla15[[#This Row],[N° 
Evento]],'Eventos de riesgos'!B:W,22,0)</f>
        <v>04/08/2025 14:45:53: Actualización</v>
      </c>
    </row>
    <row r="263" spans="3:33" ht="59" customHeight="1" x14ac:dyDescent="0.55000000000000004">
      <c r="C263" s="54" t="str">
        <f>+Tabla15[[#This Row],[N° 
Evento]]&amp;"-"&amp;Tabla15[[#This Row],[N° Tarea]]</f>
        <v>79-9</v>
      </c>
      <c r="D263" s="54">
        <v>79</v>
      </c>
      <c r="E263" s="54">
        <v>9</v>
      </c>
      <c r="F263" s="55" t="s">
        <v>750</v>
      </c>
      <c r="G263" s="44" t="s">
        <v>1052</v>
      </c>
      <c r="H263" s="59" t="s">
        <v>769</v>
      </c>
      <c r="I263" s="59" t="s">
        <v>273</v>
      </c>
      <c r="J263" s="57">
        <v>45859</v>
      </c>
      <c r="K263" s="57">
        <v>45860</v>
      </c>
      <c r="L263" s="47" t="str">
        <f>IF(Tabla15[[#This Row],[Fecha de Finalización]]&gt;0,"Cerrada","En Proceso")</f>
        <v>Cerrada</v>
      </c>
      <c r="M263" s="58">
        <f t="shared" si="9"/>
        <v>1</v>
      </c>
      <c r="N263" s="59"/>
      <c r="O263" s="54">
        <f>VLOOKUP(Tabla15[[#This Row],[N° 
Evento]],'Eventos de riesgos'!B:C,2,0)</f>
        <v>2025</v>
      </c>
      <c r="P263" s="54" t="str">
        <f>VLOOKUP(Tabla15[[#This Row],[N° 
Evento]],'Eventos de riesgos'!B:D,3,0)</f>
        <v>Jul</v>
      </c>
      <c r="Q263" s="60">
        <f>VLOOKUP(Tabla15[[#This Row],[N° 
Evento]],'Eventos de riesgos'!B:E,4,0)</f>
        <v>45890.614583333336</v>
      </c>
      <c r="R263" s="60">
        <f>VLOOKUP(Tabla15[[#This Row],[N° 
Evento]],'Eventos de riesgos'!B:F,5,0)</f>
        <v>45892.614583333336</v>
      </c>
      <c r="S263" s="60">
        <f>VLOOKUP(Tabla15[[#This Row],[N° 
Evento]],'Eventos de riesgos'!B:G,6,0)</f>
        <v>45890.614583333336</v>
      </c>
      <c r="T263"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3" s="61">
        <f>VLOOKUP(Tabla15[[#This Row],[N° 
Evento]],'Eventos de riesgos'!B:I,8,0)</f>
        <v>10040000</v>
      </c>
      <c r="V263" s="61">
        <f>VLOOKUP(Tabla15[[#This Row],[N° 
Evento]],'Eventos de riesgos'!B:J,9,0)</f>
        <v>0</v>
      </c>
      <c r="W263" s="61">
        <f>VLOOKUP(Tabla15[[#This Row],[N° 
Evento]],'Eventos de riesgos'!B:K,10,0)</f>
        <v>0</v>
      </c>
      <c r="X263" s="59" t="str">
        <f>VLOOKUP(Tabla15[[#This Row],[N° 
Evento]],'Eventos de riesgos'!B:L,11,0)</f>
        <v>2 - Fraude Externo</v>
      </c>
      <c r="Y263" s="59" t="str">
        <f>VLOOKUP(Tabla15[[#This Row],[N° 
Evento]],'Eventos de riesgos'!B:M,12,0)</f>
        <v>22 - Hurto y Fraude</v>
      </c>
      <c r="Z263" s="59" t="str">
        <f>VLOOKUP(Tabla15[[#This Row],[N° 
Evento]],'Eventos de riesgos'!B:N,13,0)</f>
        <v>221 - Robo o Hurto</v>
      </c>
      <c r="AA263" s="59" t="str">
        <f>+VLOOKUP(Tabla15[[#This Row],[N° 
Evento]],'Eventos de riesgos'!$B$1:$AA$87,23,0)</f>
        <v>Fraude en retiros sin tarjeta</v>
      </c>
      <c r="AB263" s="54" t="str">
        <f>VLOOKUP(Tabla15[[#This Row],[N° 
Evento]],'Eventos de riesgos'!B:O,14,0)</f>
        <v>Ninguna</v>
      </c>
      <c r="AC263" s="60">
        <f>VLOOKUP(Tabla15[[#This Row],[N° 
Evento]],'Eventos de riesgos'!B:P,15,0)</f>
        <v>45869.613194444442</v>
      </c>
      <c r="AD263" s="54" t="str">
        <f>VLOOKUP(Tabla15[[#This Row],[N° 
Evento]],'Eventos de riesgos'!B:Q,16,0)</f>
        <v>Ahorros voluntarios</v>
      </c>
      <c r="AE263" s="54" t="str">
        <f>VLOOKUP(Tabla15[[#This Row],[N° 
Evento]],'Eventos de riesgos'!B:R,17,0)</f>
        <v>Aplicación móvil (App Febor)</v>
      </c>
      <c r="AF263" s="56" t="str">
        <f>VLOOKUP(Tabla15[[#This Row],[N° 
Evento]],'Eventos de riesgos'!B:V,21,0)</f>
        <v>Aprobado</v>
      </c>
      <c r="AG263" s="59" t="str">
        <f>VLOOKUP(Tabla15[[#This Row],[N° 
Evento]],'Eventos de riesgos'!B:W,22,0)</f>
        <v>04/08/2025 14:45:53: Actualización</v>
      </c>
    </row>
    <row r="264" spans="3:33" ht="59" customHeight="1" x14ac:dyDescent="0.55000000000000004">
      <c r="C264" s="54" t="str">
        <f>+Tabla15[[#This Row],[N° 
Evento]]&amp;"-"&amp;Tabla15[[#This Row],[N° Tarea]]</f>
        <v>79-10</v>
      </c>
      <c r="D264" s="54">
        <v>79</v>
      </c>
      <c r="E264" s="54">
        <v>10</v>
      </c>
      <c r="F264" s="55" t="s">
        <v>751</v>
      </c>
      <c r="G264" s="44" t="s">
        <v>1053</v>
      </c>
      <c r="H264" s="59" t="s">
        <v>215</v>
      </c>
      <c r="I264" s="59" t="s">
        <v>91</v>
      </c>
      <c r="J264" s="57">
        <v>45833</v>
      </c>
      <c r="K264" s="57">
        <v>45833</v>
      </c>
      <c r="L264" s="47" t="str">
        <f>IF(Tabla15[[#This Row],[Fecha de Finalización]]&gt;0,"Cerrada","En Proceso")</f>
        <v>Cerrada</v>
      </c>
      <c r="M264" s="58">
        <f t="shared" ref="M264:M269" si="10">+K264-J264</f>
        <v>0</v>
      </c>
      <c r="N264" s="59"/>
      <c r="O264" s="54">
        <f>VLOOKUP(Tabla15[[#This Row],[N° 
Evento]],'Eventos de riesgos'!B:C,2,0)</f>
        <v>2025</v>
      </c>
      <c r="P264" s="54" t="str">
        <f>VLOOKUP(Tabla15[[#This Row],[N° 
Evento]],'Eventos de riesgos'!B:D,3,0)</f>
        <v>Jul</v>
      </c>
      <c r="Q264" s="60">
        <f>VLOOKUP(Tabla15[[#This Row],[N° 
Evento]],'Eventos de riesgos'!B:E,4,0)</f>
        <v>45890.614583333336</v>
      </c>
      <c r="R264" s="60">
        <f>VLOOKUP(Tabla15[[#This Row],[N° 
Evento]],'Eventos de riesgos'!B:F,5,0)</f>
        <v>45892.614583333336</v>
      </c>
      <c r="S264" s="60">
        <f>VLOOKUP(Tabla15[[#This Row],[N° 
Evento]],'Eventos de riesgos'!B:G,6,0)</f>
        <v>45890.614583333336</v>
      </c>
      <c r="T264"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4" s="61">
        <f>VLOOKUP(Tabla15[[#This Row],[N° 
Evento]],'Eventos de riesgos'!B:I,8,0)</f>
        <v>10040000</v>
      </c>
      <c r="V264" s="61">
        <f>VLOOKUP(Tabla15[[#This Row],[N° 
Evento]],'Eventos de riesgos'!B:J,9,0)</f>
        <v>0</v>
      </c>
      <c r="W264" s="61">
        <f>VLOOKUP(Tabla15[[#This Row],[N° 
Evento]],'Eventos de riesgos'!B:K,10,0)</f>
        <v>0</v>
      </c>
      <c r="X264" s="59" t="str">
        <f>VLOOKUP(Tabla15[[#This Row],[N° 
Evento]],'Eventos de riesgos'!B:L,11,0)</f>
        <v>2 - Fraude Externo</v>
      </c>
      <c r="Y264" s="59" t="str">
        <f>VLOOKUP(Tabla15[[#This Row],[N° 
Evento]],'Eventos de riesgos'!B:M,12,0)</f>
        <v>22 - Hurto y Fraude</v>
      </c>
      <c r="Z264" s="59" t="str">
        <f>VLOOKUP(Tabla15[[#This Row],[N° 
Evento]],'Eventos de riesgos'!B:N,13,0)</f>
        <v>221 - Robo o Hurto</v>
      </c>
      <c r="AA264" s="59" t="str">
        <f>+VLOOKUP(Tabla15[[#This Row],[N° 
Evento]],'Eventos de riesgos'!$B$1:$AA$87,23,0)</f>
        <v>Fraude en retiros sin tarjeta</v>
      </c>
      <c r="AB264" s="54" t="str">
        <f>VLOOKUP(Tabla15[[#This Row],[N° 
Evento]],'Eventos de riesgos'!B:O,14,0)</f>
        <v>Ninguna</v>
      </c>
      <c r="AC264" s="60">
        <f>VLOOKUP(Tabla15[[#This Row],[N° 
Evento]],'Eventos de riesgos'!B:P,15,0)</f>
        <v>45869.613194444442</v>
      </c>
      <c r="AD264" s="54" t="str">
        <f>VLOOKUP(Tabla15[[#This Row],[N° 
Evento]],'Eventos de riesgos'!B:Q,16,0)</f>
        <v>Ahorros voluntarios</v>
      </c>
      <c r="AE264" s="54" t="str">
        <f>VLOOKUP(Tabla15[[#This Row],[N° 
Evento]],'Eventos de riesgos'!B:R,17,0)</f>
        <v>Aplicación móvil (App Febor)</v>
      </c>
      <c r="AF264" s="56" t="str">
        <f>VLOOKUP(Tabla15[[#This Row],[N° 
Evento]],'Eventos de riesgos'!B:V,21,0)</f>
        <v>Aprobado</v>
      </c>
      <c r="AG264" s="59" t="str">
        <f>VLOOKUP(Tabla15[[#This Row],[N° 
Evento]],'Eventos de riesgos'!B:W,22,0)</f>
        <v>04/08/2025 14:45:53: Actualización</v>
      </c>
    </row>
    <row r="265" spans="3:33" ht="59" customHeight="1" x14ac:dyDescent="0.55000000000000004">
      <c r="C265" s="54" t="str">
        <f>+Tabla15[[#This Row],[N° 
Evento]]&amp;"-"&amp;Tabla15[[#This Row],[N° Tarea]]</f>
        <v>79-11</v>
      </c>
      <c r="D265" s="54">
        <v>79</v>
      </c>
      <c r="E265" s="54">
        <v>11</v>
      </c>
      <c r="F265" s="55" t="s">
        <v>752</v>
      </c>
      <c r="G265" s="44" t="s">
        <v>1052</v>
      </c>
      <c r="H265" s="59" t="s">
        <v>770</v>
      </c>
      <c r="I265" s="59" t="s">
        <v>473</v>
      </c>
      <c r="J265" s="57">
        <v>45859</v>
      </c>
      <c r="K265" s="57">
        <v>45866</v>
      </c>
      <c r="L265" s="47" t="str">
        <f>IF(Tabla15[[#This Row],[Fecha de Finalización]]&gt;0,"Cerrada","En Proceso")</f>
        <v>Cerrada</v>
      </c>
      <c r="M265" s="58">
        <f t="shared" si="10"/>
        <v>7</v>
      </c>
      <c r="N265" s="59" t="s">
        <v>756</v>
      </c>
      <c r="O265" s="54">
        <f>VLOOKUP(Tabla15[[#This Row],[N° 
Evento]],'Eventos de riesgos'!B:C,2,0)</f>
        <v>2025</v>
      </c>
      <c r="P265" s="54" t="str">
        <f>VLOOKUP(Tabla15[[#This Row],[N° 
Evento]],'Eventos de riesgos'!B:D,3,0)</f>
        <v>Jul</v>
      </c>
      <c r="Q265" s="60">
        <f>VLOOKUP(Tabla15[[#This Row],[N° 
Evento]],'Eventos de riesgos'!B:E,4,0)</f>
        <v>45890.614583333336</v>
      </c>
      <c r="R265" s="60">
        <f>VLOOKUP(Tabla15[[#This Row],[N° 
Evento]],'Eventos de riesgos'!B:F,5,0)</f>
        <v>45892.614583333336</v>
      </c>
      <c r="S265" s="60">
        <f>VLOOKUP(Tabla15[[#This Row],[N° 
Evento]],'Eventos de riesgos'!B:G,6,0)</f>
        <v>45890.614583333336</v>
      </c>
      <c r="T265"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5" s="61">
        <f>VLOOKUP(Tabla15[[#This Row],[N° 
Evento]],'Eventos de riesgos'!B:I,8,0)</f>
        <v>10040000</v>
      </c>
      <c r="V265" s="61">
        <f>VLOOKUP(Tabla15[[#This Row],[N° 
Evento]],'Eventos de riesgos'!B:J,9,0)</f>
        <v>0</v>
      </c>
      <c r="W265" s="61">
        <f>VLOOKUP(Tabla15[[#This Row],[N° 
Evento]],'Eventos de riesgos'!B:K,10,0)</f>
        <v>0</v>
      </c>
      <c r="X265" s="59" t="str">
        <f>VLOOKUP(Tabla15[[#This Row],[N° 
Evento]],'Eventos de riesgos'!B:L,11,0)</f>
        <v>2 - Fraude Externo</v>
      </c>
      <c r="Y265" s="59" t="str">
        <f>VLOOKUP(Tabla15[[#This Row],[N° 
Evento]],'Eventos de riesgos'!B:M,12,0)</f>
        <v>22 - Hurto y Fraude</v>
      </c>
      <c r="Z265" s="59" t="str">
        <f>VLOOKUP(Tabla15[[#This Row],[N° 
Evento]],'Eventos de riesgos'!B:N,13,0)</f>
        <v>221 - Robo o Hurto</v>
      </c>
      <c r="AA265" s="59" t="str">
        <f>+VLOOKUP(Tabla15[[#This Row],[N° 
Evento]],'Eventos de riesgos'!$B$1:$AA$87,23,0)</f>
        <v>Fraude en retiros sin tarjeta</v>
      </c>
      <c r="AB265" s="54" t="str">
        <f>VLOOKUP(Tabla15[[#This Row],[N° 
Evento]],'Eventos de riesgos'!B:O,14,0)</f>
        <v>Ninguna</v>
      </c>
      <c r="AC265" s="60">
        <f>VLOOKUP(Tabla15[[#This Row],[N° 
Evento]],'Eventos de riesgos'!B:P,15,0)</f>
        <v>45869.613194444442</v>
      </c>
      <c r="AD265" s="54" t="str">
        <f>VLOOKUP(Tabla15[[#This Row],[N° 
Evento]],'Eventos de riesgos'!B:Q,16,0)</f>
        <v>Ahorros voluntarios</v>
      </c>
      <c r="AE265" s="54" t="str">
        <f>VLOOKUP(Tabla15[[#This Row],[N° 
Evento]],'Eventos de riesgos'!B:R,17,0)</f>
        <v>Aplicación móvil (App Febor)</v>
      </c>
      <c r="AF265" s="56" t="str">
        <f>VLOOKUP(Tabla15[[#This Row],[N° 
Evento]],'Eventos de riesgos'!B:V,21,0)</f>
        <v>Aprobado</v>
      </c>
      <c r="AG265" s="59" t="str">
        <f>VLOOKUP(Tabla15[[#This Row],[N° 
Evento]],'Eventos de riesgos'!B:W,22,0)</f>
        <v>04/08/2025 14:45:53: Actualización</v>
      </c>
    </row>
    <row r="266" spans="3:33" ht="59" customHeight="1" x14ac:dyDescent="0.55000000000000004">
      <c r="C266" s="54" t="str">
        <f>+Tabla15[[#This Row],[N° 
Evento]]&amp;"-"&amp;Tabla15[[#This Row],[N° Tarea]]</f>
        <v>79-12</v>
      </c>
      <c r="D266" s="54">
        <v>79</v>
      </c>
      <c r="E266" s="54">
        <v>12</v>
      </c>
      <c r="F266" s="55" t="s">
        <v>753</v>
      </c>
      <c r="G266" s="44" t="s">
        <v>1052</v>
      </c>
      <c r="H266" s="59" t="s">
        <v>784</v>
      </c>
      <c r="I266" s="59" t="s">
        <v>273</v>
      </c>
      <c r="J266" s="57">
        <v>45859</v>
      </c>
      <c r="K266" s="57">
        <v>45866</v>
      </c>
      <c r="L266" s="47" t="str">
        <f>IF(Tabla15[[#This Row],[Fecha de Finalización]]&gt;0,"Cerrada","En Proceso")</f>
        <v>Cerrada</v>
      </c>
      <c r="M266" s="58">
        <f t="shared" si="10"/>
        <v>7</v>
      </c>
      <c r="N266" s="59"/>
      <c r="O266" s="54">
        <f>VLOOKUP(Tabla15[[#This Row],[N° 
Evento]],'Eventos de riesgos'!B:C,2,0)</f>
        <v>2025</v>
      </c>
      <c r="P266" s="54" t="str">
        <f>VLOOKUP(Tabla15[[#This Row],[N° 
Evento]],'Eventos de riesgos'!B:D,3,0)</f>
        <v>Jul</v>
      </c>
      <c r="Q266" s="60">
        <f>VLOOKUP(Tabla15[[#This Row],[N° 
Evento]],'Eventos de riesgos'!B:E,4,0)</f>
        <v>45890.614583333336</v>
      </c>
      <c r="R266" s="60">
        <f>VLOOKUP(Tabla15[[#This Row],[N° 
Evento]],'Eventos de riesgos'!B:F,5,0)</f>
        <v>45892.614583333336</v>
      </c>
      <c r="S266" s="60">
        <f>VLOOKUP(Tabla15[[#This Row],[N° 
Evento]],'Eventos de riesgos'!B:G,6,0)</f>
        <v>45890.614583333336</v>
      </c>
      <c r="T266"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6" s="61">
        <f>VLOOKUP(Tabla15[[#This Row],[N° 
Evento]],'Eventos de riesgos'!B:I,8,0)</f>
        <v>10040000</v>
      </c>
      <c r="V266" s="61">
        <f>VLOOKUP(Tabla15[[#This Row],[N° 
Evento]],'Eventos de riesgos'!B:J,9,0)</f>
        <v>0</v>
      </c>
      <c r="W266" s="61">
        <f>VLOOKUP(Tabla15[[#This Row],[N° 
Evento]],'Eventos de riesgos'!B:K,10,0)</f>
        <v>0</v>
      </c>
      <c r="X266" s="59" t="str">
        <f>VLOOKUP(Tabla15[[#This Row],[N° 
Evento]],'Eventos de riesgos'!B:L,11,0)</f>
        <v>2 - Fraude Externo</v>
      </c>
      <c r="Y266" s="59" t="str">
        <f>VLOOKUP(Tabla15[[#This Row],[N° 
Evento]],'Eventos de riesgos'!B:M,12,0)</f>
        <v>22 - Hurto y Fraude</v>
      </c>
      <c r="Z266" s="59" t="str">
        <f>VLOOKUP(Tabla15[[#This Row],[N° 
Evento]],'Eventos de riesgos'!B:N,13,0)</f>
        <v>221 - Robo o Hurto</v>
      </c>
      <c r="AA266" s="59" t="str">
        <f>+VLOOKUP(Tabla15[[#This Row],[N° 
Evento]],'Eventos de riesgos'!$B$1:$AA$87,23,0)</f>
        <v>Fraude en retiros sin tarjeta</v>
      </c>
      <c r="AB266" s="54" t="str">
        <f>VLOOKUP(Tabla15[[#This Row],[N° 
Evento]],'Eventos de riesgos'!B:O,14,0)</f>
        <v>Ninguna</v>
      </c>
      <c r="AC266" s="60">
        <f>VLOOKUP(Tabla15[[#This Row],[N° 
Evento]],'Eventos de riesgos'!B:P,15,0)</f>
        <v>45869.613194444442</v>
      </c>
      <c r="AD266" s="54" t="str">
        <f>VLOOKUP(Tabla15[[#This Row],[N° 
Evento]],'Eventos de riesgos'!B:Q,16,0)</f>
        <v>Ahorros voluntarios</v>
      </c>
      <c r="AE266" s="54" t="str">
        <f>VLOOKUP(Tabla15[[#This Row],[N° 
Evento]],'Eventos de riesgos'!B:R,17,0)</f>
        <v>Aplicación móvil (App Febor)</v>
      </c>
      <c r="AF266" s="56" t="str">
        <f>VLOOKUP(Tabla15[[#This Row],[N° 
Evento]],'Eventos de riesgos'!B:V,21,0)</f>
        <v>Aprobado</v>
      </c>
      <c r="AG266" s="59" t="str">
        <f>VLOOKUP(Tabla15[[#This Row],[N° 
Evento]],'Eventos de riesgos'!B:W,22,0)</f>
        <v>04/08/2025 14:45:53: Actualización</v>
      </c>
    </row>
    <row r="267" spans="3:33" ht="129" customHeight="1" x14ac:dyDescent="0.55000000000000004">
      <c r="C267" s="54" t="str">
        <f>+Tabla15[[#This Row],[N° 
Evento]]&amp;"-"&amp;Tabla15[[#This Row],[N° Tarea]]</f>
        <v>79-13</v>
      </c>
      <c r="D267" s="54">
        <v>79</v>
      </c>
      <c r="E267" s="54">
        <v>13</v>
      </c>
      <c r="F267" s="55" t="s">
        <v>929</v>
      </c>
      <c r="G267" s="44" t="s">
        <v>1053</v>
      </c>
      <c r="H267" s="59" t="s">
        <v>769</v>
      </c>
      <c r="I267" s="59" t="s">
        <v>273</v>
      </c>
      <c r="J267" s="57">
        <v>45859</v>
      </c>
      <c r="K267" s="57">
        <v>45930</v>
      </c>
      <c r="L267" s="47" t="s">
        <v>217</v>
      </c>
      <c r="M267" s="58">
        <f t="shared" si="10"/>
        <v>71</v>
      </c>
      <c r="N267" s="59" t="s">
        <v>930</v>
      </c>
      <c r="O267" s="54">
        <f>VLOOKUP(Tabla15[[#This Row],[N° 
Evento]],'Eventos de riesgos'!B:C,2,0)</f>
        <v>2025</v>
      </c>
      <c r="P267" s="54" t="str">
        <f>VLOOKUP(Tabla15[[#This Row],[N° 
Evento]],'Eventos de riesgos'!B:D,3,0)</f>
        <v>Jul</v>
      </c>
      <c r="Q267" s="60">
        <f>VLOOKUP(Tabla15[[#This Row],[N° 
Evento]],'Eventos de riesgos'!B:E,4,0)</f>
        <v>45890.614583333336</v>
      </c>
      <c r="R267" s="60">
        <f>VLOOKUP(Tabla15[[#This Row],[N° 
Evento]],'Eventos de riesgos'!B:F,5,0)</f>
        <v>45892.614583333336</v>
      </c>
      <c r="S267" s="60">
        <f>VLOOKUP(Tabla15[[#This Row],[N° 
Evento]],'Eventos de riesgos'!B:G,6,0)</f>
        <v>45890.614583333336</v>
      </c>
      <c r="T267"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7" s="61">
        <f>VLOOKUP(Tabla15[[#This Row],[N° 
Evento]],'Eventos de riesgos'!B:I,8,0)</f>
        <v>10040000</v>
      </c>
      <c r="V267" s="61">
        <f>VLOOKUP(Tabla15[[#This Row],[N° 
Evento]],'Eventos de riesgos'!B:J,9,0)</f>
        <v>0</v>
      </c>
      <c r="W267" s="61">
        <f>VLOOKUP(Tabla15[[#This Row],[N° 
Evento]],'Eventos de riesgos'!B:K,10,0)</f>
        <v>0</v>
      </c>
      <c r="X267" s="59" t="str">
        <f>VLOOKUP(Tabla15[[#This Row],[N° 
Evento]],'Eventos de riesgos'!B:L,11,0)</f>
        <v>2 - Fraude Externo</v>
      </c>
      <c r="Y267" s="59" t="str">
        <f>VLOOKUP(Tabla15[[#This Row],[N° 
Evento]],'Eventos de riesgos'!B:M,12,0)</f>
        <v>22 - Hurto y Fraude</v>
      </c>
      <c r="Z267" s="59" t="str">
        <f>VLOOKUP(Tabla15[[#This Row],[N° 
Evento]],'Eventos de riesgos'!B:N,13,0)</f>
        <v>221 - Robo o Hurto</v>
      </c>
      <c r="AA267" s="59" t="str">
        <f>+VLOOKUP(Tabla15[[#This Row],[N° 
Evento]],'Eventos de riesgos'!$B$1:$AA$87,23,0)</f>
        <v>Fraude en retiros sin tarjeta</v>
      </c>
      <c r="AB267" s="54" t="str">
        <f>VLOOKUP(Tabla15[[#This Row],[N° 
Evento]],'Eventos de riesgos'!B:O,14,0)</f>
        <v>Ninguna</v>
      </c>
      <c r="AC267" s="60">
        <f>VLOOKUP(Tabla15[[#This Row],[N° 
Evento]],'Eventos de riesgos'!B:P,15,0)</f>
        <v>45869.613194444442</v>
      </c>
      <c r="AD267" s="54" t="str">
        <f>VLOOKUP(Tabla15[[#This Row],[N° 
Evento]],'Eventos de riesgos'!B:Q,16,0)</f>
        <v>Ahorros voluntarios</v>
      </c>
      <c r="AE267" s="54" t="str">
        <f>VLOOKUP(Tabla15[[#This Row],[N° 
Evento]],'Eventos de riesgos'!B:R,17,0)</f>
        <v>Aplicación móvil (App Febor)</v>
      </c>
      <c r="AF267" s="56" t="str">
        <f>VLOOKUP(Tabla15[[#This Row],[N° 
Evento]],'Eventos de riesgos'!B:V,21,0)</f>
        <v>Aprobado</v>
      </c>
      <c r="AG267" s="59" t="str">
        <f>VLOOKUP(Tabla15[[#This Row],[N° 
Evento]],'Eventos de riesgos'!B:W,22,0)</f>
        <v>04/08/2025 14:45:53: Actualización</v>
      </c>
    </row>
    <row r="268" spans="3:33" ht="103" customHeight="1" x14ac:dyDescent="0.55000000000000004">
      <c r="C268" s="54" t="str">
        <f>+Tabla15[[#This Row],[N° 
Evento]]&amp;"-"&amp;Tabla15[[#This Row],[N° Tarea]]</f>
        <v>79-14</v>
      </c>
      <c r="D268" s="54">
        <v>79</v>
      </c>
      <c r="E268" s="54">
        <v>14</v>
      </c>
      <c r="F268" s="55" t="s">
        <v>832</v>
      </c>
      <c r="G268" s="44" t="s">
        <v>1052</v>
      </c>
      <c r="H268" s="59" t="s">
        <v>785</v>
      </c>
      <c r="I268" s="59" t="s">
        <v>240</v>
      </c>
      <c r="J268" s="57">
        <v>45859</v>
      </c>
      <c r="K268" s="57">
        <v>45877</v>
      </c>
      <c r="L268" s="47" t="str">
        <f>IF(Tabla15[[#This Row],[Fecha de Finalización]]&gt;0,"Cerrada","En Proceso")</f>
        <v>Cerrada</v>
      </c>
      <c r="M268" s="58">
        <f t="shared" si="10"/>
        <v>18</v>
      </c>
      <c r="N268" s="59" t="s">
        <v>1036</v>
      </c>
      <c r="O268" s="54">
        <f>VLOOKUP(Tabla15[[#This Row],[N° 
Evento]],'Eventos de riesgos'!B:C,2,0)</f>
        <v>2025</v>
      </c>
      <c r="P268" s="54" t="str">
        <f>VLOOKUP(Tabla15[[#This Row],[N° 
Evento]],'Eventos de riesgos'!B:D,3,0)</f>
        <v>Jul</v>
      </c>
      <c r="Q268" s="60">
        <f>VLOOKUP(Tabla15[[#This Row],[N° 
Evento]],'Eventos de riesgos'!B:E,4,0)</f>
        <v>45890.614583333336</v>
      </c>
      <c r="R268" s="60">
        <f>VLOOKUP(Tabla15[[#This Row],[N° 
Evento]],'Eventos de riesgos'!B:F,5,0)</f>
        <v>45892.614583333336</v>
      </c>
      <c r="S268" s="60">
        <f>VLOOKUP(Tabla15[[#This Row],[N° 
Evento]],'Eventos de riesgos'!B:G,6,0)</f>
        <v>45890.614583333336</v>
      </c>
      <c r="T268"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8" s="61">
        <f>VLOOKUP(Tabla15[[#This Row],[N° 
Evento]],'Eventos de riesgos'!B:I,8,0)</f>
        <v>10040000</v>
      </c>
      <c r="V268" s="61">
        <f>VLOOKUP(Tabla15[[#This Row],[N° 
Evento]],'Eventos de riesgos'!B:J,9,0)</f>
        <v>0</v>
      </c>
      <c r="W268" s="61">
        <f>VLOOKUP(Tabla15[[#This Row],[N° 
Evento]],'Eventos de riesgos'!B:K,10,0)</f>
        <v>0</v>
      </c>
      <c r="X268" s="59" t="str">
        <f>VLOOKUP(Tabla15[[#This Row],[N° 
Evento]],'Eventos de riesgos'!B:L,11,0)</f>
        <v>2 - Fraude Externo</v>
      </c>
      <c r="Y268" s="59" t="str">
        <f>VLOOKUP(Tabla15[[#This Row],[N° 
Evento]],'Eventos de riesgos'!B:M,12,0)</f>
        <v>22 - Hurto y Fraude</v>
      </c>
      <c r="Z268" s="59" t="str">
        <f>VLOOKUP(Tabla15[[#This Row],[N° 
Evento]],'Eventos de riesgos'!B:N,13,0)</f>
        <v>221 - Robo o Hurto</v>
      </c>
      <c r="AA268" s="59" t="str">
        <f>+VLOOKUP(Tabla15[[#This Row],[N° 
Evento]],'Eventos de riesgos'!$B$1:$AA$87,23,0)</f>
        <v>Fraude en retiros sin tarjeta</v>
      </c>
      <c r="AB268" s="54" t="str">
        <f>VLOOKUP(Tabla15[[#This Row],[N° 
Evento]],'Eventos de riesgos'!B:O,14,0)</f>
        <v>Ninguna</v>
      </c>
      <c r="AC268" s="60">
        <f>VLOOKUP(Tabla15[[#This Row],[N° 
Evento]],'Eventos de riesgos'!B:P,15,0)</f>
        <v>45869.613194444442</v>
      </c>
      <c r="AD268" s="54" t="str">
        <f>VLOOKUP(Tabla15[[#This Row],[N° 
Evento]],'Eventos de riesgos'!B:Q,16,0)</f>
        <v>Ahorros voluntarios</v>
      </c>
      <c r="AE268" s="54" t="str">
        <f>VLOOKUP(Tabla15[[#This Row],[N° 
Evento]],'Eventos de riesgos'!B:R,17,0)</f>
        <v>Aplicación móvil (App Febor)</v>
      </c>
      <c r="AF268" s="56" t="str">
        <f>VLOOKUP(Tabla15[[#This Row],[N° 
Evento]],'Eventos de riesgos'!B:V,21,0)</f>
        <v>Aprobado</v>
      </c>
      <c r="AG268" s="59" t="str">
        <f>VLOOKUP(Tabla15[[#This Row],[N° 
Evento]],'Eventos de riesgos'!B:W,22,0)</f>
        <v>04/08/2025 14:45:53: Actualización</v>
      </c>
    </row>
    <row r="269" spans="3:33" ht="195.5" customHeight="1" x14ac:dyDescent="0.55000000000000004">
      <c r="C269" s="54" t="str">
        <f>+Tabla15[[#This Row],[N° 
Evento]]&amp;"-"&amp;Tabla15[[#This Row],[N° Tarea]]</f>
        <v>79-16</v>
      </c>
      <c r="D269" s="54">
        <v>79</v>
      </c>
      <c r="E269" s="54">
        <v>16</v>
      </c>
      <c r="F269" s="55" t="s">
        <v>813</v>
      </c>
      <c r="G269" s="44" t="s">
        <v>1052</v>
      </c>
      <c r="H269" s="59" t="s">
        <v>754</v>
      </c>
      <c r="I269" s="59" t="s">
        <v>91</v>
      </c>
      <c r="J269" s="57">
        <v>45859</v>
      </c>
      <c r="K269" s="57">
        <v>45966</v>
      </c>
      <c r="L269" s="47" t="str">
        <f>IF(Tabla15[[#This Row],[Fecha de Finalización]]&gt;0,"Cerrada","En Proceso")</f>
        <v>Cerrada</v>
      </c>
      <c r="M269" s="58">
        <f t="shared" si="10"/>
        <v>107</v>
      </c>
      <c r="N269" s="59" t="s">
        <v>931</v>
      </c>
      <c r="O269" s="54">
        <f>VLOOKUP(Tabla15[[#This Row],[N° 
Evento]],'Eventos de riesgos'!B:C,2,0)</f>
        <v>2025</v>
      </c>
      <c r="P269" s="54" t="str">
        <f>VLOOKUP(Tabla15[[#This Row],[N° 
Evento]],'Eventos de riesgos'!B:D,3,0)</f>
        <v>Jul</v>
      </c>
      <c r="Q269" s="60">
        <f>VLOOKUP(Tabla15[[#This Row],[N° 
Evento]],'Eventos de riesgos'!B:E,4,0)</f>
        <v>45890.614583333336</v>
      </c>
      <c r="R269" s="60">
        <f>VLOOKUP(Tabla15[[#This Row],[N° 
Evento]],'Eventos de riesgos'!B:F,5,0)</f>
        <v>45892.614583333336</v>
      </c>
      <c r="S269" s="60">
        <f>VLOOKUP(Tabla15[[#This Row],[N° 
Evento]],'Eventos de riesgos'!B:G,6,0)</f>
        <v>45890.614583333336</v>
      </c>
      <c r="T269" s="63" t="str">
        <f>VLOOKUP(Tabla15[[#This Row],[N° 
Evento]],'Eventos de riesgos'!B:H,7,0)</f>
        <v>CasoEl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correspondientes.Sobre las 11:30 am se realizó reunión del equipo directivo para tomar medidas.El equipo realizó el análisis del caso, identificando posibles causas que habrían originado la materialización del riesgo, entre las cuales se incluyen:Identificación detallada de los casos reportadosConsolidar la información de los asociados que presentaron operaciones no reconocidas mediante la modalidad de retiro sin tarjeta en julio, especificando los montos extraídos: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MultiportalSe procedió a inhabilitar temporalmente los usuarios registrados en el Multiportal, al evidenciar que aquellos enrolados previamente en la App anterior migraban automáticamente a la nueva App.Comunicación temporal en la AppMientras se adelantaba la investigación interna, se implementó un mensaje temporal a través del banner informativo de la App, indicando la inhabilidad del acceso al Multiportal. Esta medida tuvo como objetivo controlar la exposición del incidente y evitar generar alarma o confusión entre los asociados, mientras se realizaban las validaciones correspondientes.Identificación de los puntos de retiro utilizadosSe logró establecer que los retiros no autorizados mediante la modalidad sin tarjeta se habrían realizado, de manera presuntamente irregular, en los siguientes cajeros automáticos: 00966 1225_Carrera 92 60-1100100BOGOTACO 00966 3669_Cra 65 No 11-51100100BOGOTACO 00966 2427_Av Americas No1100100BOGOTACO Solicitud de registros fílmicosSe gestionó con Banco Coopcentral la entrega de registros fílmicos de los cajeros identificados. En las imágenes se logró observar al mismo hombre realizando retiros en diferentes puntos, lo cual servirá como elemento probatorio para las acciones correctivas o legales correspondientes.Análisis de registros de enrolamiento en la nueva AppSe identificó que los asociados afectados realizaron su primer enrolamiento en julio de 2025, a través de la nueva App utilizando el mecanismo de autenticación de Visionamos, sin haber registrado accesos previos en la App anterior ni en el Multiportal. Desde las áreas de Servicio al Asociado y Control Interno se realizó contacto telefónico con los asociados, quienes confirmaron que no fueron ellos quienes realizaron las transacciones y que no habían accedido previamente al Multiportal.A partir de este hallazgo, se definió como medida de análisis, la revisión detallada de todos los registros de enrolamiento efectuados desde abril de 2025, fecha de lanzamiento de la nueva App. De esta revisión, se detectaron 25 asociados los cuales continuaron con el bloqueo preventivo y el restante se activó nuevamente.Validación del patrón geográfico del fraudeDurante el análisis de los casos reportados, se identificó que varios de los asociados afectados residen fuera de Bogotá, mientras que los retiros no autorizados fueron efectuados en cajeros ubicados en dicha ciudad.En la tabla siguiente se detallan los casos correspondientes. Uno de los asociados no respondió a los intentos de contacto; sin embargo, considerando que su lugar de residencia es Medellín y que el retiro fue realizado en Bogotá, se decidió mantener el bloqueo preventivo de su cuenta, y su caso fue incluido dentro del total de montos extraídos.Adicionalmente, la Dirección de Riesgos contactó a tres asociados con residencia en Bogotá, cuyos retiros también se realizaron en esta ciudad. Todos confirmaron que las transacciones fueron realizadas por ellos mismos. Adicionalmente, la Dirección de Riesgos contactó a tres asociados con residencia en Bogotá, cuyos retiros también se realizaron en esta ciudad. Todos confirmaron que las transacciones fueron realizadas por ellos mismos. Por otra parte, se identificaron tres asociados con residencia en otras ciudades, cuyos retiros también se realizaron en sus respectivas ciudades de domicilio. Estos últimos no fueron contactados, dado que no se ajustaban al patrón de fraude identificado, el cual se caracterizó por retiros efectuados en Bogotá.Restricción de topes diarios como medida de contenciónPreviamente se había reducido el tope de retiro diario, lo cual favoreció la contención del riesgo, ya que se identificaron intentos de transacción no exitosos debido a que superaban el límite establecido.Reunión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Tiempos de entrega de evidencias: Coopcentral indicó que los registros fílmicos de los cajeros automáticos serán entregados en un plazo aproximado de cinco (5) días hábiles. Asimismo, se comprometieron a remitir el informe operativo y las evidencias correspondientes al caso. Caracterización del tipo de fraude: Señalaron que este es el primer caso identificado con este patrón de fraude, distinto a los que se han presentado anteriormente. Se resaltó que no se observaron actualizaciones recientes de datos, acción que usualmente ha estado asociada a otros tipos de fraudes. Modus operandi detectado: Se evidenció que los defraudadores lograron acceder al correo electrónico de los asociados afectados, lo que les permitió completar el módulo de identidad durante el enrolamiento, incluyendo la carga de ambas caras del documento de identidad y la creación de preguntas de seguridad. Los enrolamientos fraudulentos se registraron entre el 15 y 17 de julio de 2025, desde dispositivos móviles. Debilidades en la validación de identidad: Coopcentral explicó que, si bien el proceso de enrolamiento exige el registro fotográfico del documento de identidad por ambas caras, el sistema solo valida los datos frente a la información previamente suministrada por la entidad, sin realizar contrastes con bases oficiales como la Registraduría ni validar la autenticidad del documento o la identidad del usuario mediante reconocimiento facial. Esto representa una vulnerabilidad significativa, ya que el proceso podría completarse incluso con una copia del documento. Medidas implementadas por Coopcentral: Se deshabilitó temporalmente la opción de aceptar nuevos enrolamientos mediante el desmonte de los términos y condiciones. Asimismo, se inhabilitó el uso de la App para los asociados que ya habían sido registrados de forma preventiva. Solicitud de información: Coopcentral solicitó el listado detallado de los asociados afectados. La Jefe de Operaciones de Febor confirmó que ya se habían realizado bloqueos preventivos en el Multiportal para 25 asociados con registros de enrolamiento desde abril de 2025. Inicialmente, se procedió con el bloqueo temporal de todos los usuarios por aproximadamente cuatro horas, hasta identificar los casos confirmados. Correo electrónico comprometido: Se solicitó a Coopcentral el listado de correos electrónicos a los cuales fueron enviados los códigos OTP utilizados durante el proceso de autenticación. Preocupaciones sobre origen del incidente: El Director de Tecnología de Febor planteó la necesidad de escalar el caso, al considerar posible una brecha de seguridad en los sistemas de Visionamos, especialmente en lo relacionado con el manejo de datos de los asociados. Devolución de recursos a los asociados: La Directora de Riesgos consultó sobre el procedimiento para la devolución de los recursos extraídos de forma fraudulenta. La funcionaria de Coopcentral indicó que, en casos anteriores, no se ha procedido con devoluciones y que las respuestas institucionales suelen atribuir la responsabilidad a la entidad participante, señalando fallas en sus controles. Esta afirmación fue controvertida por la Jefe de Control Interno de Febor, quien recordó que en un caso previo relacionado con la implementación de Transfiya, Visionamos reconoció su responsabilidad y efectuó una compensación económica. Postura institucional: Desde Febor se manifestó que no se considera que la vulneración haya tenido origen en la entidad, y se dejó como compromiso escalar formalmente la solicitud de devolución de los recursos ante Visionamos, a la espera de una respuesta oficial. Revisión de correos El 23 de julio, Coopcentral suministró el listado de correos electrónicos a los cuales fueron enviados los códigos OTP utilizados durante los procesos de autenticación. Al revisar dicha información, se evidenció que estos correos no registraban actualizaciones recientes en la base de datos de Febor.Solicitud de la devolución de recursosSe requiere la elaboración y envío de una solicitud formal dirigida a Visionamos, mediante la cual se gestione la devolución de los recursos sustraídos de manera no autorizada a los asociados afectados. Esta petición debe ser formulada por el área jurídica de Febor, con base en los hallazgos analizados.Devolución de recursos a los asociados afectadosMientras se adelanta el trámite formal de solicitud de devolución ante Visionamos, la entidad deberá gestionar internamente la restitución de los recursos a los asociados afectados, con el fin de no prolongar su afectación financiera ni reputacional. Esta medida estará sujeta a aprobación previa por parte de la Gerencia, y su ejecución será responsabilidad de la Jefe de Operaciones, quien deberá coordinar el proceso de verificación y aplicación de los reintegros correspondientes.Causas· No se realiza verificación biométrica ni contraste con bases oficiales como la Registraduría.· La validación del documento se limita a los datos previamente cargados por la entidad, sin verificar autenticidad o integridad del archivo.· El proceso de autenticación no incluye validación contra fuentes externas ni validación facial.· Los delincuentes posiblemente accedieron a los correos donde se recibían los códigos OTP requeridos para autenticación.ImpactoEconómicos Para asociados: Indisponibilidad inesperada de sus recursos como resultado de retiros no autorizados. Para la entidad: Eventual obligación de asumir compensaciones económicas a los asociados afectados Pérdida de confianza en los canales digitales: Riesgo de baja adopción de la nueva App por temor a vulnerabilidades. Posible afectación al proceso de transformación digital de la entidad. Relacionales con terceros (Coopcentral / Febor): Tensión o diferencias frente a la asignación de responsabilidades y manejo del incidente. Operacionales para la entidad: Incremento de cargas operativas para atención de casos, bloqueos, validaciones y reclamaciones. AccionesAcciones correctivas· Bloqueo temporal preventivo de usuarios del Multiportal· Bloqueo individual de 25 asociados identificados· Publicación temporal en banner informando inhabilidad del Multiportal· Solicitud de registros fílmicos a Coopcentral· Análisis de registros de enrolamiento desde abril de 2025· Contacto telefónico con asociados para validar retiros y enrolamientos recientes· Revisión del patrón geográfico de los retiros (realizados en Bogotá, aunque varios asociados tenían residencia en otras ciudades)· Gestión de incidente con Coopcentral – Evaluación del caso con el proveedor · Revisión de correos electrónicos utilizados en enrolamientos· Informe técnico y formal desde Visionamos (compromiso del 22 de julio de 2025)· Solicitud formal de devolución de recursos a Visionamos (en proceso)· Devolución interna de recursos a los asociados afectados (en proceso)Acciones preventivas· Desactivación de la App para nuevos enrolamientos· Reducción del tope diario previamente· Implementación de reconocimiento facial y validación de 16 puntos de veracidad del documento en la nueva App Febor la cual esta en proceso de certificación por parte del área de tecnología.</v>
      </c>
      <c r="U269" s="61">
        <f>VLOOKUP(Tabla15[[#This Row],[N° 
Evento]],'Eventos de riesgos'!B:I,8,0)</f>
        <v>10040000</v>
      </c>
      <c r="V269" s="61">
        <f>VLOOKUP(Tabla15[[#This Row],[N° 
Evento]],'Eventos de riesgos'!B:J,9,0)</f>
        <v>0</v>
      </c>
      <c r="W269" s="61">
        <f>VLOOKUP(Tabla15[[#This Row],[N° 
Evento]],'Eventos de riesgos'!B:K,10,0)</f>
        <v>0</v>
      </c>
      <c r="X269" s="59" t="str">
        <f>VLOOKUP(Tabla15[[#This Row],[N° 
Evento]],'Eventos de riesgos'!B:L,11,0)</f>
        <v>2 - Fraude Externo</v>
      </c>
      <c r="Y269" s="59" t="str">
        <f>VLOOKUP(Tabla15[[#This Row],[N° 
Evento]],'Eventos de riesgos'!B:M,12,0)</f>
        <v>22 - Hurto y Fraude</v>
      </c>
      <c r="Z269" s="59" t="str">
        <f>VLOOKUP(Tabla15[[#This Row],[N° 
Evento]],'Eventos de riesgos'!B:N,13,0)</f>
        <v>221 - Robo o Hurto</v>
      </c>
      <c r="AA269" s="59" t="str">
        <f>+VLOOKUP(Tabla15[[#This Row],[N° 
Evento]],'Eventos de riesgos'!$B$1:$AA$87,23,0)</f>
        <v>Fraude en retiros sin tarjeta</v>
      </c>
      <c r="AB269" s="54" t="str">
        <f>VLOOKUP(Tabla15[[#This Row],[N° 
Evento]],'Eventos de riesgos'!B:O,14,0)</f>
        <v>Ninguna</v>
      </c>
      <c r="AC269" s="60">
        <f>VLOOKUP(Tabla15[[#This Row],[N° 
Evento]],'Eventos de riesgos'!B:P,15,0)</f>
        <v>45869.613194444442</v>
      </c>
      <c r="AD269" s="54" t="str">
        <f>VLOOKUP(Tabla15[[#This Row],[N° 
Evento]],'Eventos de riesgos'!B:Q,16,0)</f>
        <v>Ahorros voluntarios</v>
      </c>
      <c r="AE269" s="54" t="str">
        <f>VLOOKUP(Tabla15[[#This Row],[N° 
Evento]],'Eventos de riesgos'!B:R,17,0)</f>
        <v>Aplicación móvil (App Febor)</v>
      </c>
      <c r="AF269" s="56" t="str">
        <f>VLOOKUP(Tabla15[[#This Row],[N° 
Evento]],'Eventos de riesgos'!B:V,21,0)</f>
        <v>Aprobado</v>
      </c>
      <c r="AG269" s="59" t="str">
        <f>VLOOKUP(Tabla15[[#This Row],[N° 
Evento]],'Eventos de riesgos'!B:W,22,0)</f>
        <v>04/08/2025 14:45:53: Actualización</v>
      </c>
    </row>
    <row r="270" spans="3:33" ht="59" customHeight="1" x14ac:dyDescent="0.55000000000000004">
      <c r="C270" s="54" t="str">
        <f>+Tabla15[[#This Row],[N° 
Evento]]&amp;"-"&amp;Tabla15[[#This Row],[N° Tarea]]</f>
        <v>80-1</v>
      </c>
      <c r="D270" s="54">
        <v>80</v>
      </c>
      <c r="E270" s="54">
        <v>1</v>
      </c>
      <c r="F270" s="55" t="s">
        <v>819</v>
      </c>
      <c r="G270" s="44" t="s">
        <v>1053</v>
      </c>
      <c r="H270" s="59" t="s">
        <v>215</v>
      </c>
      <c r="I270" s="59" t="s">
        <v>91</v>
      </c>
      <c r="J270" s="57">
        <v>45895</v>
      </c>
      <c r="K270" s="57">
        <v>45895</v>
      </c>
      <c r="L270" s="47" t="str">
        <f>IF(Tabla15[[#This Row],[Fecha de Finalización]]&gt;0,"Cerrada","En Proceso")</f>
        <v>Cerrada</v>
      </c>
      <c r="M270" s="58">
        <f>+K270-J270</f>
        <v>0</v>
      </c>
      <c r="N270" s="59" t="s">
        <v>830</v>
      </c>
      <c r="O270" s="54">
        <f>VLOOKUP(Tabla15[[#This Row],[N° 
Evento]],'Eventos de riesgos'!B:C,2,0)</f>
        <v>2025</v>
      </c>
      <c r="P270" s="54" t="str">
        <f>VLOOKUP(Tabla15[[#This Row],[N° 
Evento]],'Eventos de riesgos'!B:D,3,0)</f>
        <v>Ago</v>
      </c>
      <c r="Q270" s="60">
        <f>VLOOKUP(Tabla15[[#This Row],[N° 
Evento]],'Eventos de riesgos'!B:E,4,0)</f>
        <v>45892.682638888888</v>
      </c>
      <c r="R270" s="60">
        <f>VLOOKUP(Tabla15[[#This Row],[N° 
Evento]],'Eventos de riesgos'!B:F,5,0)</f>
        <v>45928.682638888888</v>
      </c>
      <c r="S270" s="60">
        <f>VLOOKUP(Tabla15[[#This Row],[N° 
Evento]],'Eventos de riesgos'!B:G,6,0)</f>
        <v>45926.682638888888</v>
      </c>
      <c r="T270"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0" s="61">
        <f>VLOOKUP(Tabla15[[#This Row],[N° 
Evento]],'Eventos de riesgos'!B:I,8,0)</f>
        <v>29398716</v>
      </c>
      <c r="V270" s="61">
        <f>VLOOKUP(Tabla15[[#This Row],[N° 
Evento]],'Eventos de riesgos'!B:J,9,0)</f>
        <v>28988008</v>
      </c>
      <c r="W270" s="61">
        <f>VLOOKUP(Tabla15[[#This Row],[N° 
Evento]],'Eventos de riesgos'!B:K,10,0)</f>
        <v>0</v>
      </c>
      <c r="X270" s="59" t="str">
        <f>VLOOKUP(Tabla15[[#This Row],[N° 
Evento]],'Eventos de riesgos'!B:L,11,0)</f>
        <v>6 - Fallas Tecnologicas</v>
      </c>
      <c r="Y270" s="59" t="str">
        <f>VLOOKUP(Tabla15[[#This Row],[N° 
Evento]],'Eventos de riesgos'!B:M,12,0)</f>
        <v>61 - Sistemas</v>
      </c>
      <c r="Z270" s="59" t="str">
        <f>VLOOKUP(Tabla15[[#This Row],[N° 
Evento]],'Eventos de riesgos'!B:N,13,0)</f>
        <v>611 - Pérdida por Problemas en Software</v>
      </c>
      <c r="AA270" s="59" t="str">
        <f>+VLOOKUP(Tabla15[[#This Row],[N° 
Evento]],'Eventos de riesgos'!$B$1:$AA$87,23,0)</f>
        <v>Fallas de conexión transaccional</v>
      </c>
      <c r="AB270" s="54" t="str">
        <f>VLOOKUP(Tabla15[[#This Row],[N° 
Evento]],'Eventos de riesgos'!B:O,14,0)</f>
        <v>Ninguna</v>
      </c>
      <c r="AC270" s="60">
        <f>VLOOKUP(Tabla15[[#This Row],[N° 
Evento]],'Eventos de riesgos'!B:P,15,0)</f>
        <v>45900.71875</v>
      </c>
      <c r="AD270" s="54" t="str">
        <f>VLOOKUP(Tabla15[[#This Row],[N° 
Evento]],'Eventos de riesgos'!B:Q,16,0)</f>
        <v>Ahorros voluntarios</v>
      </c>
      <c r="AE270" s="54" t="str">
        <f>VLOOKUP(Tabla15[[#This Row],[N° 
Evento]],'Eventos de riesgos'!B:R,17,0)</f>
        <v>Ninguno</v>
      </c>
      <c r="AF270" s="56" t="str">
        <f>VLOOKUP(Tabla15[[#This Row],[N° 
Evento]],'Eventos de riesgos'!B:V,21,0)</f>
        <v>Aprobado</v>
      </c>
      <c r="AG270" s="59" t="str">
        <f>VLOOKUP(Tabla15[[#This Row],[N° 
Evento]],'Eventos de riesgos'!B:W,22,0)</f>
        <v>11/09/2025 17:16:49: Creado</v>
      </c>
    </row>
    <row r="271" spans="3:33" ht="59" customHeight="1" x14ac:dyDescent="0.55000000000000004">
      <c r="C271" s="54" t="str">
        <f>+Tabla15[[#This Row],[N° 
Evento]]&amp;"-"&amp;Tabla15[[#This Row],[N° Tarea]]</f>
        <v>80-2</v>
      </c>
      <c r="D271" s="54">
        <v>80</v>
      </c>
      <c r="E271" s="54">
        <v>2</v>
      </c>
      <c r="F271" s="55" t="s">
        <v>820</v>
      </c>
      <c r="G271" s="44" t="s">
        <v>1052</v>
      </c>
      <c r="H271" s="59" t="s">
        <v>215</v>
      </c>
      <c r="I271" s="59" t="s">
        <v>91</v>
      </c>
      <c r="J271" s="57">
        <v>45895</v>
      </c>
      <c r="K271" s="57">
        <v>45895</v>
      </c>
      <c r="L271" s="47" t="str">
        <f>IF(Tabla15[[#This Row],[Fecha de Finalización]]&gt;0,"Cerrada","En Proceso")</f>
        <v>Cerrada</v>
      </c>
      <c r="M271" s="58">
        <f t="shared" ref="M271:M277" si="11">+K271-J271</f>
        <v>0</v>
      </c>
      <c r="N271" s="59"/>
      <c r="O271" s="54">
        <f>VLOOKUP(Tabla15[[#This Row],[N° 
Evento]],'Eventos de riesgos'!B:C,2,0)</f>
        <v>2025</v>
      </c>
      <c r="P271" s="54" t="str">
        <f>VLOOKUP(Tabla15[[#This Row],[N° 
Evento]],'Eventos de riesgos'!B:D,3,0)</f>
        <v>Ago</v>
      </c>
      <c r="Q271" s="60">
        <f>VLOOKUP(Tabla15[[#This Row],[N° 
Evento]],'Eventos de riesgos'!B:E,4,0)</f>
        <v>45892.682638888888</v>
      </c>
      <c r="R271" s="60">
        <f>VLOOKUP(Tabla15[[#This Row],[N° 
Evento]],'Eventos de riesgos'!B:F,5,0)</f>
        <v>45928.682638888888</v>
      </c>
      <c r="S271" s="60">
        <f>VLOOKUP(Tabla15[[#This Row],[N° 
Evento]],'Eventos de riesgos'!B:G,6,0)</f>
        <v>45926.682638888888</v>
      </c>
      <c r="T271"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1" s="61">
        <f>VLOOKUP(Tabla15[[#This Row],[N° 
Evento]],'Eventos de riesgos'!B:I,8,0)</f>
        <v>29398716</v>
      </c>
      <c r="V271" s="61">
        <f>VLOOKUP(Tabla15[[#This Row],[N° 
Evento]],'Eventos de riesgos'!B:J,9,0)</f>
        <v>28988008</v>
      </c>
      <c r="W271" s="61">
        <f>VLOOKUP(Tabla15[[#This Row],[N° 
Evento]],'Eventos de riesgos'!B:K,10,0)</f>
        <v>0</v>
      </c>
      <c r="X271" s="59" t="str">
        <f>VLOOKUP(Tabla15[[#This Row],[N° 
Evento]],'Eventos de riesgos'!B:L,11,0)</f>
        <v>6 - Fallas Tecnologicas</v>
      </c>
      <c r="Y271" s="59" t="str">
        <f>VLOOKUP(Tabla15[[#This Row],[N° 
Evento]],'Eventos de riesgos'!B:M,12,0)</f>
        <v>61 - Sistemas</v>
      </c>
      <c r="Z271" s="59" t="str">
        <f>VLOOKUP(Tabla15[[#This Row],[N° 
Evento]],'Eventos de riesgos'!B:N,13,0)</f>
        <v>611 - Pérdida por Problemas en Software</v>
      </c>
      <c r="AA271" s="59" t="str">
        <f>+VLOOKUP(Tabla15[[#This Row],[N° 
Evento]],'Eventos de riesgos'!$B$1:$AA$87,23,0)</f>
        <v>Fallas de conexión transaccional</v>
      </c>
      <c r="AB271" s="54" t="str">
        <f>VLOOKUP(Tabla15[[#This Row],[N° 
Evento]],'Eventos de riesgos'!B:O,14,0)</f>
        <v>Ninguna</v>
      </c>
      <c r="AC271" s="60">
        <f>VLOOKUP(Tabla15[[#This Row],[N° 
Evento]],'Eventos de riesgos'!B:P,15,0)</f>
        <v>45900.71875</v>
      </c>
      <c r="AD271" s="54" t="str">
        <f>VLOOKUP(Tabla15[[#This Row],[N° 
Evento]],'Eventos de riesgos'!B:Q,16,0)</f>
        <v>Ahorros voluntarios</v>
      </c>
      <c r="AE271" s="54" t="str">
        <f>VLOOKUP(Tabla15[[#This Row],[N° 
Evento]],'Eventos de riesgos'!B:R,17,0)</f>
        <v>Ninguno</v>
      </c>
      <c r="AF271" s="56" t="str">
        <f>VLOOKUP(Tabla15[[#This Row],[N° 
Evento]],'Eventos de riesgos'!B:V,21,0)</f>
        <v>Aprobado</v>
      </c>
      <c r="AG271" s="59" t="str">
        <f>VLOOKUP(Tabla15[[#This Row],[N° 
Evento]],'Eventos de riesgos'!B:W,22,0)</f>
        <v>11/09/2025 17:16:49: Creado</v>
      </c>
    </row>
    <row r="272" spans="3:33" ht="59" customHeight="1" x14ac:dyDescent="0.55000000000000004">
      <c r="C272" s="54" t="str">
        <f>+Tabla15[[#This Row],[N° 
Evento]]&amp;"-"&amp;Tabla15[[#This Row],[N° Tarea]]</f>
        <v>80-3</v>
      </c>
      <c r="D272" s="54">
        <v>80</v>
      </c>
      <c r="E272" s="54">
        <v>3</v>
      </c>
      <c r="F272" s="55" t="s">
        <v>821</v>
      </c>
      <c r="G272" s="44" t="s">
        <v>1052</v>
      </c>
      <c r="H272" s="59" t="s">
        <v>215</v>
      </c>
      <c r="I272" s="59" t="s">
        <v>91</v>
      </c>
      <c r="J272" s="57">
        <v>45895</v>
      </c>
      <c r="K272" s="57">
        <v>45896</v>
      </c>
      <c r="L272" s="47" t="str">
        <f>IF(Tabla15[[#This Row],[Fecha de Finalización]]&gt;0,"Cerrada","En Proceso")</f>
        <v>Cerrada</v>
      </c>
      <c r="M272" s="58">
        <f t="shared" si="11"/>
        <v>1</v>
      </c>
      <c r="N272" s="59"/>
      <c r="O272" s="54">
        <f>VLOOKUP(Tabla15[[#This Row],[N° 
Evento]],'Eventos de riesgos'!B:C,2,0)</f>
        <v>2025</v>
      </c>
      <c r="P272" s="54" t="str">
        <f>VLOOKUP(Tabla15[[#This Row],[N° 
Evento]],'Eventos de riesgos'!B:D,3,0)</f>
        <v>Ago</v>
      </c>
      <c r="Q272" s="60">
        <f>VLOOKUP(Tabla15[[#This Row],[N° 
Evento]],'Eventos de riesgos'!B:E,4,0)</f>
        <v>45892.682638888888</v>
      </c>
      <c r="R272" s="60">
        <f>VLOOKUP(Tabla15[[#This Row],[N° 
Evento]],'Eventos de riesgos'!B:F,5,0)</f>
        <v>45928.682638888888</v>
      </c>
      <c r="S272" s="60">
        <f>VLOOKUP(Tabla15[[#This Row],[N° 
Evento]],'Eventos de riesgos'!B:G,6,0)</f>
        <v>45926.682638888888</v>
      </c>
      <c r="T272"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2" s="61">
        <f>VLOOKUP(Tabla15[[#This Row],[N° 
Evento]],'Eventos de riesgos'!B:I,8,0)</f>
        <v>29398716</v>
      </c>
      <c r="V272" s="61">
        <f>VLOOKUP(Tabla15[[#This Row],[N° 
Evento]],'Eventos de riesgos'!B:J,9,0)</f>
        <v>28988008</v>
      </c>
      <c r="W272" s="61">
        <f>VLOOKUP(Tabla15[[#This Row],[N° 
Evento]],'Eventos de riesgos'!B:K,10,0)</f>
        <v>0</v>
      </c>
      <c r="X272" s="59" t="str">
        <f>VLOOKUP(Tabla15[[#This Row],[N° 
Evento]],'Eventos de riesgos'!B:L,11,0)</f>
        <v>6 - Fallas Tecnologicas</v>
      </c>
      <c r="Y272" s="59" t="str">
        <f>VLOOKUP(Tabla15[[#This Row],[N° 
Evento]],'Eventos de riesgos'!B:M,12,0)</f>
        <v>61 - Sistemas</v>
      </c>
      <c r="Z272" s="59" t="str">
        <f>VLOOKUP(Tabla15[[#This Row],[N° 
Evento]],'Eventos de riesgos'!B:N,13,0)</f>
        <v>611 - Pérdida por Problemas en Software</v>
      </c>
      <c r="AA272" s="59" t="str">
        <f>+VLOOKUP(Tabla15[[#This Row],[N° 
Evento]],'Eventos de riesgos'!$B$1:$AA$87,23,0)</f>
        <v>Fallas de conexión transaccional</v>
      </c>
      <c r="AB272" s="54" t="str">
        <f>VLOOKUP(Tabla15[[#This Row],[N° 
Evento]],'Eventos de riesgos'!B:O,14,0)</f>
        <v>Ninguna</v>
      </c>
      <c r="AC272" s="60">
        <f>VLOOKUP(Tabla15[[#This Row],[N° 
Evento]],'Eventos de riesgos'!B:P,15,0)</f>
        <v>45900.71875</v>
      </c>
      <c r="AD272" s="54" t="str">
        <f>VLOOKUP(Tabla15[[#This Row],[N° 
Evento]],'Eventos de riesgos'!B:Q,16,0)</f>
        <v>Ahorros voluntarios</v>
      </c>
      <c r="AE272" s="54" t="str">
        <f>VLOOKUP(Tabla15[[#This Row],[N° 
Evento]],'Eventos de riesgos'!B:R,17,0)</f>
        <v>Ninguno</v>
      </c>
      <c r="AF272" s="56" t="str">
        <f>VLOOKUP(Tabla15[[#This Row],[N° 
Evento]],'Eventos de riesgos'!B:V,21,0)</f>
        <v>Aprobado</v>
      </c>
      <c r="AG272" s="59" t="str">
        <f>VLOOKUP(Tabla15[[#This Row],[N° 
Evento]],'Eventos de riesgos'!B:W,22,0)</f>
        <v>11/09/2025 17:16:49: Creado</v>
      </c>
    </row>
    <row r="273" spans="3:33" ht="59" customHeight="1" x14ac:dyDescent="0.55000000000000004">
      <c r="C273" s="54" t="str">
        <f>+Tabla15[[#This Row],[N° 
Evento]]&amp;"-"&amp;Tabla15[[#This Row],[N° Tarea]]</f>
        <v>80-4</v>
      </c>
      <c r="D273" s="54">
        <v>80</v>
      </c>
      <c r="E273" s="54">
        <v>4</v>
      </c>
      <c r="F273" s="55" t="s">
        <v>822</v>
      </c>
      <c r="G273" s="44" t="s">
        <v>1052</v>
      </c>
      <c r="H273" s="59" t="s">
        <v>215</v>
      </c>
      <c r="I273" s="59" t="s">
        <v>91</v>
      </c>
      <c r="J273" s="57">
        <v>45895</v>
      </c>
      <c r="K273" s="57">
        <v>45895</v>
      </c>
      <c r="L273" s="47" t="str">
        <f>IF(Tabla15[[#This Row],[Fecha de Finalización]]&gt;0,"Cerrada","En Proceso")</f>
        <v>Cerrada</v>
      </c>
      <c r="M273" s="58">
        <f t="shared" si="11"/>
        <v>0</v>
      </c>
      <c r="N273" s="59"/>
      <c r="O273" s="54">
        <f>VLOOKUP(Tabla15[[#This Row],[N° 
Evento]],'Eventos de riesgos'!B:C,2,0)</f>
        <v>2025</v>
      </c>
      <c r="P273" s="54" t="str">
        <f>VLOOKUP(Tabla15[[#This Row],[N° 
Evento]],'Eventos de riesgos'!B:D,3,0)</f>
        <v>Ago</v>
      </c>
      <c r="Q273" s="60">
        <f>VLOOKUP(Tabla15[[#This Row],[N° 
Evento]],'Eventos de riesgos'!B:E,4,0)</f>
        <v>45892.682638888888</v>
      </c>
      <c r="R273" s="60">
        <f>VLOOKUP(Tabla15[[#This Row],[N° 
Evento]],'Eventos de riesgos'!B:F,5,0)</f>
        <v>45928.682638888888</v>
      </c>
      <c r="S273" s="60">
        <f>VLOOKUP(Tabla15[[#This Row],[N° 
Evento]],'Eventos de riesgos'!B:G,6,0)</f>
        <v>45926.682638888888</v>
      </c>
      <c r="T273"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3" s="61">
        <f>VLOOKUP(Tabla15[[#This Row],[N° 
Evento]],'Eventos de riesgos'!B:I,8,0)</f>
        <v>29398716</v>
      </c>
      <c r="V273" s="61">
        <f>VLOOKUP(Tabla15[[#This Row],[N° 
Evento]],'Eventos de riesgos'!B:J,9,0)</f>
        <v>28988008</v>
      </c>
      <c r="W273" s="61">
        <f>VLOOKUP(Tabla15[[#This Row],[N° 
Evento]],'Eventos de riesgos'!B:K,10,0)</f>
        <v>0</v>
      </c>
      <c r="X273" s="59" t="str">
        <f>VLOOKUP(Tabla15[[#This Row],[N° 
Evento]],'Eventos de riesgos'!B:L,11,0)</f>
        <v>6 - Fallas Tecnologicas</v>
      </c>
      <c r="Y273" s="59" t="str">
        <f>VLOOKUP(Tabla15[[#This Row],[N° 
Evento]],'Eventos de riesgos'!B:M,12,0)</f>
        <v>61 - Sistemas</v>
      </c>
      <c r="Z273" s="59" t="str">
        <f>VLOOKUP(Tabla15[[#This Row],[N° 
Evento]],'Eventos de riesgos'!B:N,13,0)</f>
        <v>611 - Pérdida por Problemas en Software</v>
      </c>
      <c r="AA273" s="59" t="str">
        <f>+VLOOKUP(Tabla15[[#This Row],[N° 
Evento]],'Eventos de riesgos'!$B$1:$AA$87,23,0)</f>
        <v>Fallas de conexión transaccional</v>
      </c>
      <c r="AB273" s="54" t="str">
        <f>VLOOKUP(Tabla15[[#This Row],[N° 
Evento]],'Eventos de riesgos'!B:O,14,0)</f>
        <v>Ninguna</v>
      </c>
      <c r="AC273" s="60">
        <f>VLOOKUP(Tabla15[[#This Row],[N° 
Evento]],'Eventos de riesgos'!B:P,15,0)</f>
        <v>45900.71875</v>
      </c>
      <c r="AD273" s="54" t="str">
        <f>VLOOKUP(Tabla15[[#This Row],[N° 
Evento]],'Eventos de riesgos'!B:Q,16,0)</f>
        <v>Ahorros voluntarios</v>
      </c>
      <c r="AE273" s="54" t="str">
        <f>VLOOKUP(Tabla15[[#This Row],[N° 
Evento]],'Eventos de riesgos'!B:R,17,0)</f>
        <v>Ninguno</v>
      </c>
      <c r="AF273" s="56" t="str">
        <f>VLOOKUP(Tabla15[[#This Row],[N° 
Evento]],'Eventos de riesgos'!B:V,21,0)</f>
        <v>Aprobado</v>
      </c>
      <c r="AG273" s="59" t="str">
        <f>VLOOKUP(Tabla15[[#This Row],[N° 
Evento]],'Eventos de riesgos'!B:W,22,0)</f>
        <v>11/09/2025 17:16:49: Creado</v>
      </c>
    </row>
    <row r="274" spans="3:33" ht="55.5" customHeight="1" x14ac:dyDescent="0.55000000000000004">
      <c r="C274" s="54" t="str">
        <f>+Tabla15[[#This Row],[N° 
Evento]]&amp;"-"&amp;Tabla15[[#This Row],[N° Tarea]]</f>
        <v>80-5</v>
      </c>
      <c r="D274" s="54">
        <v>80</v>
      </c>
      <c r="E274" s="54">
        <v>5</v>
      </c>
      <c r="F274" s="55" t="s">
        <v>823</v>
      </c>
      <c r="G274" s="44" t="s">
        <v>1052</v>
      </c>
      <c r="H274" s="59" t="s">
        <v>827</v>
      </c>
      <c r="I274" s="59"/>
      <c r="J274" s="57">
        <v>45895</v>
      </c>
      <c r="K274" s="57">
        <v>45896</v>
      </c>
      <c r="L274" s="47" t="str">
        <f>IF(Tabla15[[#This Row],[Fecha de Finalización]]&gt;0,"Cerrada","En Proceso")</f>
        <v>Cerrada</v>
      </c>
      <c r="M274" s="58">
        <f t="shared" si="11"/>
        <v>1</v>
      </c>
      <c r="N274" s="59"/>
      <c r="O274" s="54">
        <f>VLOOKUP(Tabla15[[#This Row],[N° 
Evento]],'Eventos de riesgos'!B:C,2,0)</f>
        <v>2025</v>
      </c>
      <c r="P274" s="54" t="str">
        <f>VLOOKUP(Tabla15[[#This Row],[N° 
Evento]],'Eventos de riesgos'!B:D,3,0)</f>
        <v>Ago</v>
      </c>
      <c r="Q274" s="60">
        <f>VLOOKUP(Tabla15[[#This Row],[N° 
Evento]],'Eventos de riesgos'!B:E,4,0)</f>
        <v>45892.682638888888</v>
      </c>
      <c r="R274" s="60">
        <f>VLOOKUP(Tabla15[[#This Row],[N° 
Evento]],'Eventos de riesgos'!B:F,5,0)</f>
        <v>45928.682638888888</v>
      </c>
      <c r="S274" s="60">
        <f>VLOOKUP(Tabla15[[#This Row],[N° 
Evento]],'Eventos de riesgos'!B:G,6,0)</f>
        <v>45926.682638888888</v>
      </c>
      <c r="T274"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4" s="61">
        <f>VLOOKUP(Tabla15[[#This Row],[N° 
Evento]],'Eventos de riesgos'!B:I,8,0)</f>
        <v>29398716</v>
      </c>
      <c r="V274" s="61">
        <f>VLOOKUP(Tabla15[[#This Row],[N° 
Evento]],'Eventos de riesgos'!B:J,9,0)</f>
        <v>28988008</v>
      </c>
      <c r="W274" s="61">
        <f>VLOOKUP(Tabla15[[#This Row],[N° 
Evento]],'Eventos de riesgos'!B:K,10,0)</f>
        <v>0</v>
      </c>
      <c r="X274" s="59" t="str">
        <f>VLOOKUP(Tabla15[[#This Row],[N° 
Evento]],'Eventos de riesgos'!B:L,11,0)</f>
        <v>6 - Fallas Tecnologicas</v>
      </c>
      <c r="Y274" s="59" t="str">
        <f>VLOOKUP(Tabla15[[#This Row],[N° 
Evento]],'Eventos de riesgos'!B:M,12,0)</f>
        <v>61 - Sistemas</v>
      </c>
      <c r="Z274" s="59" t="str">
        <f>VLOOKUP(Tabla15[[#This Row],[N° 
Evento]],'Eventos de riesgos'!B:N,13,0)</f>
        <v>611 - Pérdida por Problemas en Software</v>
      </c>
      <c r="AA274" s="59" t="str">
        <f>+VLOOKUP(Tabla15[[#This Row],[N° 
Evento]],'Eventos de riesgos'!$B$1:$AA$87,23,0)</f>
        <v>Fallas de conexión transaccional</v>
      </c>
      <c r="AB274" s="54" t="str">
        <f>VLOOKUP(Tabla15[[#This Row],[N° 
Evento]],'Eventos de riesgos'!B:O,14,0)</f>
        <v>Ninguna</v>
      </c>
      <c r="AC274" s="60">
        <f>VLOOKUP(Tabla15[[#This Row],[N° 
Evento]],'Eventos de riesgos'!B:P,15,0)</f>
        <v>45900.71875</v>
      </c>
      <c r="AD274" s="54" t="str">
        <f>VLOOKUP(Tabla15[[#This Row],[N° 
Evento]],'Eventos de riesgos'!B:Q,16,0)</f>
        <v>Ahorros voluntarios</v>
      </c>
      <c r="AE274" s="54" t="str">
        <f>VLOOKUP(Tabla15[[#This Row],[N° 
Evento]],'Eventos de riesgos'!B:R,17,0)</f>
        <v>Ninguno</v>
      </c>
      <c r="AF274" s="56" t="str">
        <f>VLOOKUP(Tabla15[[#This Row],[N° 
Evento]],'Eventos de riesgos'!B:V,21,0)</f>
        <v>Aprobado</v>
      </c>
      <c r="AG274" s="59" t="str">
        <f>VLOOKUP(Tabla15[[#This Row],[N° 
Evento]],'Eventos de riesgos'!B:W,22,0)</f>
        <v>11/09/2025 17:16:49: Creado</v>
      </c>
    </row>
    <row r="275" spans="3:33" ht="30.5" customHeight="1" x14ac:dyDescent="0.55000000000000004">
      <c r="C275" s="54" t="str">
        <f>+Tabla15[[#This Row],[N° 
Evento]]&amp;"-"&amp;Tabla15[[#This Row],[N° Tarea]]</f>
        <v>80-6</v>
      </c>
      <c r="D275" s="54">
        <v>80</v>
      </c>
      <c r="E275" s="54">
        <v>6</v>
      </c>
      <c r="F275" s="55" t="s">
        <v>824</v>
      </c>
      <c r="G275" s="44" t="s">
        <v>1052</v>
      </c>
      <c r="H275" s="59" t="s">
        <v>215</v>
      </c>
      <c r="I275" s="59" t="s">
        <v>91</v>
      </c>
      <c r="J275" s="57">
        <v>45895</v>
      </c>
      <c r="K275" s="57">
        <v>45895</v>
      </c>
      <c r="L275" s="47" t="str">
        <f>IF(Tabla15[[#This Row],[Fecha de Finalización]]&gt;0,"Cerrada","En Proceso")</f>
        <v>Cerrada</v>
      </c>
      <c r="M275" s="58">
        <f t="shared" si="11"/>
        <v>0</v>
      </c>
      <c r="N275" s="59"/>
      <c r="O275" s="54">
        <f>VLOOKUP(Tabla15[[#This Row],[N° 
Evento]],'Eventos de riesgos'!B:C,2,0)</f>
        <v>2025</v>
      </c>
      <c r="P275" s="54" t="str">
        <f>VLOOKUP(Tabla15[[#This Row],[N° 
Evento]],'Eventos de riesgos'!B:D,3,0)</f>
        <v>Ago</v>
      </c>
      <c r="Q275" s="60">
        <f>VLOOKUP(Tabla15[[#This Row],[N° 
Evento]],'Eventos de riesgos'!B:E,4,0)</f>
        <v>45892.682638888888</v>
      </c>
      <c r="R275" s="60">
        <f>VLOOKUP(Tabla15[[#This Row],[N° 
Evento]],'Eventos de riesgos'!B:F,5,0)</f>
        <v>45928.682638888888</v>
      </c>
      <c r="S275" s="60">
        <f>VLOOKUP(Tabla15[[#This Row],[N° 
Evento]],'Eventos de riesgos'!B:G,6,0)</f>
        <v>45926.682638888888</v>
      </c>
      <c r="T275"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5" s="61">
        <f>VLOOKUP(Tabla15[[#This Row],[N° 
Evento]],'Eventos de riesgos'!B:I,8,0)</f>
        <v>29398716</v>
      </c>
      <c r="V275" s="61">
        <f>VLOOKUP(Tabla15[[#This Row],[N° 
Evento]],'Eventos de riesgos'!B:J,9,0)</f>
        <v>28988008</v>
      </c>
      <c r="W275" s="61">
        <f>VLOOKUP(Tabla15[[#This Row],[N° 
Evento]],'Eventos de riesgos'!B:K,10,0)</f>
        <v>0</v>
      </c>
      <c r="X275" s="59" t="str">
        <f>VLOOKUP(Tabla15[[#This Row],[N° 
Evento]],'Eventos de riesgos'!B:L,11,0)</f>
        <v>6 - Fallas Tecnologicas</v>
      </c>
      <c r="Y275" s="59" t="str">
        <f>VLOOKUP(Tabla15[[#This Row],[N° 
Evento]],'Eventos de riesgos'!B:M,12,0)</f>
        <v>61 - Sistemas</v>
      </c>
      <c r="Z275" s="59" t="str">
        <f>VLOOKUP(Tabla15[[#This Row],[N° 
Evento]],'Eventos de riesgos'!B:N,13,0)</f>
        <v>611 - Pérdida por Problemas en Software</v>
      </c>
      <c r="AA275" s="59" t="str">
        <f>+VLOOKUP(Tabla15[[#This Row],[N° 
Evento]],'Eventos de riesgos'!$B$1:$AA$87,23,0)</f>
        <v>Fallas de conexión transaccional</v>
      </c>
      <c r="AB275" s="54" t="str">
        <f>VLOOKUP(Tabla15[[#This Row],[N° 
Evento]],'Eventos de riesgos'!B:O,14,0)</f>
        <v>Ninguna</v>
      </c>
      <c r="AC275" s="60">
        <f>VLOOKUP(Tabla15[[#This Row],[N° 
Evento]],'Eventos de riesgos'!B:P,15,0)</f>
        <v>45900.71875</v>
      </c>
      <c r="AD275" s="54" t="str">
        <f>VLOOKUP(Tabla15[[#This Row],[N° 
Evento]],'Eventos de riesgos'!B:Q,16,0)</f>
        <v>Ahorros voluntarios</v>
      </c>
      <c r="AE275" s="54" t="str">
        <f>VLOOKUP(Tabla15[[#This Row],[N° 
Evento]],'Eventos de riesgos'!B:R,17,0)</f>
        <v>Ninguno</v>
      </c>
      <c r="AF275" s="56" t="str">
        <f>VLOOKUP(Tabla15[[#This Row],[N° 
Evento]],'Eventos de riesgos'!B:V,21,0)</f>
        <v>Aprobado</v>
      </c>
      <c r="AG275" s="59" t="str">
        <f>VLOOKUP(Tabla15[[#This Row],[N° 
Evento]],'Eventos de riesgos'!B:W,22,0)</f>
        <v>11/09/2025 17:16:49: Creado</v>
      </c>
    </row>
    <row r="276" spans="3:33" ht="44.5" customHeight="1" x14ac:dyDescent="0.55000000000000004">
      <c r="C276" s="54" t="str">
        <f>+Tabla15[[#This Row],[N° 
Evento]]&amp;"-"&amp;Tabla15[[#This Row],[N° Tarea]]</f>
        <v>80-7</v>
      </c>
      <c r="D276" s="54">
        <v>80</v>
      </c>
      <c r="E276" s="54">
        <v>7</v>
      </c>
      <c r="F276" s="55" t="s">
        <v>825</v>
      </c>
      <c r="G276" s="44" t="s">
        <v>1052</v>
      </c>
      <c r="H276" s="59" t="s">
        <v>828</v>
      </c>
      <c r="I276" s="59"/>
      <c r="J276" s="57">
        <v>45895</v>
      </c>
      <c r="K276" s="57">
        <v>45902</v>
      </c>
      <c r="L276" s="47" t="str">
        <f>IF(Tabla15[[#This Row],[Fecha de Finalización]]&gt;0,"Cerrada","En Proceso")</f>
        <v>Cerrada</v>
      </c>
      <c r="M276" s="58">
        <f t="shared" si="11"/>
        <v>7</v>
      </c>
      <c r="N276" s="59"/>
      <c r="O276" s="54">
        <f>VLOOKUP(Tabla15[[#This Row],[N° 
Evento]],'Eventos de riesgos'!B:C,2,0)</f>
        <v>2025</v>
      </c>
      <c r="P276" s="54" t="str">
        <f>VLOOKUP(Tabla15[[#This Row],[N° 
Evento]],'Eventos de riesgos'!B:D,3,0)</f>
        <v>Ago</v>
      </c>
      <c r="Q276" s="60">
        <f>VLOOKUP(Tabla15[[#This Row],[N° 
Evento]],'Eventos de riesgos'!B:E,4,0)</f>
        <v>45892.682638888888</v>
      </c>
      <c r="R276" s="60">
        <f>VLOOKUP(Tabla15[[#This Row],[N° 
Evento]],'Eventos de riesgos'!B:F,5,0)</f>
        <v>45928.682638888888</v>
      </c>
      <c r="S276" s="60">
        <f>VLOOKUP(Tabla15[[#This Row],[N° 
Evento]],'Eventos de riesgos'!B:G,6,0)</f>
        <v>45926.682638888888</v>
      </c>
      <c r="T276"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6" s="61">
        <f>VLOOKUP(Tabla15[[#This Row],[N° 
Evento]],'Eventos de riesgos'!B:I,8,0)</f>
        <v>29398716</v>
      </c>
      <c r="V276" s="61">
        <f>VLOOKUP(Tabla15[[#This Row],[N° 
Evento]],'Eventos de riesgos'!B:J,9,0)</f>
        <v>28988008</v>
      </c>
      <c r="W276" s="61">
        <f>VLOOKUP(Tabla15[[#This Row],[N° 
Evento]],'Eventos de riesgos'!B:K,10,0)</f>
        <v>0</v>
      </c>
      <c r="X276" s="59" t="str">
        <f>VLOOKUP(Tabla15[[#This Row],[N° 
Evento]],'Eventos de riesgos'!B:L,11,0)</f>
        <v>6 - Fallas Tecnologicas</v>
      </c>
      <c r="Y276" s="59" t="str">
        <f>VLOOKUP(Tabla15[[#This Row],[N° 
Evento]],'Eventos de riesgos'!B:M,12,0)</f>
        <v>61 - Sistemas</v>
      </c>
      <c r="Z276" s="59" t="str">
        <f>VLOOKUP(Tabla15[[#This Row],[N° 
Evento]],'Eventos de riesgos'!B:N,13,0)</f>
        <v>611 - Pérdida por Problemas en Software</v>
      </c>
      <c r="AA276" s="59" t="str">
        <f>+VLOOKUP(Tabla15[[#This Row],[N° 
Evento]],'Eventos de riesgos'!$B$1:$AA$87,23,0)</f>
        <v>Fallas de conexión transaccional</v>
      </c>
      <c r="AB276" s="54" t="str">
        <f>VLOOKUP(Tabla15[[#This Row],[N° 
Evento]],'Eventos de riesgos'!B:O,14,0)</f>
        <v>Ninguna</v>
      </c>
      <c r="AC276" s="60">
        <f>VLOOKUP(Tabla15[[#This Row],[N° 
Evento]],'Eventos de riesgos'!B:P,15,0)</f>
        <v>45900.71875</v>
      </c>
      <c r="AD276" s="54" t="str">
        <f>VLOOKUP(Tabla15[[#This Row],[N° 
Evento]],'Eventos de riesgos'!B:Q,16,0)</f>
        <v>Ahorros voluntarios</v>
      </c>
      <c r="AE276" s="54" t="str">
        <f>VLOOKUP(Tabla15[[#This Row],[N° 
Evento]],'Eventos de riesgos'!B:R,17,0)</f>
        <v>Ninguno</v>
      </c>
      <c r="AF276" s="56" t="str">
        <f>VLOOKUP(Tabla15[[#This Row],[N° 
Evento]],'Eventos de riesgos'!B:V,21,0)</f>
        <v>Aprobado</v>
      </c>
      <c r="AG276" s="59" t="str">
        <f>VLOOKUP(Tabla15[[#This Row],[N° 
Evento]],'Eventos de riesgos'!B:W,22,0)</f>
        <v>11/09/2025 17:16:49: Creado</v>
      </c>
    </row>
    <row r="277" spans="3:33" ht="59" customHeight="1" thickBot="1" x14ac:dyDescent="0.6">
      <c r="C277" s="54" t="str">
        <f>+Tabla15[[#This Row],[N° 
Evento]]&amp;"-"&amp;Tabla15[[#This Row],[N° Tarea]]</f>
        <v>80-8</v>
      </c>
      <c r="D277" s="54">
        <v>80</v>
      </c>
      <c r="E277" s="54">
        <v>8</v>
      </c>
      <c r="F277" s="55" t="s">
        <v>826</v>
      </c>
      <c r="G277" s="44" t="s">
        <v>1052</v>
      </c>
      <c r="H277" s="59" t="s">
        <v>829</v>
      </c>
      <c r="I277" s="59" t="s">
        <v>650</v>
      </c>
      <c r="J277" s="57">
        <v>45895</v>
      </c>
      <c r="K277" s="57">
        <v>45930</v>
      </c>
      <c r="L277" s="47" t="s">
        <v>217</v>
      </c>
      <c r="M277" s="58">
        <f t="shared" si="11"/>
        <v>35</v>
      </c>
      <c r="N277" s="59" t="s">
        <v>833</v>
      </c>
      <c r="O277" s="54">
        <f>VLOOKUP(Tabla15[[#This Row],[N° 
Evento]],'Eventos de riesgos'!B:C,2,0)</f>
        <v>2025</v>
      </c>
      <c r="P277" s="54" t="str">
        <f>VLOOKUP(Tabla15[[#This Row],[N° 
Evento]],'Eventos de riesgos'!B:D,3,0)</f>
        <v>Ago</v>
      </c>
      <c r="Q277" s="60">
        <f>VLOOKUP(Tabla15[[#This Row],[N° 
Evento]],'Eventos de riesgos'!B:E,4,0)</f>
        <v>45892.682638888888</v>
      </c>
      <c r="R277" s="60">
        <f>VLOOKUP(Tabla15[[#This Row],[N° 
Evento]],'Eventos de riesgos'!B:F,5,0)</f>
        <v>45928.682638888888</v>
      </c>
      <c r="S277" s="60">
        <f>VLOOKUP(Tabla15[[#This Row],[N° 
Evento]],'Eventos de riesgos'!B:G,6,0)</f>
        <v>45926.682638888888</v>
      </c>
      <c r="T277" s="63" t="str">
        <f>VLOOKUP(Tabla15[[#This Row],[N° 
Evento]],'Eventos de riesgos'!B:H,7,0)</f>
        <v>CasoEl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transacciones.CausasFallas en sistemas. En la conexión de consumo de servicios en línea entre Visionamos y el Core WOG.ImpactoOperativo: Generación de reprocesos internos y necesidad de adelantar gestiones adicionales de cobro para normalizar los saldos afectados.Financiero: Riesgo de pérdida definitiva de valores que no logren ser debitados o recuperados efectivamente.    Reputacional: puede presentarse desconfianza de los asociados en los procesos transaccionales de la cooperativa.AccionesPreventivasConciliación transaccionalCorrectivas Recaudo inmediato por débito automático Mensaje a asociados afectados sobre débito retrasado  Reporte de inconsistencias a Empacto  Respuesta formal de Empacto  Reporte de incidencia #74258 a WOG  Respuesta formal de WOG con acciones tomadas         Continuar recaudo de recursos pendientes</v>
      </c>
      <c r="U277" s="61">
        <f>VLOOKUP(Tabla15[[#This Row],[N° 
Evento]],'Eventos de riesgos'!B:I,8,0)</f>
        <v>29398716</v>
      </c>
      <c r="V277" s="61">
        <f>VLOOKUP(Tabla15[[#This Row],[N° 
Evento]],'Eventos de riesgos'!B:J,9,0)</f>
        <v>28988008</v>
      </c>
      <c r="W277" s="61">
        <f>VLOOKUP(Tabla15[[#This Row],[N° 
Evento]],'Eventos de riesgos'!B:K,10,0)</f>
        <v>0</v>
      </c>
      <c r="X277" s="59" t="str">
        <f>VLOOKUP(Tabla15[[#This Row],[N° 
Evento]],'Eventos de riesgos'!B:L,11,0)</f>
        <v>6 - Fallas Tecnologicas</v>
      </c>
      <c r="Y277" s="59" t="str">
        <f>VLOOKUP(Tabla15[[#This Row],[N° 
Evento]],'Eventos de riesgos'!B:M,12,0)</f>
        <v>61 - Sistemas</v>
      </c>
      <c r="Z277" s="59" t="str">
        <f>VLOOKUP(Tabla15[[#This Row],[N° 
Evento]],'Eventos de riesgos'!B:N,13,0)</f>
        <v>611 - Pérdida por Problemas en Software</v>
      </c>
      <c r="AA277" s="59" t="str">
        <f>+VLOOKUP(Tabla15[[#This Row],[N° 
Evento]],'Eventos de riesgos'!$B$1:$AA$87,23,0)</f>
        <v>Fallas de conexión transaccional</v>
      </c>
      <c r="AB277" s="54" t="str">
        <f>VLOOKUP(Tabla15[[#This Row],[N° 
Evento]],'Eventos de riesgos'!B:O,14,0)</f>
        <v>Ninguna</v>
      </c>
      <c r="AC277" s="60">
        <f>VLOOKUP(Tabla15[[#This Row],[N° 
Evento]],'Eventos de riesgos'!B:P,15,0)</f>
        <v>45900.71875</v>
      </c>
      <c r="AD277" s="54" t="str">
        <f>VLOOKUP(Tabla15[[#This Row],[N° 
Evento]],'Eventos de riesgos'!B:Q,16,0)</f>
        <v>Ahorros voluntarios</v>
      </c>
      <c r="AE277" s="54" t="str">
        <f>VLOOKUP(Tabla15[[#This Row],[N° 
Evento]],'Eventos de riesgos'!B:R,17,0)</f>
        <v>Ninguno</v>
      </c>
      <c r="AF277" s="56" t="str">
        <f>VLOOKUP(Tabla15[[#This Row],[N° 
Evento]],'Eventos de riesgos'!B:V,21,0)</f>
        <v>Aprobado</v>
      </c>
      <c r="AG277" s="59" t="str">
        <f>VLOOKUP(Tabla15[[#This Row],[N° 
Evento]],'Eventos de riesgos'!B:W,22,0)</f>
        <v>11/09/2025 17:16:49: Creado</v>
      </c>
    </row>
    <row r="278" spans="3:33" ht="46.5" customHeight="1" thickBot="1" x14ac:dyDescent="0.6">
      <c r="C278" s="54" t="str">
        <f>+Tabla15[[#This Row],[N° 
Evento]]&amp;"-"&amp;Tabla15[[#This Row],[N° Tarea]]</f>
        <v>81-1</v>
      </c>
      <c r="D278" s="54">
        <v>81</v>
      </c>
      <c r="E278" s="54">
        <v>1</v>
      </c>
      <c r="F278" s="70" t="s">
        <v>834</v>
      </c>
      <c r="G278" s="44" t="s">
        <v>1052</v>
      </c>
      <c r="H278" s="59" t="s">
        <v>1012</v>
      </c>
      <c r="I278" s="59" t="s">
        <v>932</v>
      </c>
      <c r="J278" s="57">
        <v>45965</v>
      </c>
      <c r="K278" s="57">
        <v>45965</v>
      </c>
      <c r="L278" s="73" t="str">
        <f>IF(Tabla15[[#This Row],[Fecha de Finalización]]&gt;0,"Cerrada","En Proceso")</f>
        <v>Cerrada</v>
      </c>
      <c r="M278" s="58">
        <f>+K278-J278</f>
        <v>0</v>
      </c>
      <c r="N278" s="59" t="s">
        <v>843</v>
      </c>
      <c r="O278" s="54">
        <f>VLOOKUP(Tabla15[[#This Row],[N° 
Evento]],'Eventos de riesgos'!B:C,2,0)</f>
        <v>2025</v>
      </c>
      <c r="P278" s="54" t="str">
        <f>VLOOKUP(Tabla15[[#This Row],[N° 
Evento]],'Eventos de riesgos'!B:D,3,0)</f>
        <v>Nov</v>
      </c>
      <c r="Q278" s="60">
        <f>VLOOKUP(Tabla15[[#This Row],[N° 
Evento]],'Eventos de riesgos'!B:E,4,0)</f>
        <v>45961.625</v>
      </c>
      <c r="R278" s="60">
        <f>VLOOKUP(Tabla15[[#This Row],[N° 
Evento]],'Eventos de riesgos'!B:F,5,0)</f>
        <v>45967.416666666664</v>
      </c>
      <c r="S278" s="60">
        <f>VLOOKUP(Tabla15[[#This Row],[N° 
Evento]],'Eventos de riesgos'!B:G,6,0)</f>
        <v>45965.625</v>
      </c>
      <c r="T278" s="63"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78" s="61">
        <f>VLOOKUP(Tabla15[[#This Row],[N° 
Evento]],'Eventos de riesgos'!B:I,8,0)</f>
        <v>0</v>
      </c>
      <c r="V278" s="61">
        <f>VLOOKUP(Tabla15[[#This Row],[N° 
Evento]],'Eventos de riesgos'!B:J,9,0)</f>
        <v>0</v>
      </c>
      <c r="W278" s="61">
        <f>VLOOKUP(Tabla15[[#This Row],[N° 
Evento]],'Eventos de riesgos'!B:K,10,0)</f>
        <v>0</v>
      </c>
      <c r="X278" s="59" t="str">
        <f>VLOOKUP(Tabla15[[#This Row],[N° 
Evento]],'Eventos de riesgos'!B:L,11,0)</f>
        <v>7 - Ejecución y Administración de Procesos</v>
      </c>
      <c r="Y278" s="59" t="str">
        <f>VLOOKUP(Tabla15[[#This Row],[N° 
Evento]],'Eventos de riesgos'!B:M,12,0)</f>
        <v>Proveedores</v>
      </c>
      <c r="Z278" s="59" t="str">
        <f>VLOOKUP(Tabla15[[#This Row],[N° 
Evento]],'Eventos de riesgos'!B:N,13,0)</f>
        <v>763 - Incumplimiento de las Actividades Contratadas</v>
      </c>
      <c r="AA278" s="59" t="str">
        <f>+VLOOKUP(Tabla15[[#This Row],[N° 
Evento]],'Eventos de riesgos'!$B$1:$AA$87,23,0)</f>
        <v>Error en aplicación de débitos automáticos</v>
      </c>
      <c r="AB278" s="54" t="str">
        <f>VLOOKUP(Tabla15[[#This Row],[N° 
Evento]],'Eventos de riesgos'!B:O,14,0)</f>
        <v>Ninguna</v>
      </c>
      <c r="AC278" s="60">
        <f>VLOOKUP(Tabla15[[#This Row],[N° 
Evento]],'Eventos de riesgos'!B:P,15,0)</f>
        <v>45991.756249999999</v>
      </c>
      <c r="AD278" s="54" t="str">
        <f>VLOOKUP(Tabla15[[#This Row],[N° 
Evento]],'Eventos de riesgos'!B:Q,16,0)</f>
        <v>Varios tipos de crédito</v>
      </c>
      <c r="AE278" s="54" t="str">
        <f>VLOOKUP(Tabla15[[#This Row],[N° 
Evento]],'Eventos de riesgos'!B:R,17,0)</f>
        <v>Ninguno</v>
      </c>
      <c r="AF278" s="56" t="str">
        <f>VLOOKUP(Tabla15[[#This Row],[N° 
Evento]],'Eventos de riesgos'!B:V,21,0)</f>
        <v>Aprobado</v>
      </c>
      <c r="AG278" s="59" t="str">
        <f>VLOOKUP(Tabla15[[#This Row],[N° 
Evento]],'Eventos de riesgos'!B:W,22,0)</f>
        <v>null
27/11/2025 15:38:56: creado
01/12/2025 23:19:42: Actualizado</v>
      </c>
    </row>
    <row r="279" spans="3:33" ht="46.5" customHeight="1" thickBot="1" x14ac:dyDescent="0.6">
      <c r="C279" s="43" t="str">
        <f>+Tabla15[[#This Row],[N° 
Evento]]&amp;"-"&amp;Tabla15[[#This Row],[N° Tarea]]</f>
        <v>81-2</v>
      </c>
      <c r="D279" s="54">
        <v>81</v>
      </c>
      <c r="E279" s="54">
        <v>2</v>
      </c>
      <c r="F279" s="71" t="s">
        <v>835</v>
      </c>
      <c r="G279" s="44" t="s">
        <v>1052</v>
      </c>
      <c r="H279" s="44" t="s">
        <v>215</v>
      </c>
      <c r="I279" s="45" t="s">
        <v>91</v>
      </c>
      <c r="J279" s="57">
        <v>45965</v>
      </c>
      <c r="K279" s="46">
        <v>45966</v>
      </c>
      <c r="L279" s="72" t="str">
        <f>IF(Tabla15[[#This Row],[Fecha de Finalización]]&gt;0,"Cerrada","En Proceso")</f>
        <v>Cerrada</v>
      </c>
      <c r="M279" s="52">
        <f t="shared" ref="M279:M288" si="12">+K279-J279</f>
        <v>1</v>
      </c>
      <c r="N279" s="44"/>
      <c r="O279" s="43">
        <f>VLOOKUP(Tabla15[[#This Row],[N° 
Evento]],'Eventos de riesgos'!B:C,2,0)</f>
        <v>2025</v>
      </c>
      <c r="P279" s="43" t="str">
        <f>VLOOKUP(Tabla15[[#This Row],[N° 
Evento]],'Eventos de riesgos'!B:D,3,0)</f>
        <v>Nov</v>
      </c>
      <c r="Q279" s="48">
        <f>VLOOKUP(Tabla15[[#This Row],[N° 
Evento]],'Eventos de riesgos'!B:E,4,0)</f>
        <v>45961.625</v>
      </c>
      <c r="R279" s="48">
        <f>VLOOKUP(Tabla15[[#This Row],[N° 
Evento]],'Eventos de riesgos'!B:F,5,0)</f>
        <v>45967.416666666664</v>
      </c>
      <c r="S279" s="48">
        <f>VLOOKUP(Tabla15[[#This Row],[N° 
Evento]],'Eventos de riesgos'!B:G,6,0)</f>
        <v>45965.625</v>
      </c>
      <c r="T279"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79" s="49">
        <f>VLOOKUP(Tabla15[[#This Row],[N° 
Evento]],'Eventos de riesgos'!B:I,8,0)</f>
        <v>0</v>
      </c>
      <c r="V279" s="49">
        <f>VLOOKUP(Tabla15[[#This Row],[N° 
Evento]],'Eventos de riesgos'!B:J,9,0)</f>
        <v>0</v>
      </c>
      <c r="W279" s="49">
        <f>VLOOKUP(Tabla15[[#This Row],[N° 
Evento]],'Eventos de riesgos'!B:K,10,0)</f>
        <v>0</v>
      </c>
      <c r="X279" s="44" t="str">
        <f>VLOOKUP(Tabla15[[#This Row],[N° 
Evento]],'Eventos de riesgos'!B:L,11,0)</f>
        <v>7 - Ejecución y Administración de Procesos</v>
      </c>
      <c r="Y279" s="44" t="str">
        <f>VLOOKUP(Tabla15[[#This Row],[N° 
Evento]],'Eventos de riesgos'!B:M,12,0)</f>
        <v>Proveedores</v>
      </c>
      <c r="Z279" s="44" t="str">
        <f>VLOOKUP(Tabla15[[#This Row],[N° 
Evento]],'Eventos de riesgos'!B:N,13,0)</f>
        <v>763 - Incumplimiento de las Actividades Contratadas</v>
      </c>
      <c r="AA279" s="44" t="str">
        <f>+VLOOKUP(Tabla15[[#This Row],[N° 
Evento]],'Eventos de riesgos'!$B$1:$AA$87,23,0)</f>
        <v>Error en aplicación de débitos automáticos</v>
      </c>
      <c r="AB279" s="43" t="str">
        <f>VLOOKUP(Tabla15[[#This Row],[N° 
Evento]],'Eventos de riesgos'!B:O,14,0)</f>
        <v>Ninguna</v>
      </c>
      <c r="AC279" s="48">
        <f>VLOOKUP(Tabla15[[#This Row],[N° 
Evento]],'Eventos de riesgos'!B:P,15,0)</f>
        <v>45991.756249999999</v>
      </c>
      <c r="AD279" s="43" t="str">
        <f>VLOOKUP(Tabla15[[#This Row],[N° 
Evento]],'Eventos de riesgos'!B:Q,16,0)</f>
        <v>Varios tipos de crédito</v>
      </c>
      <c r="AE279" s="43" t="str">
        <f>VLOOKUP(Tabla15[[#This Row],[N° 
Evento]],'Eventos de riesgos'!B:R,17,0)</f>
        <v>Ninguno</v>
      </c>
      <c r="AF279" s="45" t="str">
        <f>VLOOKUP(Tabla15[[#This Row],[N° 
Evento]],'Eventos de riesgos'!B:V,21,0)</f>
        <v>Aprobado</v>
      </c>
      <c r="AG279" s="44" t="str">
        <f>VLOOKUP(Tabla15[[#This Row],[N° 
Evento]],'Eventos de riesgos'!B:W,22,0)</f>
        <v>null
27/11/2025 15:38:56: creado
01/12/2025 23:19:42: Actualizado</v>
      </c>
    </row>
    <row r="280" spans="3:33" ht="46.5" customHeight="1" thickBot="1" x14ac:dyDescent="0.6">
      <c r="C280" s="43" t="str">
        <f>+Tabla15[[#This Row],[N° 
Evento]]&amp;"-"&amp;Tabla15[[#This Row],[N° Tarea]]</f>
        <v>81-3</v>
      </c>
      <c r="D280" s="54">
        <v>81</v>
      </c>
      <c r="E280" s="54">
        <v>3</v>
      </c>
      <c r="F280" s="71" t="s">
        <v>836</v>
      </c>
      <c r="G280" s="44" t="s">
        <v>1052</v>
      </c>
      <c r="H280" s="44" t="s">
        <v>844</v>
      </c>
      <c r="I280" s="44" t="s">
        <v>845</v>
      </c>
      <c r="J280" s="57">
        <v>45965</v>
      </c>
      <c r="K280" s="46">
        <v>45966</v>
      </c>
      <c r="L280" s="72" t="str">
        <f>IF(Tabla15[[#This Row],[Fecha de Finalización]]&gt;0,"Cerrada","En Proceso")</f>
        <v>Cerrada</v>
      </c>
      <c r="M280" s="52">
        <f t="shared" si="12"/>
        <v>1</v>
      </c>
      <c r="N280" s="44"/>
      <c r="O280" s="43">
        <f>VLOOKUP(Tabla15[[#This Row],[N° 
Evento]],'Eventos de riesgos'!B:C,2,0)</f>
        <v>2025</v>
      </c>
      <c r="P280" s="43" t="str">
        <f>VLOOKUP(Tabla15[[#This Row],[N° 
Evento]],'Eventos de riesgos'!B:D,3,0)</f>
        <v>Nov</v>
      </c>
      <c r="Q280" s="48">
        <f>VLOOKUP(Tabla15[[#This Row],[N° 
Evento]],'Eventos de riesgos'!B:E,4,0)</f>
        <v>45961.625</v>
      </c>
      <c r="R280" s="48">
        <f>VLOOKUP(Tabla15[[#This Row],[N° 
Evento]],'Eventos de riesgos'!B:F,5,0)</f>
        <v>45967.416666666664</v>
      </c>
      <c r="S280" s="48">
        <f>VLOOKUP(Tabla15[[#This Row],[N° 
Evento]],'Eventos de riesgos'!B:G,6,0)</f>
        <v>45965.625</v>
      </c>
      <c r="T280"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0" s="49">
        <f>VLOOKUP(Tabla15[[#This Row],[N° 
Evento]],'Eventos de riesgos'!B:I,8,0)</f>
        <v>0</v>
      </c>
      <c r="V280" s="49">
        <f>VLOOKUP(Tabla15[[#This Row],[N° 
Evento]],'Eventos de riesgos'!B:J,9,0)</f>
        <v>0</v>
      </c>
      <c r="W280" s="49">
        <f>VLOOKUP(Tabla15[[#This Row],[N° 
Evento]],'Eventos de riesgos'!B:K,10,0)</f>
        <v>0</v>
      </c>
      <c r="X280" s="44" t="str">
        <f>VLOOKUP(Tabla15[[#This Row],[N° 
Evento]],'Eventos de riesgos'!B:L,11,0)</f>
        <v>7 - Ejecución y Administración de Procesos</v>
      </c>
      <c r="Y280" s="44" t="str">
        <f>VLOOKUP(Tabla15[[#This Row],[N° 
Evento]],'Eventos de riesgos'!B:M,12,0)</f>
        <v>Proveedores</v>
      </c>
      <c r="Z280" s="44" t="str">
        <f>VLOOKUP(Tabla15[[#This Row],[N° 
Evento]],'Eventos de riesgos'!B:N,13,0)</f>
        <v>763 - Incumplimiento de las Actividades Contratadas</v>
      </c>
      <c r="AA280" s="44" t="str">
        <f>+VLOOKUP(Tabla15[[#This Row],[N° 
Evento]],'Eventos de riesgos'!$B$1:$AA$87,23,0)</f>
        <v>Error en aplicación de débitos automáticos</v>
      </c>
      <c r="AB280" s="43" t="str">
        <f>VLOOKUP(Tabla15[[#This Row],[N° 
Evento]],'Eventos de riesgos'!B:O,14,0)</f>
        <v>Ninguna</v>
      </c>
      <c r="AC280" s="48">
        <f>VLOOKUP(Tabla15[[#This Row],[N° 
Evento]],'Eventos de riesgos'!B:P,15,0)</f>
        <v>45991.756249999999</v>
      </c>
      <c r="AD280" s="43" t="str">
        <f>VLOOKUP(Tabla15[[#This Row],[N° 
Evento]],'Eventos de riesgos'!B:Q,16,0)</f>
        <v>Varios tipos de crédito</v>
      </c>
      <c r="AE280" s="43" t="str">
        <f>VLOOKUP(Tabla15[[#This Row],[N° 
Evento]],'Eventos de riesgos'!B:R,17,0)</f>
        <v>Ninguno</v>
      </c>
      <c r="AF280" s="45" t="str">
        <f>VLOOKUP(Tabla15[[#This Row],[N° 
Evento]],'Eventos de riesgos'!B:V,21,0)</f>
        <v>Aprobado</v>
      </c>
      <c r="AG280" s="44" t="str">
        <f>VLOOKUP(Tabla15[[#This Row],[N° 
Evento]],'Eventos de riesgos'!B:W,22,0)</f>
        <v>null
27/11/2025 15:38:56: creado
01/12/2025 23:19:42: Actualizado</v>
      </c>
    </row>
    <row r="281" spans="3:33" ht="46.5" customHeight="1" thickBot="1" x14ac:dyDescent="0.6">
      <c r="C281" s="43" t="str">
        <f>+Tabla15[[#This Row],[N° 
Evento]]&amp;"-"&amp;Tabla15[[#This Row],[N° Tarea]]</f>
        <v>81-4</v>
      </c>
      <c r="D281" s="54">
        <v>81</v>
      </c>
      <c r="E281" s="54">
        <v>4</v>
      </c>
      <c r="F281" s="71" t="s">
        <v>945</v>
      </c>
      <c r="G281" s="44" t="s">
        <v>1052</v>
      </c>
      <c r="H281" s="44" t="s">
        <v>760</v>
      </c>
      <c r="I281" s="45" t="s">
        <v>95</v>
      </c>
      <c r="J281" s="57">
        <v>45965</v>
      </c>
      <c r="K281" s="46">
        <v>45968</v>
      </c>
      <c r="L281" s="72" t="str">
        <f>IF(Tabla15[[#This Row],[Fecha de Finalización]]&gt;0,"Cerrada","En Proceso")</f>
        <v>Cerrada</v>
      </c>
      <c r="M281" s="52">
        <f t="shared" si="12"/>
        <v>3</v>
      </c>
      <c r="N281" s="44" t="s">
        <v>848</v>
      </c>
      <c r="O281" s="43">
        <f>VLOOKUP(Tabla15[[#This Row],[N° 
Evento]],'Eventos de riesgos'!B:C,2,0)</f>
        <v>2025</v>
      </c>
      <c r="P281" s="43" t="str">
        <f>VLOOKUP(Tabla15[[#This Row],[N° 
Evento]],'Eventos de riesgos'!B:D,3,0)</f>
        <v>Nov</v>
      </c>
      <c r="Q281" s="48">
        <f>VLOOKUP(Tabla15[[#This Row],[N° 
Evento]],'Eventos de riesgos'!B:E,4,0)</f>
        <v>45961.625</v>
      </c>
      <c r="R281" s="48">
        <f>VLOOKUP(Tabla15[[#This Row],[N° 
Evento]],'Eventos de riesgos'!B:F,5,0)</f>
        <v>45967.416666666664</v>
      </c>
      <c r="S281" s="48">
        <f>VLOOKUP(Tabla15[[#This Row],[N° 
Evento]],'Eventos de riesgos'!B:G,6,0)</f>
        <v>45965.625</v>
      </c>
      <c r="T281"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1" s="49">
        <f>VLOOKUP(Tabla15[[#This Row],[N° 
Evento]],'Eventos de riesgos'!B:I,8,0)</f>
        <v>0</v>
      </c>
      <c r="V281" s="49">
        <f>VLOOKUP(Tabla15[[#This Row],[N° 
Evento]],'Eventos de riesgos'!B:J,9,0)</f>
        <v>0</v>
      </c>
      <c r="W281" s="49">
        <f>VLOOKUP(Tabla15[[#This Row],[N° 
Evento]],'Eventos de riesgos'!B:K,10,0)</f>
        <v>0</v>
      </c>
      <c r="X281" s="44" t="str">
        <f>VLOOKUP(Tabla15[[#This Row],[N° 
Evento]],'Eventos de riesgos'!B:L,11,0)</f>
        <v>7 - Ejecución y Administración de Procesos</v>
      </c>
      <c r="Y281" s="44" t="str">
        <f>VLOOKUP(Tabla15[[#This Row],[N° 
Evento]],'Eventos de riesgos'!B:M,12,0)</f>
        <v>Proveedores</v>
      </c>
      <c r="Z281" s="44" t="str">
        <f>VLOOKUP(Tabla15[[#This Row],[N° 
Evento]],'Eventos de riesgos'!B:N,13,0)</f>
        <v>763 - Incumplimiento de las Actividades Contratadas</v>
      </c>
      <c r="AA281" s="44" t="str">
        <f>+VLOOKUP(Tabla15[[#This Row],[N° 
Evento]],'Eventos de riesgos'!$B$1:$AA$87,23,0)</f>
        <v>Error en aplicación de débitos automáticos</v>
      </c>
      <c r="AB281" s="43" t="str">
        <f>VLOOKUP(Tabla15[[#This Row],[N° 
Evento]],'Eventos de riesgos'!B:O,14,0)</f>
        <v>Ninguna</v>
      </c>
      <c r="AC281" s="48">
        <f>VLOOKUP(Tabla15[[#This Row],[N° 
Evento]],'Eventos de riesgos'!B:P,15,0)</f>
        <v>45991.756249999999</v>
      </c>
      <c r="AD281" s="43" t="str">
        <f>VLOOKUP(Tabla15[[#This Row],[N° 
Evento]],'Eventos de riesgos'!B:Q,16,0)</f>
        <v>Varios tipos de crédito</v>
      </c>
      <c r="AE281" s="43" t="str">
        <f>VLOOKUP(Tabla15[[#This Row],[N° 
Evento]],'Eventos de riesgos'!B:R,17,0)</f>
        <v>Ninguno</v>
      </c>
      <c r="AF281" s="45" t="str">
        <f>VLOOKUP(Tabla15[[#This Row],[N° 
Evento]],'Eventos de riesgos'!B:V,21,0)</f>
        <v>Aprobado</v>
      </c>
      <c r="AG281" s="44" t="str">
        <f>VLOOKUP(Tabla15[[#This Row],[N° 
Evento]],'Eventos de riesgos'!B:W,22,0)</f>
        <v>null
27/11/2025 15:38:56: creado
01/12/2025 23:19:42: Actualizado</v>
      </c>
    </row>
    <row r="282" spans="3:33" ht="62" customHeight="1" thickBot="1" x14ac:dyDescent="0.6">
      <c r="C282" s="43" t="str">
        <f>+Tabla15[[#This Row],[N° 
Evento]]&amp;"-"&amp;Tabla15[[#This Row],[N° Tarea]]</f>
        <v>81-5</v>
      </c>
      <c r="D282" s="54">
        <v>81</v>
      </c>
      <c r="E282" s="54">
        <v>5</v>
      </c>
      <c r="F282" s="71" t="s">
        <v>837</v>
      </c>
      <c r="G282" s="44" t="s">
        <v>1052</v>
      </c>
      <c r="H282" s="44" t="s">
        <v>846</v>
      </c>
      <c r="I282" s="44" t="s">
        <v>847</v>
      </c>
      <c r="J282" s="57">
        <v>45965</v>
      </c>
      <c r="K282" s="46">
        <v>45971</v>
      </c>
      <c r="L282" s="72" t="str">
        <f>IF(Tabla15[[#This Row],[Fecha de Finalización]]&gt;0,"Cerrada","En Proceso")</f>
        <v>Cerrada</v>
      </c>
      <c r="M282" s="52">
        <f t="shared" si="12"/>
        <v>6</v>
      </c>
      <c r="N282" s="44"/>
      <c r="O282" s="43">
        <f>VLOOKUP(Tabla15[[#This Row],[N° 
Evento]],'Eventos de riesgos'!B:C,2,0)</f>
        <v>2025</v>
      </c>
      <c r="P282" s="43" t="str">
        <f>VLOOKUP(Tabla15[[#This Row],[N° 
Evento]],'Eventos de riesgos'!B:D,3,0)</f>
        <v>Nov</v>
      </c>
      <c r="Q282" s="48">
        <f>VLOOKUP(Tabla15[[#This Row],[N° 
Evento]],'Eventos de riesgos'!B:E,4,0)</f>
        <v>45961.625</v>
      </c>
      <c r="R282" s="48">
        <f>VLOOKUP(Tabla15[[#This Row],[N° 
Evento]],'Eventos de riesgos'!B:F,5,0)</f>
        <v>45967.416666666664</v>
      </c>
      <c r="S282" s="48">
        <f>VLOOKUP(Tabla15[[#This Row],[N° 
Evento]],'Eventos de riesgos'!B:G,6,0)</f>
        <v>45965.625</v>
      </c>
      <c r="T282"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2" s="49">
        <f>VLOOKUP(Tabla15[[#This Row],[N° 
Evento]],'Eventos de riesgos'!B:I,8,0)</f>
        <v>0</v>
      </c>
      <c r="V282" s="49">
        <f>VLOOKUP(Tabla15[[#This Row],[N° 
Evento]],'Eventos de riesgos'!B:J,9,0)</f>
        <v>0</v>
      </c>
      <c r="W282" s="49">
        <f>VLOOKUP(Tabla15[[#This Row],[N° 
Evento]],'Eventos de riesgos'!B:K,10,0)</f>
        <v>0</v>
      </c>
      <c r="X282" s="44" t="str">
        <f>VLOOKUP(Tabla15[[#This Row],[N° 
Evento]],'Eventos de riesgos'!B:L,11,0)</f>
        <v>7 - Ejecución y Administración de Procesos</v>
      </c>
      <c r="Y282" s="44" t="str">
        <f>VLOOKUP(Tabla15[[#This Row],[N° 
Evento]],'Eventos de riesgos'!B:M,12,0)</f>
        <v>Proveedores</v>
      </c>
      <c r="Z282" s="44" t="str">
        <f>VLOOKUP(Tabla15[[#This Row],[N° 
Evento]],'Eventos de riesgos'!B:N,13,0)</f>
        <v>763 - Incumplimiento de las Actividades Contratadas</v>
      </c>
      <c r="AA282" s="44" t="str">
        <f>+VLOOKUP(Tabla15[[#This Row],[N° 
Evento]],'Eventos de riesgos'!$B$1:$AA$87,23,0)</f>
        <v>Error en aplicación de débitos automáticos</v>
      </c>
      <c r="AB282" s="43" t="str">
        <f>VLOOKUP(Tabla15[[#This Row],[N° 
Evento]],'Eventos de riesgos'!B:O,14,0)</f>
        <v>Ninguna</v>
      </c>
      <c r="AC282" s="48">
        <f>VLOOKUP(Tabla15[[#This Row],[N° 
Evento]],'Eventos de riesgos'!B:P,15,0)</f>
        <v>45991.756249999999</v>
      </c>
      <c r="AD282" s="43" t="str">
        <f>VLOOKUP(Tabla15[[#This Row],[N° 
Evento]],'Eventos de riesgos'!B:Q,16,0)</f>
        <v>Varios tipos de crédito</v>
      </c>
      <c r="AE282" s="43" t="str">
        <f>VLOOKUP(Tabla15[[#This Row],[N° 
Evento]],'Eventos de riesgos'!B:R,17,0)</f>
        <v>Ninguno</v>
      </c>
      <c r="AF282" s="45" t="str">
        <f>VLOOKUP(Tabla15[[#This Row],[N° 
Evento]],'Eventos de riesgos'!B:V,21,0)</f>
        <v>Aprobado</v>
      </c>
      <c r="AG282" s="44" t="str">
        <f>VLOOKUP(Tabla15[[#This Row],[N° 
Evento]],'Eventos de riesgos'!B:W,22,0)</f>
        <v>null
27/11/2025 15:38:56: creado
01/12/2025 23:19:42: Actualizado</v>
      </c>
    </row>
    <row r="283" spans="3:33" ht="46.5" customHeight="1" thickBot="1" x14ac:dyDescent="0.6">
      <c r="C283" s="43" t="str">
        <f>+Tabla15[[#This Row],[N° 
Evento]]&amp;"-"&amp;Tabla15[[#This Row],[N° Tarea]]</f>
        <v>81-6</v>
      </c>
      <c r="D283" s="54">
        <v>81</v>
      </c>
      <c r="E283" s="54">
        <v>6</v>
      </c>
      <c r="F283" s="71" t="s">
        <v>838</v>
      </c>
      <c r="G283" s="44" t="s">
        <v>1052</v>
      </c>
      <c r="H283" s="44" t="s">
        <v>509</v>
      </c>
      <c r="I283" s="45" t="s">
        <v>511</v>
      </c>
      <c r="J283" s="57">
        <v>45965</v>
      </c>
      <c r="K283" s="46">
        <v>45967</v>
      </c>
      <c r="L283" s="72" t="str">
        <f>IF(Tabla15[[#This Row],[Fecha de Finalización]]&gt;0,"Cerrada","En Proceso")</f>
        <v>Cerrada</v>
      </c>
      <c r="M283" s="52">
        <f t="shared" si="12"/>
        <v>2</v>
      </c>
      <c r="N283" s="44"/>
      <c r="O283" s="43">
        <f>VLOOKUP(Tabla15[[#This Row],[N° 
Evento]],'Eventos de riesgos'!B:C,2,0)</f>
        <v>2025</v>
      </c>
      <c r="P283" s="43" t="str">
        <f>VLOOKUP(Tabla15[[#This Row],[N° 
Evento]],'Eventos de riesgos'!B:D,3,0)</f>
        <v>Nov</v>
      </c>
      <c r="Q283" s="48">
        <f>VLOOKUP(Tabla15[[#This Row],[N° 
Evento]],'Eventos de riesgos'!B:E,4,0)</f>
        <v>45961.625</v>
      </c>
      <c r="R283" s="48">
        <f>VLOOKUP(Tabla15[[#This Row],[N° 
Evento]],'Eventos de riesgos'!B:F,5,0)</f>
        <v>45967.416666666664</v>
      </c>
      <c r="S283" s="48">
        <f>VLOOKUP(Tabla15[[#This Row],[N° 
Evento]],'Eventos de riesgos'!B:G,6,0)</f>
        <v>45965.625</v>
      </c>
      <c r="T283"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3" s="49">
        <f>VLOOKUP(Tabla15[[#This Row],[N° 
Evento]],'Eventos de riesgos'!B:I,8,0)</f>
        <v>0</v>
      </c>
      <c r="V283" s="49">
        <f>VLOOKUP(Tabla15[[#This Row],[N° 
Evento]],'Eventos de riesgos'!B:J,9,0)</f>
        <v>0</v>
      </c>
      <c r="W283" s="49">
        <f>VLOOKUP(Tabla15[[#This Row],[N° 
Evento]],'Eventos de riesgos'!B:K,10,0)</f>
        <v>0</v>
      </c>
      <c r="X283" s="44" t="str">
        <f>VLOOKUP(Tabla15[[#This Row],[N° 
Evento]],'Eventos de riesgos'!B:L,11,0)</f>
        <v>7 - Ejecución y Administración de Procesos</v>
      </c>
      <c r="Y283" s="44" t="str">
        <f>VLOOKUP(Tabla15[[#This Row],[N° 
Evento]],'Eventos de riesgos'!B:M,12,0)</f>
        <v>Proveedores</v>
      </c>
      <c r="Z283" s="44" t="str">
        <f>VLOOKUP(Tabla15[[#This Row],[N° 
Evento]],'Eventos de riesgos'!B:N,13,0)</f>
        <v>763 - Incumplimiento de las Actividades Contratadas</v>
      </c>
      <c r="AA283" s="44" t="str">
        <f>+VLOOKUP(Tabla15[[#This Row],[N° 
Evento]],'Eventos de riesgos'!$B$1:$AA$87,23,0)</f>
        <v>Error en aplicación de débitos automáticos</v>
      </c>
      <c r="AB283" s="43" t="str">
        <f>VLOOKUP(Tabla15[[#This Row],[N° 
Evento]],'Eventos de riesgos'!B:O,14,0)</f>
        <v>Ninguna</v>
      </c>
      <c r="AC283" s="48">
        <f>VLOOKUP(Tabla15[[#This Row],[N° 
Evento]],'Eventos de riesgos'!B:P,15,0)</f>
        <v>45991.756249999999</v>
      </c>
      <c r="AD283" s="43" t="str">
        <f>VLOOKUP(Tabla15[[#This Row],[N° 
Evento]],'Eventos de riesgos'!B:Q,16,0)</f>
        <v>Varios tipos de crédito</v>
      </c>
      <c r="AE283" s="43" t="str">
        <f>VLOOKUP(Tabla15[[#This Row],[N° 
Evento]],'Eventos de riesgos'!B:R,17,0)</f>
        <v>Ninguno</v>
      </c>
      <c r="AF283" s="45" t="str">
        <f>VLOOKUP(Tabla15[[#This Row],[N° 
Evento]],'Eventos de riesgos'!B:V,21,0)</f>
        <v>Aprobado</v>
      </c>
      <c r="AG283" s="44" t="str">
        <f>VLOOKUP(Tabla15[[#This Row],[N° 
Evento]],'Eventos de riesgos'!B:W,22,0)</f>
        <v>null
27/11/2025 15:38:56: creado
01/12/2025 23:19:42: Actualizado</v>
      </c>
    </row>
    <row r="284" spans="3:33" ht="63.5" customHeight="1" thickBot="1" x14ac:dyDescent="0.6">
      <c r="C284" s="43" t="str">
        <f>+Tabla15[[#This Row],[N° 
Evento]]&amp;"-"&amp;Tabla15[[#This Row],[N° Tarea]]</f>
        <v>81-7</v>
      </c>
      <c r="D284" s="54">
        <v>81</v>
      </c>
      <c r="E284" s="54">
        <v>7</v>
      </c>
      <c r="F284" s="71" t="s">
        <v>839</v>
      </c>
      <c r="G284" s="44" t="s">
        <v>1052</v>
      </c>
      <c r="H284" s="44" t="s">
        <v>215</v>
      </c>
      <c r="I284" s="45" t="s">
        <v>91</v>
      </c>
      <c r="J284" s="57">
        <v>45965</v>
      </c>
      <c r="K284" s="46">
        <v>45968</v>
      </c>
      <c r="L284" s="72" t="str">
        <f>IF(Tabla15[[#This Row],[Fecha de Finalización]]&gt;0,"Cerrada","En Proceso")</f>
        <v>Cerrada</v>
      </c>
      <c r="M284" s="52">
        <f t="shared" si="12"/>
        <v>3</v>
      </c>
      <c r="N284" s="44"/>
      <c r="O284" s="43">
        <f>VLOOKUP(Tabla15[[#This Row],[N° 
Evento]],'Eventos de riesgos'!B:C,2,0)</f>
        <v>2025</v>
      </c>
      <c r="P284" s="43" t="str">
        <f>VLOOKUP(Tabla15[[#This Row],[N° 
Evento]],'Eventos de riesgos'!B:D,3,0)</f>
        <v>Nov</v>
      </c>
      <c r="Q284" s="48">
        <f>VLOOKUP(Tabla15[[#This Row],[N° 
Evento]],'Eventos de riesgos'!B:E,4,0)</f>
        <v>45961.625</v>
      </c>
      <c r="R284" s="48">
        <f>VLOOKUP(Tabla15[[#This Row],[N° 
Evento]],'Eventos de riesgos'!B:F,5,0)</f>
        <v>45967.416666666664</v>
      </c>
      <c r="S284" s="48">
        <f>VLOOKUP(Tabla15[[#This Row],[N° 
Evento]],'Eventos de riesgos'!B:G,6,0)</f>
        <v>45965.625</v>
      </c>
      <c r="T284"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4" s="49">
        <f>VLOOKUP(Tabla15[[#This Row],[N° 
Evento]],'Eventos de riesgos'!B:I,8,0)</f>
        <v>0</v>
      </c>
      <c r="V284" s="49">
        <f>VLOOKUP(Tabla15[[#This Row],[N° 
Evento]],'Eventos de riesgos'!B:J,9,0)</f>
        <v>0</v>
      </c>
      <c r="W284" s="49">
        <f>VLOOKUP(Tabla15[[#This Row],[N° 
Evento]],'Eventos de riesgos'!B:K,10,0)</f>
        <v>0</v>
      </c>
      <c r="X284" s="44" t="str">
        <f>VLOOKUP(Tabla15[[#This Row],[N° 
Evento]],'Eventos de riesgos'!B:L,11,0)</f>
        <v>7 - Ejecución y Administración de Procesos</v>
      </c>
      <c r="Y284" s="44" t="str">
        <f>VLOOKUP(Tabla15[[#This Row],[N° 
Evento]],'Eventos de riesgos'!B:M,12,0)</f>
        <v>Proveedores</v>
      </c>
      <c r="Z284" s="44" t="str">
        <f>VLOOKUP(Tabla15[[#This Row],[N° 
Evento]],'Eventos de riesgos'!B:N,13,0)</f>
        <v>763 - Incumplimiento de las Actividades Contratadas</v>
      </c>
      <c r="AA284" s="44" t="str">
        <f>+VLOOKUP(Tabla15[[#This Row],[N° 
Evento]],'Eventos de riesgos'!$B$1:$AA$87,23,0)</f>
        <v>Error en aplicación de débitos automáticos</v>
      </c>
      <c r="AB284" s="43" t="str">
        <f>VLOOKUP(Tabla15[[#This Row],[N° 
Evento]],'Eventos de riesgos'!B:O,14,0)</f>
        <v>Ninguna</v>
      </c>
      <c r="AC284" s="48">
        <f>VLOOKUP(Tabla15[[#This Row],[N° 
Evento]],'Eventos de riesgos'!B:P,15,0)</f>
        <v>45991.756249999999</v>
      </c>
      <c r="AD284" s="43" t="str">
        <f>VLOOKUP(Tabla15[[#This Row],[N° 
Evento]],'Eventos de riesgos'!B:Q,16,0)</f>
        <v>Varios tipos de crédito</v>
      </c>
      <c r="AE284" s="43" t="str">
        <f>VLOOKUP(Tabla15[[#This Row],[N° 
Evento]],'Eventos de riesgos'!B:R,17,0)</f>
        <v>Ninguno</v>
      </c>
      <c r="AF284" s="45" t="str">
        <f>VLOOKUP(Tabla15[[#This Row],[N° 
Evento]],'Eventos de riesgos'!B:V,21,0)</f>
        <v>Aprobado</v>
      </c>
      <c r="AG284" s="44" t="str">
        <f>VLOOKUP(Tabla15[[#This Row],[N° 
Evento]],'Eventos de riesgos'!B:W,22,0)</f>
        <v>null
27/11/2025 15:38:56: creado
01/12/2025 23:19:42: Actualizado</v>
      </c>
    </row>
    <row r="285" spans="3:33" ht="46.5" customHeight="1" thickBot="1" x14ac:dyDescent="0.6">
      <c r="C285" s="43" t="str">
        <f>+Tabla15[[#This Row],[N° 
Evento]]&amp;"-"&amp;Tabla15[[#This Row],[N° Tarea]]</f>
        <v>81-8</v>
      </c>
      <c r="D285" s="54">
        <v>81</v>
      </c>
      <c r="E285" s="54">
        <v>8</v>
      </c>
      <c r="F285" s="71" t="s">
        <v>840</v>
      </c>
      <c r="G285" s="44" t="s">
        <v>1052</v>
      </c>
      <c r="H285" s="44" t="s">
        <v>509</v>
      </c>
      <c r="I285" s="45" t="s">
        <v>511</v>
      </c>
      <c r="J285" s="57">
        <v>45965</v>
      </c>
      <c r="K285" s="46">
        <v>45968</v>
      </c>
      <c r="L285" s="72" t="str">
        <f>IF(Tabla15[[#This Row],[Fecha de Finalización]]&gt;0,"Cerrada","En Proceso")</f>
        <v>Cerrada</v>
      </c>
      <c r="M285" s="52">
        <f t="shared" si="12"/>
        <v>3</v>
      </c>
      <c r="N285" s="44"/>
      <c r="O285" s="43">
        <f>VLOOKUP(Tabla15[[#This Row],[N° 
Evento]],'Eventos de riesgos'!B:C,2,0)</f>
        <v>2025</v>
      </c>
      <c r="P285" s="43" t="str">
        <f>VLOOKUP(Tabla15[[#This Row],[N° 
Evento]],'Eventos de riesgos'!B:D,3,0)</f>
        <v>Nov</v>
      </c>
      <c r="Q285" s="48">
        <f>VLOOKUP(Tabla15[[#This Row],[N° 
Evento]],'Eventos de riesgos'!B:E,4,0)</f>
        <v>45961.625</v>
      </c>
      <c r="R285" s="48">
        <f>VLOOKUP(Tabla15[[#This Row],[N° 
Evento]],'Eventos de riesgos'!B:F,5,0)</f>
        <v>45967.416666666664</v>
      </c>
      <c r="S285" s="48">
        <f>VLOOKUP(Tabla15[[#This Row],[N° 
Evento]],'Eventos de riesgos'!B:G,6,0)</f>
        <v>45965.625</v>
      </c>
      <c r="T285"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5" s="49">
        <f>VLOOKUP(Tabla15[[#This Row],[N° 
Evento]],'Eventos de riesgos'!B:I,8,0)</f>
        <v>0</v>
      </c>
      <c r="V285" s="49">
        <f>VLOOKUP(Tabla15[[#This Row],[N° 
Evento]],'Eventos de riesgos'!B:J,9,0)</f>
        <v>0</v>
      </c>
      <c r="W285" s="49">
        <f>VLOOKUP(Tabla15[[#This Row],[N° 
Evento]],'Eventos de riesgos'!B:K,10,0)</f>
        <v>0</v>
      </c>
      <c r="X285" s="44" t="str">
        <f>VLOOKUP(Tabla15[[#This Row],[N° 
Evento]],'Eventos de riesgos'!B:L,11,0)</f>
        <v>7 - Ejecución y Administración de Procesos</v>
      </c>
      <c r="Y285" s="44" t="str">
        <f>VLOOKUP(Tabla15[[#This Row],[N° 
Evento]],'Eventos de riesgos'!B:M,12,0)</f>
        <v>Proveedores</v>
      </c>
      <c r="Z285" s="44" t="str">
        <f>VLOOKUP(Tabla15[[#This Row],[N° 
Evento]],'Eventos de riesgos'!B:N,13,0)</f>
        <v>763 - Incumplimiento de las Actividades Contratadas</v>
      </c>
      <c r="AA285" s="44" t="str">
        <f>+VLOOKUP(Tabla15[[#This Row],[N° 
Evento]],'Eventos de riesgos'!$B$1:$AA$87,23,0)</f>
        <v>Error en aplicación de débitos automáticos</v>
      </c>
      <c r="AB285" s="43" t="str">
        <f>VLOOKUP(Tabla15[[#This Row],[N° 
Evento]],'Eventos de riesgos'!B:O,14,0)</f>
        <v>Ninguna</v>
      </c>
      <c r="AC285" s="48">
        <f>VLOOKUP(Tabla15[[#This Row],[N° 
Evento]],'Eventos de riesgos'!B:P,15,0)</f>
        <v>45991.756249999999</v>
      </c>
      <c r="AD285" s="43" t="str">
        <f>VLOOKUP(Tabla15[[#This Row],[N° 
Evento]],'Eventos de riesgos'!B:Q,16,0)</f>
        <v>Varios tipos de crédito</v>
      </c>
      <c r="AE285" s="43" t="str">
        <f>VLOOKUP(Tabla15[[#This Row],[N° 
Evento]],'Eventos de riesgos'!B:R,17,0)</f>
        <v>Ninguno</v>
      </c>
      <c r="AF285" s="45" t="str">
        <f>VLOOKUP(Tabla15[[#This Row],[N° 
Evento]],'Eventos de riesgos'!B:V,21,0)</f>
        <v>Aprobado</v>
      </c>
      <c r="AG285" s="44" t="str">
        <f>VLOOKUP(Tabla15[[#This Row],[N° 
Evento]],'Eventos de riesgos'!B:W,22,0)</f>
        <v>null
27/11/2025 15:38:56: creado
01/12/2025 23:19:42: Actualizado</v>
      </c>
    </row>
    <row r="286" spans="3:33" ht="46.5" customHeight="1" thickBot="1" x14ac:dyDescent="0.6">
      <c r="C286" s="43" t="str">
        <f>+Tabla15[[#This Row],[N° 
Evento]]&amp;"-"&amp;Tabla15[[#This Row],[N° Tarea]]</f>
        <v>81-9</v>
      </c>
      <c r="D286" s="54">
        <v>81</v>
      </c>
      <c r="E286" s="54">
        <v>9</v>
      </c>
      <c r="F286" s="71" t="s">
        <v>841</v>
      </c>
      <c r="G286" s="44" t="s">
        <v>1052</v>
      </c>
      <c r="H286" s="44" t="s">
        <v>933</v>
      </c>
      <c r="I286" s="44" t="s">
        <v>934</v>
      </c>
      <c r="J286" s="57">
        <v>45965</v>
      </c>
      <c r="K286" s="46">
        <v>45971</v>
      </c>
      <c r="L286" s="72" t="str">
        <f>IF(Tabla15[[#This Row],[Fecha de Finalización]]&gt;0,"Cerrada","En Proceso")</f>
        <v>Cerrada</v>
      </c>
      <c r="M286" s="52">
        <f t="shared" si="12"/>
        <v>6</v>
      </c>
      <c r="N286" s="44" t="s">
        <v>1008</v>
      </c>
      <c r="O286" s="43">
        <f>VLOOKUP(Tabla15[[#This Row],[N° 
Evento]],'Eventos de riesgos'!B:C,2,0)</f>
        <v>2025</v>
      </c>
      <c r="P286" s="43" t="str">
        <f>VLOOKUP(Tabla15[[#This Row],[N° 
Evento]],'Eventos de riesgos'!B:D,3,0)</f>
        <v>Nov</v>
      </c>
      <c r="Q286" s="48">
        <f>VLOOKUP(Tabla15[[#This Row],[N° 
Evento]],'Eventos de riesgos'!B:E,4,0)</f>
        <v>45961.625</v>
      </c>
      <c r="R286" s="48">
        <f>VLOOKUP(Tabla15[[#This Row],[N° 
Evento]],'Eventos de riesgos'!B:F,5,0)</f>
        <v>45967.416666666664</v>
      </c>
      <c r="S286" s="48">
        <f>VLOOKUP(Tabla15[[#This Row],[N° 
Evento]],'Eventos de riesgos'!B:G,6,0)</f>
        <v>45965.625</v>
      </c>
      <c r="T286"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6" s="49">
        <f>VLOOKUP(Tabla15[[#This Row],[N° 
Evento]],'Eventos de riesgos'!B:I,8,0)</f>
        <v>0</v>
      </c>
      <c r="V286" s="49">
        <f>VLOOKUP(Tabla15[[#This Row],[N° 
Evento]],'Eventos de riesgos'!B:J,9,0)</f>
        <v>0</v>
      </c>
      <c r="W286" s="49">
        <f>VLOOKUP(Tabla15[[#This Row],[N° 
Evento]],'Eventos de riesgos'!B:K,10,0)</f>
        <v>0</v>
      </c>
      <c r="X286" s="44" t="str">
        <f>VLOOKUP(Tabla15[[#This Row],[N° 
Evento]],'Eventos de riesgos'!B:L,11,0)</f>
        <v>7 - Ejecución y Administración de Procesos</v>
      </c>
      <c r="Y286" s="44" t="str">
        <f>VLOOKUP(Tabla15[[#This Row],[N° 
Evento]],'Eventos de riesgos'!B:M,12,0)</f>
        <v>Proveedores</v>
      </c>
      <c r="Z286" s="44" t="str">
        <f>VLOOKUP(Tabla15[[#This Row],[N° 
Evento]],'Eventos de riesgos'!B:N,13,0)</f>
        <v>763 - Incumplimiento de las Actividades Contratadas</v>
      </c>
      <c r="AA286" s="44" t="str">
        <f>+VLOOKUP(Tabla15[[#This Row],[N° 
Evento]],'Eventos de riesgos'!$B$1:$AA$87,23,0)</f>
        <v>Error en aplicación de débitos automáticos</v>
      </c>
      <c r="AB286" s="43" t="str">
        <f>VLOOKUP(Tabla15[[#This Row],[N° 
Evento]],'Eventos de riesgos'!B:O,14,0)</f>
        <v>Ninguna</v>
      </c>
      <c r="AC286" s="48">
        <f>VLOOKUP(Tabla15[[#This Row],[N° 
Evento]],'Eventos de riesgos'!B:P,15,0)</f>
        <v>45991.756249999999</v>
      </c>
      <c r="AD286" s="43" t="str">
        <f>VLOOKUP(Tabla15[[#This Row],[N° 
Evento]],'Eventos de riesgos'!B:Q,16,0)</f>
        <v>Varios tipos de crédito</v>
      </c>
      <c r="AE286" s="43" t="str">
        <f>VLOOKUP(Tabla15[[#This Row],[N° 
Evento]],'Eventos de riesgos'!B:R,17,0)</f>
        <v>Ninguno</v>
      </c>
      <c r="AF286" s="45" t="str">
        <f>VLOOKUP(Tabla15[[#This Row],[N° 
Evento]],'Eventos de riesgos'!B:V,21,0)</f>
        <v>Aprobado</v>
      </c>
      <c r="AG286" s="44" t="str">
        <f>VLOOKUP(Tabla15[[#This Row],[N° 
Evento]],'Eventos de riesgos'!B:W,22,0)</f>
        <v>null
27/11/2025 15:38:56: creado
01/12/2025 23:19:42: Actualizado</v>
      </c>
    </row>
    <row r="287" spans="3:33" ht="61" customHeight="1" thickBot="1" x14ac:dyDescent="0.6">
      <c r="C287" s="43" t="str">
        <f>+Tabla15[[#This Row],[N° 
Evento]]&amp;"-"&amp;Tabla15[[#This Row],[N° Tarea]]</f>
        <v>81-10</v>
      </c>
      <c r="D287" s="54">
        <v>81</v>
      </c>
      <c r="E287" s="54">
        <v>10</v>
      </c>
      <c r="F287" s="71" t="s">
        <v>1009</v>
      </c>
      <c r="G287" s="44" t="s">
        <v>1053</v>
      </c>
      <c r="H287" s="44" t="s">
        <v>944</v>
      </c>
      <c r="I287" s="45" t="s">
        <v>91</v>
      </c>
      <c r="J287" s="46">
        <v>46003</v>
      </c>
      <c r="K287" s="46">
        <v>46003</v>
      </c>
      <c r="L287" s="72" t="str">
        <f>IF(Tabla15[[#This Row],[Fecha de Finalización]]&gt;0,"Cerrada","En Proceso")</f>
        <v>Cerrada</v>
      </c>
      <c r="M287" s="52">
        <f t="shared" si="12"/>
        <v>0</v>
      </c>
      <c r="N287" s="44" t="s">
        <v>1013</v>
      </c>
      <c r="O287" s="43">
        <f>VLOOKUP(Tabla15[[#This Row],[N° 
Evento]],'Eventos de riesgos'!B:C,2,0)</f>
        <v>2025</v>
      </c>
      <c r="P287" s="43" t="str">
        <f>VLOOKUP(Tabla15[[#This Row],[N° 
Evento]],'Eventos de riesgos'!B:D,3,0)</f>
        <v>Nov</v>
      </c>
      <c r="Q287" s="48">
        <f>VLOOKUP(Tabla15[[#This Row],[N° 
Evento]],'Eventos de riesgos'!B:E,4,0)</f>
        <v>45961.625</v>
      </c>
      <c r="R287" s="48">
        <f>VLOOKUP(Tabla15[[#This Row],[N° 
Evento]],'Eventos de riesgos'!B:F,5,0)</f>
        <v>45967.416666666664</v>
      </c>
      <c r="S287" s="48">
        <f>VLOOKUP(Tabla15[[#This Row],[N° 
Evento]],'Eventos de riesgos'!B:G,6,0)</f>
        <v>45965.625</v>
      </c>
      <c r="T287"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7" s="49">
        <f>VLOOKUP(Tabla15[[#This Row],[N° 
Evento]],'Eventos de riesgos'!B:I,8,0)</f>
        <v>0</v>
      </c>
      <c r="V287" s="49">
        <f>VLOOKUP(Tabla15[[#This Row],[N° 
Evento]],'Eventos de riesgos'!B:J,9,0)</f>
        <v>0</v>
      </c>
      <c r="W287" s="49">
        <f>VLOOKUP(Tabla15[[#This Row],[N° 
Evento]],'Eventos de riesgos'!B:K,10,0)</f>
        <v>0</v>
      </c>
      <c r="X287" s="44" t="str">
        <f>VLOOKUP(Tabla15[[#This Row],[N° 
Evento]],'Eventos de riesgos'!B:L,11,0)</f>
        <v>7 - Ejecución y Administración de Procesos</v>
      </c>
      <c r="Y287" s="44" t="str">
        <f>VLOOKUP(Tabla15[[#This Row],[N° 
Evento]],'Eventos de riesgos'!B:M,12,0)</f>
        <v>Proveedores</v>
      </c>
      <c r="Z287" s="44" t="str">
        <f>VLOOKUP(Tabla15[[#This Row],[N° 
Evento]],'Eventos de riesgos'!B:N,13,0)</f>
        <v>763 - Incumplimiento de las Actividades Contratadas</v>
      </c>
      <c r="AA287" s="44" t="str">
        <f>+VLOOKUP(Tabla15[[#This Row],[N° 
Evento]],'Eventos de riesgos'!$B$1:$AA$87,23,0)</f>
        <v>Error en aplicación de débitos automáticos</v>
      </c>
      <c r="AB287" s="43" t="str">
        <f>VLOOKUP(Tabla15[[#This Row],[N° 
Evento]],'Eventos de riesgos'!B:O,14,0)</f>
        <v>Ninguna</v>
      </c>
      <c r="AC287" s="48">
        <f>VLOOKUP(Tabla15[[#This Row],[N° 
Evento]],'Eventos de riesgos'!B:P,15,0)</f>
        <v>45991.756249999999</v>
      </c>
      <c r="AD287" s="43" t="str">
        <f>VLOOKUP(Tabla15[[#This Row],[N° 
Evento]],'Eventos de riesgos'!B:Q,16,0)</f>
        <v>Varios tipos de crédito</v>
      </c>
      <c r="AE287" s="43" t="str">
        <f>VLOOKUP(Tabla15[[#This Row],[N° 
Evento]],'Eventos de riesgos'!B:R,17,0)</f>
        <v>Ninguno</v>
      </c>
      <c r="AF287" s="45" t="str">
        <f>VLOOKUP(Tabla15[[#This Row],[N° 
Evento]],'Eventos de riesgos'!B:V,21,0)</f>
        <v>Aprobado</v>
      </c>
      <c r="AG287" s="44" t="str">
        <f>VLOOKUP(Tabla15[[#This Row],[N° 
Evento]],'Eventos de riesgos'!B:W,22,0)</f>
        <v>null
27/11/2025 15:38:56: creado
01/12/2025 23:19:42: Actualizado</v>
      </c>
    </row>
    <row r="288" spans="3:33" ht="61" customHeight="1" thickBot="1" x14ac:dyDescent="0.6">
      <c r="C288" s="43" t="str">
        <f>+Tabla15[[#This Row],[N° 
Evento]]&amp;"-"&amp;Tabla15[[#This Row],[N° Tarea]]</f>
        <v>81-11</v>
      </c>
      <c r="D288" s="54">
        <v>81</v>
      </c>
      <c r="E288" s="54">
        <v>11</v>
      </c>
      <c r="F288" s="71" t="s">
        <v>1010</v>
      </c>
      <c r="G288" s="44" t="s">
        <v>1053</v>
      </c>
      <c r="H288" s="44" t="s">
        <v>944</v>
      </c>
      <c r="I288" s="44" t="s">
        <v>1014</v>
      </c>
      <c r="J288" s="57">
        <v>46003</v>
      </c>
      <c r="K288" s="46">
        <v>46022</v>
      </c>
      <c r="L288" s="72" t="str">
        <f>IF(Tabla15[[#This Row],[Fecha de Finalización]]&gt;0,"Cerrada","En Proceso")</f>
        <v>Cerrada</v>
      </c>
      <c r="M288" s="52">
        <f t="shared" si="12"/>
        <v>19</v>
      </c>
      <c r="N288" s="44"/>
      <c r="O288" s="43">
        <f>VLOOKUP(Tabla15[[#This Row],[N° 
Evento]],'Eventos de riesgos'!B:C,2,0)</f>
        <v>2025</v>
      </c>
      <c r="P288" s="43" t="str">
        <f>VLOOKUP(Tabla15[[#This Row],[N° 
Evento]],'Eventos de riesgos'!B:D,3,0)</f>
        <v>Nov</v>
      </c>
      <c r="Q288" s="48">
        <f>VLOOKUP(Tabla15[[#This Row],[N° 
Evento]],'Eventos de riesgos'!B:E,4,0)</f>
        <v>45961.625</v>
      </c>
      <c r="R288" s="48">
        <f>VLOOKUP(Tabla15[[#This Row],[N° 
Evento]],'Eventos de riesgos'!B:F,5,0)</f>
        <v>45967.416666666664</v>
      </c>
      <c r="S288" s="48">
        <f>VLOOKUP(Tabla15[[#This Row],[N° 
Evento]],'Eventos de riesgos'!B:G,6,0)</f>
        <v>45965.625</v>
      </c>
      <c r="T288"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8" s="49">
        <f>VLOOKUP(Tabla15[[#This Row],[N° 
Evento]],'Eventos de riesgos'!B:I,8,0)</f>
        <v>0</v>
      </c>
      <c r="V288" s="49">
        <f>VLOOKUP(Tabla15[[#This Row],[N° 
Evento]],'Eventos de riesgos'!B:J,9,0)</f>
        <v>0</v>
      </c>
      <c r="W288" s="49">
        <f>VLOOKUP(Tabla15[[#This Row],[N° 
Evento]],'Eventos de riesgos'!B:K,10,0)</f>
        <v>0</v>
      </c>
      <c r="X288" s="44" t="str">
        <f>VLOOKUP(Tabla15[[#This Row],[N° 
Evento]],'Eventos de riesgos'!B:L,11,0)</f>
        <v>7 - Ejecución y Administración de Procesos</v>
      </c>
      <c r="Y288" s="44" t="str">
        <f>VLOOKUP(Tabla15[[#This Row],[N° 
Evento]],'Eventos de riesgos'!B:M,12,0)</f>
        <v>Proveedores</v>
      </c>
      <c r="Z288" s="44" t="str">
        <f>VLOOKUP(Tabla15[[#This Row],[N° 
Evento]],'Eventos de riesgos'!B:N,13,0)</f>
        <v>763 - Incumplimiento de las Actividades Contratadas</v>
      </c>
      <c r="AA288" s="44" t="str">
        <f>+VLOOKUP(Tabla15[[#This Row],[N° 
Evento]],'Eventos de riesgos'!$B$1:$AA$87,23,0)</f>
        <v>Error en aplicación de débitos automáticos</v>
      </c>
      <c r="AB288" s="43" t="str">
        <f>VLOOKUP(Tabla15[[#This Row],[N° 
Evento]],'Eventos de riesgos'!B:O,14,0)</f>
        <v>Ninguna</v>
      </c>
      <c r="AC288" s="48">
        <f>VLOOKUP(Tabla15[[#This Row],[N° 
Evento]],'Eventos de riesgos'!B:P,15,0)</f>
        <v>45991.756249999999</v>
      </c>
      <c r="AD288" s="43" t="str">
        <f>VLOOKUP(Tabla15[[#This Row],[N° 
Evento]],'Eventos de riesgos'!B:Q,16,0)</f>
        <v>Varios tipos de crédito</v>
      </c>
      <c r="AE288" s="43" t="str">
        <f>VLOOKUP(Tabla15[[#This Row],[N° 
Evento]],'Eventos de riesgos'!B:R,17,0)</f>
        <v>Ninguno</v>
      </c>
      <c r="AF288" s="45" t="str">
        <f>VLOOKUP(Tabla15[[#This Row],[N° 
Evento]],'Eventos de riesgos'!B:V,21,0)</f>
        <v>Aprobado</v>
      </c>
      <c r="AG288" s="44" t="str">
        <f>VLOOKUP(Tabla15[[#This Row],[N° 
Evento]],'Eventos de riesgos'!B:W,22,0)</f>
        <v>null
27/11/2025 15:38:56: creado
01/12/2025 23:19:42: Actualizado</v>
      </c>
    </row>
    <row r="289" spans="3:33" ht="61" customHeight="1" thickBot="1" x14ac:dyDescent="0.6">
      <c r="C289" s="54" t="str">
        <f>+Tabla15[[#This Row],[N° 
Evento]]&amp;"-"&amp;Tabla15[[#This Row],[N° Tarea]]</f>
        <v>81-13</v>
      </c>
      <c r="D289" s="54">
        <v>81</v>
      </c>
      <c r="E289" s="54">
        <v>13</v>
      </c>
      <c r="F289" s="71" t="s">
        <v>1011</v>
      </c>
      <c r="G289" s="44" t="s">
        <v>1053</v>
      </c>
      <c r="H289" s="44" t="s">
        <v>944</v>
      </c>
      <c r="I289" s="44" t="s">
        <v>1014</v>
      </c>
      <c r="J289" s="57">
        <v>46003</v>
      </c>
      <c r="K289" s="57">
        <v>46035</v>
      </c>
      <c r="L289" s="73" t="str">
        <f>IF(Tabla15[[#This Row],[Fecha de Finalización]]&gt;0,"Cerrada","En Proceso")</f>
        <v>Cerrada</v>
      </c>
      <c r="M289" s="58">
        <f>+K289-J289</f>
        <v>32</v>
      </c>
      <c r="N289" s="59" t="s">
        <v>1035</v>
      </c>
      <c r="O289" s="54">
        <f>VLOOKUP(Tabla15[[#This Row],[N° 
Evento]],'Eventos de riesgos'!B:C,2,0)</f>
        <v>2025</v>
      </c>
      <c r="P289" s="54" t="str">
        <f>VLOOKUP(Tabla15[[#This Row],[N° 
Evento]],'Eventos de riesgos'!B:D,3,0)</f>
        <v>Nov</v>
      </c>
      <c r="Q289" s="60">
        <f>VLOOKUP(Tabla15[[#This Row],[N° 
Evento]],'Eventos de riesgos'!B:E,4,0)</f>
        <v>45961.625</v>
      </c>
      <c r="R289" s="60">
        <f>VLOOKUP(Tabla15[[#This Row],[N° 
Evento]],'Eventos de riesgos'!B:F,5,0)</f>
        <v>45967.416666666664</v>
      </c>
      <c r="S289" s="60">
        <f>VLOOKUP(Tabla15[[#This Row],[N° 
Evento]],'Eventos de riesgos'!B:G,6,0)</f>
        <v>45965.625</v>
      </c>
      <c r="T289" s="63"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            Programado para cobrar: $239 millones
•            Reportado como cobrado: $217 millones
Este valor llamó la atención porque normalmente se cobran cerca de $100 millones, no más del doble como ocurrió esta vez.
Se revisó manualmente algunos asociados y encontró algo incoherente:
•            Personas con más de 60 días de mora aparecían con débito “exitoso”.
•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            Que el banco había tenido una falla técnica.
•            Que esos débitos no debían considerarse válidos.
•            Que enviaría el detalle correcto al día siguiente.
Debido a que la información enviada por el banco no fue clara, los débitos reportados como exitosos se aplicaron en Febor el 6 de noviembre.
Ese mismo día se aclaró la situación y se descubrió:
•            De los $217 millones que habían entrado,
•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            El 6 de noviembre Febor cargó nuevamente los débitos reales de los asociados con pagos pendientes.
•            El 7 de noviembre, se aplicó esos débitos con retrofecha,
para evitar que los asociados aparecieran en mora o generaran intereses.
•            A los asociados a quienes no se les efectuó el débito, se les enviará un mensaje solicitando mantener los recursos disponibles para realizar el cobro. A estos asociados no se les generarán intereses de mora por el periodo comprendido entre el 1 y el 10.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       Activar el token el 12 de diciembre.
·       Solicitar la capacitación correspondiente.
·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Causas
La causa del incidente se originó en una falla técnica presentada en los sistemas de Coopcentral, la cual generó reportes incorrectos de débitos como “exitosos” sin que estos hubieran sido aplicados realmente a las cuentas de los asociados.
Impactos
Impactos financieros: El error generó un registro inflado del recaudo y obligó al reverso de $204 millones, afectando temporalmente el saldo operativo y requiriendo ajustes contables adicionales.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
Acciones
Correctivas
Validación del movimiento bancario para verificar la correspondencia entre los valores reportados y los saldos reales.
Solicitud formal de aclaración al Banco Coopcentral y a Contabilidad sobre el origen y alcance del error.
Mensaje en llamada desde la Gerencia ofreciendo las disculpas del caso.
Seguimiento a la recepción del mensaje enviado por la Gerencia; en el comité del 7 de noviembre se reportó el volumen de personas que atendieron y escucharon el mensaje.
Reunión entre la Gerencia de Febor y Gabriel Espinosa para socializar los impactos y formalizar las quejas frente al servicio de Coopcentral.
Nuevos débitos bancarios cargados el 6 de noviembre para los asociados con pagos pendientes.
Envío de mensaje a los asociados sin débito, solicitando mantener los recursos disponibles y asegurando que no se generarán intereses de mora en los primeros 10 días.
Aplicación de los débitos el 7 de noviembre con retrofecha, evitando el cobro de intereses de mora.
Queja formal dirigida a Coopcentral solicitando un informe técnico detallado sobre lo ocurrido y sus causas.
Establecimiento de alertas de monitoreo en el área de Operaciones como medida interna para la identificación temprana de comportamientos inusuales.
Activan Plan B con Davivienda, que contempla la solicitud del token, la realización de la capacitación correspondiente y la ejecución del primer débito antes del 20 de diciembre de 2025 según lo acordado en la reunión del 12 de diciembre 2025.
Gestionar la activación del servicio de débito con Bancolombia según lo acordado en la reunión del 12 de diciembre 2025.
Promover el uso de Bre-B como medio de pago. Ajustar la información publicada sobre los canales y medios de pago donde se incluirá la alternativa de uso de Bre-B 
Preventivas
Activar el plan B: implementar Davivienda y Credicorp Capital como entidades de respaldo para el proceso de débitos. 
Realizar hasta 10 pruebas del proceso para comparar resultados entre bancos, validar tiempos de entrega y detectar diferencias en la aplicación de los débitos. Presentar los resultados a la Gerencia.</v>
      </c>
      <c r="U289" s="61">
        <f>VLOOKUP(Tabla15[[#This Row],[N° 
Evento]],'Eventos de riesgos'!B:I,8,0)</f>
        <v>0</v>
      </c>
      <c r="V289" s="61">
        <f>VLOOKUP(Tabla15[[#This Row],[N° 
Evento]],'Eventos de riesgos'!B:J,9,0)</f>
        <v>0</v>
      </c>
      <c r="W289" s="61">
        <f>VLOOKUP(Tabla15[[#This Row],[N° 
Evento]],'Eventos de riesgos'!B:K,10,0)</f>
        <v>0</v>
      </c>
      <c r="X289" s="59" t="str">
        <f>VLOOKUP(Tabla15[[#This Row],[N° 
Evento]],'Eventos de riesgos'!B:L,11,0)</f>
        <v>7 - Ejecución y Administración de Procesos</v>
      </c>
      <c r="Y289" s="59" t="str">
        <f>VLOOKUP(Tabla15[[#This Row],[N° 
Evento]],'Eventos de riesgos'!B:M,12,0)</f>
        <v>Proveedores</v>
      </c>
      <c r="Z289" s="59" t="str">
        <f>VLOOKUP(Tabla15[[#This Row],[N° 
Evento]],'Eventos de riesgos'!B:N,13,0)</f>
        <v>763 - Incumplimiento de las Actividades Contratadas</v>
      </c>
      <c r="AA289" s="59" t="str">
        <f>+VLOOKUP(Tabla15[[#This Row],[N° 
Evento]],'Eventos de riesgos'!$B$1:$AA$87,23,0)</f>
        <v>Error en aplicación de débitos automáticos</v>
      </c>
      <c r="AB289" s="54" t="str">
        <f>VLOOKUP(Tabla15[[#This Row],[N° 
Evento]],'Eventos de riesgos'!B:O,14,0)</f>
        <v>Ninguna</v>
      </c>
      <c r="AC289" s="60">
        <f>VLOOKUP(Tabla15[[#This Row],[N° 
Evento]],'Eventos de riesgos'!B:P,15,0)</f>
        <v>45991.756249999999</v>
      </c>
      <c r="AD289" s="54" t="str">
        <f>VLOOKUP(Tabla15[[#This Row],[N° 
Evento]],'Eventos de riesgos'!B:Q,16,0)</f>
        <v>Varios tipos de crédito</v>
      </c>
      <c r="AE289" s="54" t="str">
        <f>VLOOKUP(Tabla15[[#This Row],[N° 
Evento]],'Eventos de riesgos'!B:R,17,0)</f>
        <v>Ninguno</v>
      </c>
      <c r="AF289" s="56" t="str">
        <f>VLOOKUP(Tabla15[[#This Row],[N° 
Evento]],'Eventos de riesgos'!B:V,21,0)</f>
        <v>Aprobado</v>
      </c>
      <c r="AG289" s="59" t="str">
        <f>VLOOKUP(Tabla15[[#This Row],[N° 
Evento]],'Eventos de riesgos'!B:W,22,0)</f>
        <v>null
27/11/2025 15:38:56: creado
01/12/2025 23:19:42: Actualizado</v>
      </c>
    </row>
    <row r="290" spans="3:33" ht="46.5" customHeight="1" thickBot="1" x14ac:dyDescent="0.6">
      <c r="C290" s="54" t="str">
        <f>+Tabla15[[#This Row],[N° 
Evento]]&amp;"-"&amp;Tabla15[[#This Row],[N° Tarea]]</f>
        <v>82-1</v>
      </c>
      <c r="D290" s="54">
        <v>82</v>
      </c>
      <c r="E290" s="54">
        <v>1</v>
      </c>
      <c r="F290" s="70" t="s">
        <v>946</v>
      </c>
      <c r="G290" s="44" t="s">
        <v>1052</v>
      </c>
      <c r="H290" s="59" t="s">
        <v>842</v>
      </c>
      <c r="I290" s="59" t="s">
        <v>952</v>
      </c>
      <c r="J290" s="57">
        <v>45965</v>
      </c>
      <c r="K290" s="57">
        <v>45965</v>
      </c>
      <c r="L290" s="73" t="str">
        <f>IF(Tabla15[[#This Row],[Fecha de Finalización]]&gt;0,"Cerrada","En Proceso")</f>
        <v>Cerrada</v>
      </c>
      <c r="M290" s="58">
        <f>+K290-J290</f>
        <v>0</v>
      </c>
      <c r="N290" s="59"/>
      <c r="O290" s="54">
        <f>VLOOKUP(Tabla15[[#This Row],[N° 
Evento]],'Eventos de riesgos'!B:C,2,0)</f>
        <v>2025</v>
      </c>
      <c r="P290" s="54" t="str">
        <f>VLOOKUP(Tabla15[[#This Row],[N° 
Evento]],'Eventos de riesgos'!B:D,3,0)</f>
        <v>Nov</v>
      </c>
      <c r="Q290" s="60">
        <f>VLOOKUP(Tabla15[[#This Row],[N° 
Evento]],'Eventos de riesgos'!B:E,4,0)</f>
        <v>45967.708333333336</v>
      </c>
      <c r="R290" s="60">
        <f>VLOOKUP(Tabla15[[#This Row],[N° 
Evento]],'Eventos de riesgos'!B:F,5,0)</f>
        <v>45968.729166666664</v>
      </c>
      <c r="S290" s="60">
        <f>VLOOKUP(Tabla15[[#This Row],[N° 
Evento]],'Eventos de riesgos'!B:G,6,0)</f>
        <v>45967.729166666664</v>
      </c>
      <c r="T290" s="63"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0" s="61">
        <f>VLOOKUP(Tabla15[[#This Row],[N° 
Evento]],'Eventos de riesgos'!B:I,8,0)</f>
        <v>0</v>
      </c>
      <c r="V290" s="61">
        <f>VLOOKUP(Tabla15[[#This Row],[N° 
Evento]],'Eventos de riesgos'!B:J,9,0)</f>
        <v>0</v>
      </c>
      <c r="W290" s="61">
        <f>VLOOKUP(Tabla15[[#This Row],[N° 
Evento]],'Eventos de riesgos'!B:K,10,0)</f>
        <v>0</v>
      </c>
      <c r="X290" s="59" t="str">
        <f>VLOOKUP(Tabla15[[#This Row],[N° 
Evento]],'Eventos de riesgos'!B:L,11,0)</f>
        <v>7 - Ejecución y Administración de Procesos</v>
      </c>
      <c r="Y290" s="59" t="str">
        <f>VLOOKUP(Tabla15[[#This Row],[N° 
Evento]],'Eventos de riesgos'!B:M,12,0)</f>
        <v>71 - Recepción, Ejecución y Mantenimiento de Operaciones</v>
      </c>
      <c r="Z290" s="59" t="str">
        <f>VLOOKUP(Tabla15[[#This Row],[N° 
Evento]],'Eventos de riesgos'!B:N,13,0)</f>
        <v>712 - Errores en Digitación de Datos, Mantenimiento o Descarga</v>
      </c>
      <c r="AA290" s="59" t="str">
        <f>+VLOOKUP(Tabla15[[#This Row],[N° 
Evento]],'Eventos de riesgos'!$B$1:$AA$87,23,0)</f>
        <v>Falla en pago de compensaciones</v>
      </c>
      <c r="AB290" s="54" t="str">
        <f>VLOOKUP(Tabla15[[#This Row],[N° 
Evento]],'Eventos de riesgos'!B:O,14,0)</f>
        <v>Ninguna</v>
      </c>
      <c r="AC290" s="60">
        <f>VLOOKUP(Tabla15[[#This Row],[N° 
Evento]],'Eventos de riesgos'!B:P,15,0)</f>
        <v>45991.708333333336</v>
      </c>
      <c r="AD290" s="54" t="str">
        <f>VLOOKUP(Tabla15[[#This Row],[N° 
Evento]],'Eventos de riesgos'!B:Q,16,0)</f>
        <v>Ahorros voluntarios</v>
      </c>
      <c r="AE290" s="54" t="str">
        <f>VLOOKUP(Tabla15[[#This Row],[N° 
Evento]],'Eventos de riesgos'!B:R,17,0)</f>
        <v>Ninguno</v>
      </c>
      <c r="AF290" s="56" t="str">
        <f>VLOOKUP(Tabla15[[#This Row],[N° 
Evento]],'Eventos de riesgos'!B:V,21,0)</f>
        <v>Aprobado</v>
      </c>
      <c r="AG290" s="59" t="str">
        <f>VLOOKUP(Tabla15[[#This Row],[N° 
Evento]],'Eventos de riesgos'!B:W,22,0)</f>
        <v>null
27/11/2025 15:39:11: creado
07/12/2025 12:18:10: Actualizado</v>
      </c>
    </row>
    <row r="291" spans="3:33" ht="46.5" customHeight="1" x14ac:dyDescent="0.55000000000000004">
      <c r="C291" s="43" t="str">
        <f>+Tabla15[[#This Row],[N° 
Evento]]&amp;"-"&amp;Tabla15[[#This Row],[N° Tarea]]</f>
        <v>82-2</v>
      </c>
      <c r="D291" s="54">
        <v>82</v>
      </c>
      <c r="E291" s="54">
        <v>2</v>
      </c>
      <c r="F291" s="51" t="s">
        <v>947</v>
      </c>
      <c r="G291" s="44" t="s">
        <v>1052</v>
      </c>
      <c r="H291" s="59" t="s">
        <v>842</v>
      </c>
      <c r="I291" s="59" t="s">
        <v>952</v>
      </c>
      <c r="J291" s="57">
        <v>45965</v>
      </c>
      <c r="K291" s="57">
        <v>45965</v>
      </c>
      <c r="L291" s="72" t="str">
        <f>IF(Tabla15[[#This Row],[Fecha de Finalización]]&gt;0,"Cerrada","En Proceso")</f>
        <v>Cerrada</v>
      </c>
      <c r="M291" s="52">
        <f t="shared" ref="M291:M296" si="13">+K291-J291</f>
        <v>0</v>
      </c>
      <c r="N291" s="44"/>
      <c r="O291" s="43">
        <f>VLOOKUP(Tabla15[[#This Row],[N° 
Evento]],'Eventos de riesgos'!B:C,2,0)</f>
        <v>2025</v>
      </c>
      <c r="P291" s="43" t="str">
        <f>VLOOKUP(Tabla15[[#This Row],[N° 
Evento]],'Eventos de riesgos'!B:D,3,0)</f>
        <v>Nov</v>
      </c>
      <c r="Q291" s="48">
        <f>VLOOKUP(Tabla15[[#This Row],[N° 
Evento]],'Eventos de riesgos'!B:E,4,0)</f>
        <v>45967.708333333336</v>
      </c>
      <c r="R291" s="48">
        <f>VLOOKUP(Tabla15[[#This Row],[N° 
Evento]],'Eventos de riesgos'!B:F,5,0)</f>
        <v>45968.729166666664</v>
      </c>
      <c r="S291" s="48">
        <f>VLOOKUP(Tabla15[[#This Row],[N° 
Evento]],'Eventos de riesgos'!B:G,6,0)</f>
        <v>45967.729166666664</v>
      </c>
      <c r="T291"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1" s="49">
        <f>VLOOKUP(Tabla15[[#This Row],[N° 
Evento]],'Eventos de riesgos'!B:I,8,0)</f>
        <v>0</v>
      </c>
      <c r="V291" s="49">
        <f>VLOOKUP(Tabla15[[#This Row],[N° 
Evento]],'Eventos de riesgos'!B:J,9,0)</f>
        <v>0</v>
      </c>
      <c r="W291" s="49">
        <f>VLOOKUP(Tabla15[[#This Row],[N° 
Evento]],'Eventos de riesgos'!B:K,10,0)</f>
        <v>0</v>
      </c>
      <c r="X291" s="44" t="str">
        <f>VLOOKUP(Tabla15[[#This Row],[N° 
Evento]],'Eventos de riesgos'!B:L,11,0)</f>
        <v>7 - Ejecución y Administración de Procesos</v>
      </c>
      <c r="Y291" s="44" t="str">
        <f>VLOOKUP(Tabla15[[#This Row],[N° 
Evento]],'Eventos de riesgos'!B:M,12,0)</f>
        <v>71 - Recepción, Ejecución y Mantenimiento de Operaciones</v>
      </c>
      <c r="Z291" s="44" t="str">
        <f>VLOOKUP(Tabla15[[#This Row],[N° 
Evento]],'Eventos de riesgos'!B:N,13,0)</f>
        <v>712 - Errores en Digitación de Datos, Mantenimiento o Descarga</v>
      </c>
      <c r="AA291" s="44" t="str">
        <f>+VLOOKUP(Tabla15[[#This Row],[N° 
Evento]],'Eventos de riesgos'!$B$1:$AA$87,23,0)</f>
        <v>Falla en pago de compensaciones</v>
      </c>
      <c r="AB291" s="43" t="str">
        <f>VLOOKUP(Tabla15[[#This Row],[N° 
Evento]],'Eventos de riesgos'!B:O,14,0)</f>
        <v>Ninguna</v>
      </c>
      <c r="AC291" s="48">
        <f>VLOOKUP(Tabla15[[#This Row],[N° 
Evento]],'Eventos de riesgos'!B:P,15,0)</f>
        <v>45991.708333333336</v>
      </c>
      <c r="AD291" s="43" t="str">
        <f>VLOOKUP(Tabla15[[#This Row],[N° 
Evento]],'Eventos de riesgos'!B:Q,16,0)</f>
        <v>Ahorros voluntarios</v>
      </c>
      <c r="AE291" s="43" t="str">
        <f>VLOOKUP(Tabla15[[#This Row],[N° 
Evento]],'Eventos de riesgos'!B:R,17,0)</f>
        <v>Ninguno</v>
      </c>
      <c r="AF291" s="45" t="str">
        <f>VLOOKUP(Tabla15[[#This Row],[N° 
Evento]],'Eventos de riesgos'!B:V,21,0)</f>
        <v>Aprobado</v>
      </c>
      <c r="AG291" s="44" t="str">
        <f>VLOOKUP(Tabla15[[#This Row],[N° 
Evento]],'Eventos de riesgos'!B:W,22,0)</f>
        <v>null
27/11/2025 15:39:11: creado
07/12/2025 12:18:10: Actualizado</v>
      </c>
    </row>
    <row r="292" spans="3:33" ht="46.5" customHeight="1" x14ac:dyDescent="0.55000000000000004">
      <c r="C292" s="43" t="str">
        <f>+Tabla15[[#This Row],[N° 
Evento]]&amp;"-"&amp;Tabla15[[#This Row],[N° Tarea]]</f>
        <v>82-3</v>
      </c>
      <c r="D292" s="54">
        <v>82</v>
      </c>
      <c r="E292" s="54">
        <v>3</v>
      </c>
      <c r="F292" s="51" t="s">
        <v>948</v>
      </c>
      <c r="G292" s="44" t="s">
        <v>1053</v>
      </c>
      <c r="H292" s="59" t="s">
        <v>842</v>
      </c>
      <c r="I292" s="59" t="s">
        <v>952</v>
      </c>
      <c r="J292" s="57">
        <v>45965</v>
      </c>
      <c r="K292" s="57">
        <v>45969</v>
      </c>
      <c r="L292" s="72" t="str">
        <f>IF(Tabla15[[#This Row],[Fecha de Finalización]]&gt;0,"Cerrada","En Proceso")</f>
        <v>Cerrada</v>
      </c>
      <c r="M292" s="52">
        <f t="shared" si="13"/>
        <v>4</v>
      </c>
      <c r="N292" s="44"/>
      <c r="O292" s="43">
        <f>VLOOKUP(Tabla15[[#This Row],[N° 
Evento]],'Eventos de riesgos'!B:C,2,0)</f>
        <v>2025</v>
      </c>
      <c r="P292" s="43" t="str">
        <f>VLOOKUP(Tabla15[[#This Row],[N° 
Evento]],'Eventos de riesgos'!B:D,3,0)</f>
        <v>Nov</v>
      </c>
      <c r="Q292" s="48">
        <f>VLOOKUP(Tabla15[[#This Row],[N° 
Evento]],'Eventos de riesgos'!B:E,4,0)</f>
        <v>45967.708333333336</v>
      </c>
      <c r="R292" s="48">
        <f>VLOOKUP(Tabla15[[#This Row],[N° 
Evento]],'Eventos de riesgos'!B:F,5,0)</f>
        <v>45968.729166666664</v>
      </c>
      <c r="S292" s="48">
        <f>VLOOKUP(Tabla15[[#This Row],[N° 
Evento]],'Eventos de riesgos'!B:G,6,0)</f>
        <v>45967.729166666664</v>
      </c>
      <c r="T292"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2" s="49">
        <f>VLOOKUP(Tabla15[[#This Row],[N° 
Evento]],'Eventos de riesgos'!B:I,8,0)</f>
        <v>0</v>
      </c>
      <c r="V292" s="49">
        <f>VLOOKUP(Tabla15[[#This Row],[N° 
Evento]],'Eventos de riesgos'!B:J,9,0)</f>
        <v>0</v>
      </c>
      <c r="W292" s="49">
        <f>VLOOKUP(Tabla15[[#This Row],[N° 
Evento]],'Eventos de riesgos'!B:K,10,0)</f>
        <v>0</v>
      </c>
      <c r="X292" s="44" t="str">
        <f>VLOOKUP(Tabla15[[#This Row],[N° 
Evento]],'Eventos de riesgos'!B:L,11,0)</f>
        <v>7 - Ejecución y Administración de Procesos</v>
      </c>
      <c r="Y292" s="44" t="str">
        <f>VLOOKUP(Tabla15[[#This Row],[N° 
Evento]],'Eventos de riesgos'!B:M,12,0)</f>
        <v>71 - Recepción, Ejecución y Mantenimiento de Operaciones</v>
      </c>
      <c r="Z292" s="44" t="str">
        <f>VLOOKUP(Tabla15[[#This Row],[N° 
Evento]],'Eventos de riesgos'!B:N,13,0)</f>
        <v>712 - Errores en Digitación de Datos, Mantenimiento o Descarga</v>
      </c>
      <c r="AA292" s="44" t="str">
        <f>+VLOOKUP(Tabla15[[#This Row],[N° 
Evento]],'Eventos de riesgos'!$B$1:$AA$87,23,0)</f>
        <v>Falla en pago de compensaciones</v>
      </c>
      <c r="AB292" s="43" t="str">
        <f>VLOOKUP(Tabla15[[#This Row],[N° 
Evento]],'Eventos de riesgos'!B:O,14,0)</f>
        <v>Ninguna</v>
      </c>
      <c r="AC292" s="48">
        <f>VLOOKUP(Tabla15[[#This Row],[N° 
Evento]],'Eventos de riesgos'!B:P,15,0)</f>
        <v>45991.708333333336</v>
      </c>
      <c r="AD292" s="43" t="str">
        <f>VLOOKUP(Tabla15[[#This Row],[N° 
Evento]],'Eventos de riesgos'!B:Q,16,0)</f>
        <v>Ahorros voluntarios</v>
      </c>
      <c r="AE292" s="43" t="str">
        <f>VLOOKUP(Tabla15[[#This Row],[N° 
Evento]],'Eventos de riesgos'!B:R,17,0)</f>
        <v>Ninguno</v>
      </c>
      <c r="AF292" s="45" t="str">
        <f>VLOOKUP(Tabla15[[#This Row],[N° 
Evento]],'Eventos de riesgos'!B:V,21,0)</f>
        <v>Aprobado</v>
      </c>
      <c r="AG292" s="44" t="str">
        <f>VLOOKUP(Tabla15[[#This Row],[N° 
Evento]],'Eventos de riesgos'!B:W,22,0)</f>
        <v>null
27/11/2025 15:39:11: creado
07/12/2025 12:18:10: Actualizado</v>
      </c>
    </row>
    <row r="293" spans="3:33" ht="46.5" customHeight="1" x14ac:dyDescent="0.55000000000000004">
      <c r="C293" s="43" t="str">
        <f>+Tabla15[[#This Row],[N° 
Evento]]&amp;"-"&amp;Tabla15[[#This Row],[N° Tarea]]</f>
        <v>82-4</v>
      </c>
      <c r="D293" s="54">
        <v>82</v>
      </c>
      <c r="E293" s="54">
        <v>4</v>
      </c>
      <c r="F293" s="51" t="s">
        <v>949</v>
      </c>
      <c r="G293" s="44" t="s">
        <v>1052</v>
      </c>
      <c r="H293" s="44" t="s">
        <v>954</v>
      </c>
      <c r="I293" s="59" t="s">
        <v>91</v>
      </c>
      <c r="J293" s="57">
        <v>45965</v>
      </c>
      <c r="K293" s="57">
        <v>45971</v>
      </c>
      <c r="L293" s="72" t="str">
        <f>IF(Tabla15[[#This Row],[Fecha de Finalización]]&gt;0,"Cerrada","En Proceso")</f>
        <v>Cerrada</v>
      </c>
      <c r="M293" s="52">
        <f t="shared" si="13"/>
        <v>6</v>
      </c>
      <c r="N293" s="44" t="s">
        <v>953</v>
      </c>
      <c r="O293" s="43">
        <f>VLOOKUP(Tabla15[[#This Row],[N° 
Evento]],'Eventos de riesgos'!B:C,2,0)</f>
        <v>2025</v>
      </c>
      <c r="P293" s="43" t="str">
        <f>VLOOKUP(Tabla15[[#This Row],[N° 
Evento]],'Eventos de riesgos'!B:D,3,0)</f>
        <v>Nov</v>
      </c>
      <c r="Q293" s="48">
        <f>VLOOKUP(Tabla15[[#This Row],[N° 
Evento]],'Eventos de riesgos'!B:E,4,0)</f>
        <v>45967.708333333336</v>
      </c>
      <c r="R293" s="48">
        <f>VLOOKUP(Tabla15[[#This Row],[N° 
Evento]],'Eventos de riesgos'!B:F,5,0)</f>
        <v>45968.729166666664</v>
      </c>
      <c r="S293" s="48">
        <f>VLOOKUP(Tabla15[[#This Row],[N° 
Evento]],'Eventos de riesgos'!B:G,6,0)</f>
        <v>45967.729166666664</v>
      </c>
      <c r="T293"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3" s="49">
        <f>VLOOKUP(Tabla15[[#This Row],[N° 
Evento]],'Eventos de riesgos'!B:I,8,0)</f>
        <v>0</v>
      </c>
      <c r="V293" s="49">
        <f>VLOOKUP(Tabla15[[#This Row],[N° 
Evento]],'Eventos de riesgos'!B:J,9,0)</f>
        <v>0</v>
      </c>
      <c r="W293" s="49">
        <f>VLOOKUP(Tabla15[[#This Row],[N° 
Evento]],'Eventos de riesgos'!B:K,10,0)</f>
        <v>0</v>
      </c>
      <c r="X293" s="44" t="str">
        <f>VLOOKUP(Tabla15[[#This Row],[N° 
Evento]],'Eventos de riesgos'!B:L,11,0)</f>
        <v>7 - Ejecución y Administración de Procesos</v>
      </c>
      <c r="Y293" s="44" t="str">
        <f>VLOOKUP(Tabla15[[#This Row],[N° 
Evento]],'Eventos de riesgos'!B:M,12,0)</f>
        <v>71 - Recepción, Ejecución y Mantenimiento de Operaciones</v>
      </c>
      <c r="Z293" s="44" t="str">
        <f>VLOOKUP(Tabla15[[#This Row],[N° 
Evento]],'Eventos de riesgos'!B:N,13,0)</f>
        <v>712 - Errores en Digitación de Datos, Mantenimiento o Descarga</v>
      </c>
      <c r="AA293" s="44" t="str">
        <f>+VLOOKUP(Tabla15[[#This Row],[N° 
Evento]],'Eventos de riesgos'!$B$1:$AA$87,23,0)</f>
        <v>Falla en pago de compensaciones</v>
      </c>
      <c r="AB293" s="43" t="str">
        <f>VLOOKUP(Tabla15[[#This Row],[N° 
Evento]],'Eventos de riesgos'!B:O,14,0)</f>
        <v>Ninguna</v>
      </c>
      <c r="AC293" s="48">
        <f>VLOOKUP(Tabla15[[#This Row],[N° 
Evento]],'Eventos de riesgos'!B:P,15,0)</f>
        <v>45991.708333333336</v>
      </c>
      <c r="AD293" s="43" t="str">
        <f>VLOOKUP(Tabla15[[#This Row],[N° 
Evento]],'Eventos de riesgos'!B:Q,16,0)</f>
        <v>Ahorros voluntarios</v>
      </c>
      <c r="AE293" s="43" t="str">
        <f>VLOOKUP(Tabla15[[#This Row],[N° 
Evento]],'Eventos de riesgos'!B:R,17,0)</f>
        <v>Ninguno</v>
      </c>
      <c r="AF293" s="45" t="str">
        <f>VLOOKUP(Tabla15[[#This Row],[N° 
Evento]],'Eventos de riesgos'!B:V,21,0)</f>
        <v>Aprobado</v>
      </c>
      <c r="AG293" s="44" t="str">
        <f>VLOOKUP(Tabla15[[#This Row],[N° 
Evento]],'Eventos de riesgos'!B:W,22,0)</f>
        <v>null
27/11/2025 15:39:11: creado
07/12/2025 12:18:10: Actualizado</v>
      </c>
    </row>
    <row r="294" spans="3:33" ht="46.5" customHeight="1" x14ac:dyDescent="0.55000000000000004">
      <c r="C294" s="43" t="str">
        <f>+Tabla15[[#This Row],[N° 
Evento]]&amp;"-"&amp;Tabla15[[#This Row],[N° Tarea]]</f>
        <v>82-5</v>
      </c>
      <c r="D294" s="54">
        <v>82</v>
      </c>
      <c r="E294" s="54">
        <v>5</v>
      </c>
      <c r="F294" s="51" t="s">
        <v>950</v>
      </c>
      <c r="G294" s="44" t="s">
        <v>1052</v>
      </c>
      <c r="H294" s="44" t="s">
        <v>215</v>
      </c>
      <c r="I294" s="59" t="s">
        <v>91</v>
      </c>
      <c r="J294" s="57">
        <v>45965</v>
      </c>
      <c r="K294" s="57">
        <v>45968</v>
      </c>
      <c r="L294" s="72" t="str">
        <f>IF(Tabla15[[#This Row],[Fecha de Finalización]]&gt;0,"Cerrada","En Proceso")</f>
        <v>Cerrada</v>
      </c>
      <c r="M294" s="52">
        <f t="shared" si="13"/>
        <v>3</v>
      </c>
      <c r="N294" s="44"/>
      <c r="O294" s="43">
        <f>VLOOKUP(Tabla15[[#This Row],[N° 
Evento]],'Eventos de riesgos'!B:C,2,0)</f>
        <v>2025</v>
      </c>
      <c r="P294" s="43" t="str">
        <f>VLOOKUP(Tabla15[[#This Row],[N° 
Evento]],'Eventos de riesgos'!B:D,3,0)</f>
        <v>Nov</v>
      </c>
      <c r="Q294" s="48">
        <f>VLOOKUP(Tabla15[[#This Row],[N° 
Evento]],'Eventos de riesgos'!B:E,4,0)</f>
        <v>45967.708333333336</v>
      </c>
      <c r="R294" s="48">
        <f>VLOOKUP(Tabla15[[#This Row],[N° 
Evento]],'Eventos de riesgos'!B:F,5,0)</f>
        <v>45968.729166666664</v>
      </c>
      <c r="S294" s="48">
        <f>VLOOKUP(Tabla15[[#This Row],[N° 
Evento]],'Eventos de riesgos'!B:G,6,0)</f>
        <v>45967.729166666664</v>
      </c>
      <c r="T294"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4" s="49">
        <f>VLOOKUP(Tabla15[[#This Row],[N° 
Evento]],'Eventos de riesgos'!B:I,8,0)</f>
        <v>0</v>
      </c>
      <c r="V294" s="49">
        <f>VLOOKUP(Tabla15[[#This Row],[N° 
Evento]],'Eventos de riesgos'!B:J,9,0)</f>
        <v>0</v>
      </c>
      <c r="W294" s="49">
        <f>VLOOKUP(Tabla15[[#This Row],[N° 
Evento]],'Eventos de riesgos'!B:K,10,0)</f>
        <v>0</v>
      </c>
      <c r="X294" s="44" t="str">
        <f>VLOOKUP(Tabla15[[#This Row],[N° 
Evento]],'Eventos de riesgos'!B:L,11,0)</f>
        <v>7 - Ejecución y Administración de Procesos</v>
      </c>
      <c r="Y294" s="44" t="str">
        <f>VLOOKUP(Tabla15[[#This Row],[N° 
Evento]],'Eventos de riesgos'!B:M,12,0)</f>
        <v>71 - Recepción, Ejecución y Mantenimiento de Operaciones</v>
      </c>
      <c r="Z294" s="44" t="str">
        <f>VLOOKUP(Tabla15[[#This Row],[N° 
Evento]],'Eventos de riesgos'!B:N,13,0)</f>
        <v>712 - Errores en Digitación de Datos, Mantenimiento o Descarga</v>
      </c>
      <c r="AA294" s="44" t="str">
        <f>+VLOOKUP(Tabla15[[#This Row],[N° 
Evento]],'Eventos de riesgos'!$B$1:$AA$87,23,0)</f>
        <v>Falla en pago de compensaciones</v>
      </c>
      <c r="AB294" s="43" t="str">
        <f>VLOOKUP(Tabla15[[#This Row],[N° 
Evento]],'Eventos de riesgos'!B:O,14,0)</f>
        <v>Ninguna</v>
      </c>
      <c r="AC294" s="48">
        <f>VLOOKUP(Tabla15[[#This Row],[N° 
Evento]],'Eventos de riesgos'!B:P,15,0)</f>
        <v>45991.708333333336</v>
      </c>
      <c r="AD294" s="43" t="str">
        <f>VLOOKUP(Tabla15[[#This Row],[N° 
Evento]],'Eventos de riesgos'!B:Q,16,0)</f>
        <v>Ahorros voluntarios</v>
      </c>
      <c r="AE294" s="43" t="str">
        <f>VLOOKUP(Tabla15[[#This Row],[N° 
Evento]],'Eventos de riesgos'!B:R,17,0)</f>
        <v>Ninguno</v>
      </c>
      <c r="AF294" s="45" t="str">
        <f>VLOOKUP(Tabla15[[#This Row],[N° 
Evento]],'Eventos de riesgos'!B:V,21,0)</f>
        <v>Aprobado</v>
      </c>
      <c r="AG294" s="44" t="str">
        <f>VLOOKUP(Tabla15[[#This Row],[N° 
Evento]],'Eventos de riesgos'!B:W,22,0)</f>
        <v>null
27/11/2025 15:39:11: creado
07/12/2025 12:18:10: Actualizado</v>
      </c>
    </row>
    <row r="295" spans="3:33" ht="79" customHeight="1" x14ac:dyDescent="0.55000000000000004">
      <c r="C295" s="43" t="str">
        <f>+Tabla15[[#This Row],[N° 
Evento]]&amp;"-"&amp;Tabla15[[#This Row],[N° Tarea]]</f>
        <v>82-6</v>
      </c>
      <c r="D295" s="54">
        <v>82</v>
      </c>
      <c r="E295" s="54">
        <v>6</v>
      </c>
      <c r="F295" s="51" t="s">
        <v>951</v>
      </c>
      <c r="G295" s="44" t="s">
        <v>1052</v>
      </c>
      <c r="H295" s="44" t="s">
        <v>955</v>
      </c>
      <c r="I295" s="44" t="s">
        <v>956</v>
      </c>
      <c r="J295" s="57">
        <v>45965</v>
      </c>
      <c r="K295" s="46">
        <v>46022</v>
      </c>
      <c r="L295" s="72" t="str">
        <f>IF(Tabla15[[#This Row],[Fecha de Finalización]]&gt;0,"Cerrada","En Proceso")</f>
        <v>Cerrada</v>
      </c>
      <c r="M295" s="52">
        <f t="shared" si="13"/>
        <v>57</v>
      </c>
      <c r="N295" s="44" t="s">
        <v>957</v>
      </c>
      <c r="O295" s="43">
        <f>VLOOKUP(Tabla15[[#This Row],[N° 
Evento]],'Eventos de riesgos'!B:C,2,0)</f>
        <v>2025</v>
      </c>
      <c r="P295" s="43" t="str">
        <f>VLOOKUP(Tabla15[[#This Row],[N° 
Evento]],'Eventos de riesgos'!B:D,3,0)</f>
        <v>Nov</v>
      </c>
      <c r="Q295" s="48">
        <f>VLOOKUP(Tabla15[[#This Row],[N° 
Evento]],'Eventos de riesgos'!B:E,4,0)</f>
        <v>45967.708333333336</v>
      </c>
      <c r="R295" s="48">
        <f>VLOOKUP(Tabla15[[#This Row],[N° 
Evento]],'Eventos de riesgos'!B:F,5,0)</f>
        <v>45968.729166666664</v>
      </c>
      <c r="S295" s="48">
        <f>VLOOKUP(Tabla15[[#This Row],[N° 
Evento]],'Eventos de riesgos'!B:G,6,0)</f>
        <v>45967.729166666664</v>
      </c>
      <c r="T295"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5" s="49">
        <f>VLOOKUP(Tabla15[[#This Row],[N° 
Evento]],'Eventos de riesgos'!B:I,8,0)</f>
        <v>0</v>
      </c>
      <c r="V295" s="49">
        <f>VLOOKUP(Tabla15[[#This Row],[N° 
Evento]],'Eventos de riesgos'!B:J,9,0)</f>
        <v>0</v>
      </c>
      <c r="W295" s="49">
        <f>VLOOKUP(Tabla15[[#This Row],[N° 
Evento]],'Eventos de riesgos'!B:K,10,0)</f>
        <v>0</v>
      </c>
      <c r="X295" s="44" t="str">
        <f>VLOOKUP(Tabla15[[#This Row],[N° 
Evento]],'Eventos de riesgos'!B:L,11,0)</f>
        <v>7 - Ejecución y Administración de Procesos</v>
      </c>
      <c r="Y295" s="44" t="str">
        <f>VLOOKUP(Tabla15[[#This Row],[N° 
Evento]],'Eventos de riesgos'!B:M,12,0)</f>
        <v>71 - Recepción, Ejecución y Mantenimiento de Operaciones</v>
      </c>
      <c r="Z295" s="44" t="str">
        <f>VLOOKUP(Tabla15[[#This Row],[N° 
Evento]],'Eventos de riesgos'!B:N,13,0)</f>
        <v>712 - Errores en Digitación de Datos, Mantenimiento o Descarga</v>
      </c>
      <c r="AA295" s="44" t="str">
        <f>+VLOOKUP(Tabla15[[#This Row],[N° 
Evento]],'Eventos de riesgos'!$B$1:$AA$87,23,0)</f>
        <v>Falla en pago de compensaciones</v>
      </c>
      <c r="AB295" s="43" t="str">
        <f>VLOOKUP(Tabla15[[#This Row],[N° 
Evento]],'Eventos de riesgos'!B:O,14,0)</f>
        <v>Ninguna</v>
      </c>
      <c r="AC295" s="48">
        <f>VLOOKUP(Tabla15[[#This Row],[N° 
Evento]],'Eventos de riesgos'!B:P,15,0)</f>
        <v>45991.708333333336</v>
      </c>
      <c r="AD295" s="43" t="str">
        <f>VLOOKUP(Tabla15[[#This Row],[N° 
Evento]],'Eventos de riesgos'!B:Q,16,0)</f>
        <v>Ahorros voluntarios</v>
      </c>
      <c r="AE295" s="43" t="str">
        <f>VLOOKUP(Tabla15[[#This Row],[N° 
Evento]],'Eventos de riesgos'!B:R,17,0)</f>
        <v>Ninguno</v>
      </c>
      <c r="AF295" s="45" t="str">
        <f>VLOOKUP(Tabla15[[#This Row],[N° 
Evento]],'Eventos de riesgos'!B:V,21,0)</f>
        <v>Aprobado</v>
      </c>
      <c r="AG295" s="44" t="str">
        <f>VLOOKUP(Tabla15[[#This Row],[N° 
Evento]],'Eventos de riesgos'!B:W,22,0)</f>
        <v>null
27/11/2025 15:39:11: creado
07/12/2025 12:18:10: Actualizado</v>
      </c>
    </row>
    <row r="296" spans="3:33" ht="79" customHeight="1" x14ac:dyDescent="0.55000000000000004">
      <c r="C296" s="43" t="str">
        <f>+Tabla15[[#This Row],[N° 
Evento]]&amp;"-"&amp;Tabla15[[#This Row],[N° Tarea]]</f>
        <v>82-7</v>
      </c>
      <c r="D296" s="54">
        <v>82</v>
      </c>
      <c r="E296" s="54">
        <v>7</v>
      </c>
      <c r="F296" s="51" t="s">
        <v>1007</v>
      </c>
      <c r="G296" s="44" t="s">
        <v>1052</v>
      </c>
      <c r="H296" s="44" t="s">
        <v>367</v>
      </c>
      <c r="I296" s="44" t="s">
        <v>104</v>
      </c>
      <c r="J296" s="57">
        <v>45973</v>
      </c>
      <c r="K296" s="57">
        <v>45973</v>
      </c>
      <c r="L296" s="72" t="str">
        <f>IF(Tabla15[[#This Row],[Fecha de Finalización]]&gt;0,"Cerrada","En Proceso")</f>
        <v>Cerrada</v>
      </c>
      <c r="M296" s="52">
        <f t="shared" si="13"/>
        <v>0</v>
      </c>
      <c r="N296" s="44" t="s">
        <v>958</v>
      </c>
      <c r="O296" s="43">
        <f>VLOOKUP(Tabla15[[#This Row],[N° 
Evento]],'Eventos de riesgos'!B:C,2,0)</f>
        <v>2025</v>
      </c>
      <c r="P296" s="43" t="str">
        <f>VLOOKUP(Tabla15[[#This Row],[N° 
Evento]],'Eventos de riesgos'!B:D,3,0)</f>
        <v>Nov</v>
      </c>
      <c r="Q296" s="48">
        <f>VLOOKUP(Tabla15[[#This Row],[N° 
Evento]],'Eventos de riesgos'!B:E,4,0)</f>
        <v>45967.708333333336</v>
      </c>
      <c r="R296" s="48">
        <f>VLOOKUP(Tabla15[[#This Row],[N° 
Evento]],'Eventos de riesgos'!B:F,5,0)</f>
        <v>45968.729166666664</v>
      </c>
      <c r="S296" s="48">
        <f>VLOOKUP(Tabla15[[#This Row],[N° 
Evento]],'Eventos de riesgos'!B:G,6,0)</f>
        <v>45967.729166666664</v>
      </c>
      <c r="T296"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6" s="49">
        <f>VLOOKUP(Tabla15[[#This Row],[N° 
Evento]],'Eventos de riesgos'!B:I,8,0)</f>
        <v>0</v>
      </c>
      <c r="V296" s="49">
        <f>VLOOKUP(Tabla15[[#This Row],[N° 
Evento]],'Eventos de riesgos'!B:J,9,0)</f>
        <v>0</v>
      </c>
      <c r="W296" s="49">
        <f>VLOOKUP(Tabla15[[#This Row],[N° 
Evento]],'Eventos de riesgos'!B:K,10,0)</f>
        <v>0</v>
      </c>
      <c r="X296" s="44" t="str">
        <f>VLOOKUP(Tabla15[[#This Row],[N° 
Evento]],'Eventos de riesgos'!B:L,11,0)</f>
        <v>7 - Ejecución y Administración de Procesos</v>
      </c>
      <c r="Y296" s="44" t="str">
        <f>VLOOKUP(Tabla15[[#This Row],[N° 
Evento]],'Eventos de riesgos'!B:M,12,0)</f>
        <v>71 - Recepción, Ejecución y Mantenimiento de Operaciones</v>
      </c>
      <c r="Z296" s="44" t="str">
        <f>VLOOKUP(Tabla15[[#This Row],[N° 
Evento]],'Eventos de riesgos'!B:N,13,0)</f>
        <v>712 - Errores en Digitación de Datos, Mantenimiento o Descarga</v>
      </c>
      <c r="AA296" s="44" t="str">
        <f>+VLOOKUP(Tabla15[[#This Row],[N° 
Evento]],'Eventos de riesgos'!$B$1:$AA$87,23,0)</f>
        <v>Falla en pago de compensaciones</v>
      </c>
      <c r="AB296" s="43" t="str">
        <f>VLOOKUP(Tabla15[[#This Row],[N° 
Evento]],'Eventos de riesgos'!B:O,14,0)</f>
        <v>Ninguna</v>
      </c>
      <c r="AC296" s="48">
        <f>VLOOKUP(Tabla15[[#This Row],[N° 
Evento]],'Eventos de riesgos'!B:P,15,0)</f>
        <v>45991.708333333336</v>
      </c>
      <c r="AD296" s="43" t="str">
        <f>VLOOKUP(Tabla15[[#This Row],[N° 
Evento]],'Eventos de riesgos'!B:Q,16,0)</f>
        <v>Ahorros voluntarios</v>
      </c>
      <c r="AE296" s="43" t="str">
        <f>VLOOKUP(Tabla15[[#This Row],[N° 
Evento]],'Eventos de riesgos'!B:R,17,0)</f>
        <v>Ninguno</v>
      </c>
      <c r="AF296" s="45" t="str">
        <f>VLOOKUP(Tabla15[[#This Row],[N° 
Evento]],'Eventos de riesgos'!B:V,21,0)</f>
        <v>Aprobado</v>
      </c>
      <c r="AG296" s="44" t="str">
        <f>VLOOKUP(Tabla15[[#This Row],[N° 
Evento]],'Eventos de riesgos'!B:W,22,0)</f>
        <v>null
27/11/2025 15:39:11: creado
07/12/2025 12:18:10: Actualizado</v>
      </c>
    </row>
    <row r="297" spans="3:33" ht="79" customHeight="1" x14ac:dyDescent="0.55000000000000004">
      <c r="C297" s="43" t="str">
        <f>+Tabla15[[#This Row],[N° 
Evento]]&amp;"-"&amp;Tabla15[[#This Row],[N° Tarea]]</f>
        <v>82-8</v>
      </c>
      <c r="D297" s="54">
        <v>82</v>
      </c>
      <c r="E297" s="54">
        <v>8</v>
      </c>
      <c r="F297" s="51" t="s">
        <v>1016</v>
      </c>
      <c r="G297" s="44" t="s">
        <v>1052</v>
      </c>
      <c r="H297" s="44" t="s">
        <v>1021</v>
      </c>
      <c r="I297" s="44"/>
      <c r="J297" s="57">
        <v>45973</v>
      </c>
      <c r="K297" s="57">
        <v>46035</v>
      </c>
      <c r="L297" s="72" t="str">
        <f>IF(Tabla15[[#This Row],[Fecha de Finalización]]&gt;0,"Cerrada","En Proceso")</f>
        <v>Cerrada</v>
      </c>
      <c r="M297" s="52">
        <f>+K297-J297</f>
        <v>62</v>
      </c>
      <c r="N297" s="44" t="s">
        <v>1038</v>
      </c>
      <c r="O297" s="43">
        <f>VLOOKUP(Tabla15[[#This Row],[N° 
Evento]],'Eventos de riesgos'!B:C,2,0)</f>
        <v>2025</v>
      </c>
      <c r="P297" s="43" t="str">
        <f>VLOOKUP(Tabla15[[#This Row],[N° 
Evento]],'Eventos de riesgos'!B:D,3,0)</f>
        <v>Nov</v>
      </c>
      <c r="Q297" s="48">
        <f>VLOOKUP(Tabla15[[#This Row],[N° 
Evento]],'Eventos de riesgos'!B:E,4,0)</f>
        <v>45967.708333333336</v>
      </c>
      <c r="R297" s="48">
        <f>VLOOKUP(Tabla15[[#This Row],[N° 
Evento]],'Eventos de riesgos'!B:F,5,0)</f>
        <v>45968.729166666664</v>
      </c>
      <c r="S297" s="48">
        <f>VLOOKUP(Tabla15[[#This Row],[N° 
Evento]],'Eventos de riesgos'!B:G,6,0)</f>
        <v>45967.729166666664</v>
      </c>
      <c r="T297"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7" s="49">
        <f>VLOOKUP(Tabla15[[#This Row],[N° 
Evento]],'Eventos de riesgos'!B:I,8,0)</f>
        <v>0</v>
      </c>
      <c r="V297" s="49">
        <f>VLOOKUP(Tabla15[[#This Row],[N° 
Evento]],'Eventos de riesgos'!B:J,9,0)</f>
        <v>0</v>
      </c>
      <c r="W297" s="49">
        <f>VLOOKUP(Tabla15[[#This Row],[N° 
Evento]],'Eventos de riesgos'!B:K,10,0)</f>
        <v>0</v>
      </c>
      <c r="X297" s="44" t="str">
        <f>VLOOKUP(Tabla15[[#This Row],[N° 
Evento]],'Eventos de riesgos'!B:L,11,0)</f>
        <v>7 - Ejecución y Administración de Procesos</v>
      </c>
      <c r="Y297" s="44" t="str">
        <f>VLOOKUP(Tabla15[[#This Row],[N° 
Evento]],'Eventos de riesgos'!B:M,12,0)</f>
        <v>71 - Recepción, Ejecución y Mantenimiento de Operaciones</v>
      </c>
      <c r="Z297" s="44" t="str">
        <f>VLOOKUP(Tabla15[[#This Row],[N° 
Evento]],'Eventos de riesgos'!B:N,13,0)</f>
        <v>712 - Errores en Digitación de Datos, Mantenimiento o Descarga</v>
      </c>
      <c r="AA297" s="44" t="str">
        <f>+VLOOKUP(Tabla15[[#This Row],[N° 
Evento]],'Eventos de riesgos'!$B$1:$AA$87,23,0)</f>
        <v>Falla en pago de compensaciones</v>
      </c>
      <c r="AB297" s="43" t="str">
        <f>VLOOKUP(Tabla15[[#This Row],[N° 
Evento]],'Eventos de riesgos'!B:O,14,0)</f>
        <v>Ninguna</v>
      </c>
      <c r="AC297" s="48">
        <f>VLOOKUP(Tabla15[[#This Row],[N° 
Evento]],'Eventos de riesgos'!B:P,15,0)</f>
        <v>45991.708333333336</v>
      </c>
      <c r="AD297" s="43" t="str">
        <f>VLOOKUP(Tabla15[[#This Row],[N° 
Evento]],'Eventos de riesgos'!B:Q,16,0)</f>
        <v>Ahorros voluntarios</v>
      </c>
      <c r="AE297" s="43" t="str">
        <f>VLOOKUP(Tabla15[[#This Row],[N° 
Evento]],'Eventos de riesgos'!B:R,17,0)</f>
        <v>Ninguno</v>
      </c>
      <c r="AF297" s="45" t="str">
        <f>VLOOKUP(Tabla15[[#This Row],[N° 
Evento]],'Eventos de riesgos'!B:V,21,0)</f>
        <v>Aprobado</v>
      </c>
      <c r="AG297" s="44" t="str">
        <f>VLOOKUP(Tabla15[[#This Row],[N° 
Evento]],'Eventos de riesgos'!B:W,22,0)</f>
        <v>null
27/11/2025 15:39:11: creado
07/12/2025 12:18:10: Actualizado</v>
      </c>
    </row>
    <row r="298" spans="3:33" ht="79" customHeight="1" x14ac:dyDescent="0.55000000000000004">
      <c r="C298" s="43" t="str">
        <f>+Tabla15[[#This Row],[N° 
Evento]]&amp;"-"&amp;Tabla15[[#This Row],[N° Tarea]]</f>
        <v>82-9</v>
      </c>
      <c r="D298" s="54">
        <v>82</v>
      </c>
      <c r="E298" s="54">
        <v>9</v>
      </c>
      <c r="F298" s="51" t="s">
        <v>1017</v>
      </c>
      <c r="G298" s="44" t="s">
        <v>1052</v>
      </c>
      <c r="H298" s="44" t="s">
        <v>1020</v>
      </c>
      <c r="I298" s="44"/>
      <c r="J298" s="57">
        <v>45973</v>
      </c>
      <c r="K298" s="57">
        <v>46035</v>
      </c>
      <c r="L298" s="72" t="str">
        <f>IF(Tabla15[[#This Row],[Fecha de Finalización]]&gt;0,"Cerrada","En Proceso")</f>
        <v>Cerrada</v>
      </c>
      <c r="M298" s="52">
        <f>+K298-J298</f>
        <v>62</v>
      </c>
      <c r="N298" s="44" t="s">
        <v>1037</v>
      </c>
      <c r="O298" s="43">
        <f>VLOOKUP(Tabla15[[#This Row],[N° 
Evento]],'Eventos de riesgos'!B:C,2,0)</f>
        <v>2025</v>
      </c>
      <c r="P298" s="43" t="str">
        <f>VLOOKUP(Tabla15[[#This Row],[N° 
Evento]],'Eventos de riesgos'!B:D,3,0)</f>
        <v>Nov</v>
      </c>
      <c r="Q298" s="48">
        <f>VLOOKUP(Tabla15[[#This Row],[N° 
Evento]],'Eventos de riesgos'!B:E,4,0)</f>
        <v>45967.708333333336</v>
      </c>
      <c r="R298" s="48">
        <f>VLOOKUP(Tabla15[[#This Row],[N° 
Evento]],'Eventos de riesgos'!B:F,5,0)</f>
        <v>45968.729166666664</v>
      </c>
      <c r="S298" s="48">
        <f>VLOOKUP(Tabla15[[#This Row],[N° 
Evento]],'Eventos de riesgos'!B:G,6,0)</f>
        <v>45967.729166666664</v>
      </c>
      <c r="T298"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8" s="49">
        <f>VLOOKUP(Tabla15[[#This Row],[N° 
Evento]],'Eventos de riesgos'!B:I,8,0)</f>
        <v>0</v>
      </c>
      <c r="V298" s="49">
        <f>VLOOKUP(Tabla15[[#This Row],[N° 
Evento]],'Eventos de riesgos'!B:J,9,0)</f>
        <v>0</v>
      </c>
      <c r="W298" s="49">
        <f>VLOOKUP(Tabla15[[#This Row],[N° 
Evento]],'Eventos de riesgos'!B:K,10,0)</f>
        <v>0</v>
      </c>
      <c r="X298" s="44" t="str">
        <f>VLOOKUP(Tabla15[[#This Row],[N° 
Evento]],'Eventos de riesgos'!B:L,11,0)</f>
        <v>7 - Ejecución y Administración de Procesos</v>
      </c>
      <c r="Y298" s="44" t="str">
        <f>VLOOKUP(Tabla15[[#This Row],[N° 
Evento]],'Eventos de riesgos'!B:M,12,0)</f>
        <v>71 - Recepción, Ejecución y Mantenimiento de Operaciones</v>
      </c>
      <c r="Z298" s="44" t="str">
        <f>VLOOKUP(Tabla15[[#This Row],[N° 
Evento]],'Eventos de riesgos'!B:N,13,0)</f>
        <v>712 - Errores en Digitación de Datos, Mantenimiento o Descarga</v>
      </c>
      <c r="AA298" s="44" t="str">
        <f>+VLOOKUP(Tabla15[[#This Row],[N° 
Evento]],'Eventos de riesgos'!$B$1:$AA$87,23,0)</f>
        <v>Falla en pago de compensaciones</v>
      </c>
      <c r="AB298" s="43" t="str">
        <f>VLOOKUP(Tabla15[[#This Row],[N° 
Evento]],'Eventos de riesgos'!B:O,14,0)</f>
        <v>Ninguna</v>
      </c>
      <c r="AC298" s="48">
        <f>VLOOKUP(Tabla15[[#This Row],[N° 
Evento]],'Eventos de riesgos'!B:P,15,0)</f>
        <v>45991.708333333336</v>
      </c>
      <c r="AD298" s="43" t="str">
        <f>VLOOKUP(Tabla15[[#This Row],[N° 
Evento]],'Eventos de riesgos'!B:Q,16,0)</f>
        <v>Ahorros voluntarios</v>
      </c>
      <c r="AE298" s="43" t="str">
        <f>VLOOKUP(Tabla15[[#This Row],[N° 
Evento]],'Eventos de riesgos'!B:R,17,0)</f>
        <v>Ninguno</v>
      </c>
      <c r="AF298" s="45" t="str">
        <f>VLOOKUP(Tabla15[[#This Row],[N° 
Evento]],'Eventos de riesgos'!B:V,21,0)</f>
        <v>Aprobado</v>
      </c>
      <c r="AG298" s="44" t="str">
        <f>VLOOKUP(Tabla15[[#This Row],[N° 
Evento]],'Eventos de riesgos'!B:W,22,0)</f>
        <v>null
27/11/2025 15:39:11: creado
07/12/2025 12:18:10: Actualizado</v>
      </c>
    </row>
    <row r="299" spans="3:33" ht="79" customHeight="1" x14ac:dyDescent="0.55000000000000004">
      <c r="C299" s="43" t="str">
        <f>+Tabla15[[#This Row],[N° 
Evento]]&amp;"-"&amp;Tabla15[[#This Row],[N° Tarea]]</f>
        <v>82-10</v>
      </c>
      <c r="D299" s="54">
        <v>82</v>
      </c>
      <c r="E299" s="54">
        <v>10</v>
      </c>
      <c r="F299" s="51" t="s">
        <v>1018</v>
      </c>
      <c r="G299" s="44" t="s">
        <v>1052</v>
      </c>
      <c r="H299" s="44" t="s">
        <v>1019</v>
      </c>
      <c r="I299" s="44"/>
      <c r="J299" s="57">
        <v>45973</v>
      </c>
      <c r="K299" s="57">
        <v>46027</v>
      </c>
      <c r="L299" s="72" t="str">
        <f>IF(Tabla15[[#This Row],[Fecha de Finalización]]&gt;0,"Cerrada","En Proceso")</f>
        <v>Cerrada</v>
      </c>
      <c r="M299" s="52">
        <f>+K299-J299</f>
        <v>54</v>
      </c>
      <c r="N299" s="44"/>
      <c r="O299" s="43">
        <f>VLOOKUP(Tabla15[[#This Row],[N° 
Evento]],'Eventos de riesgos'!B:C,2,0)</f>
        <v>2025</v>
      </c>
      <c r="P299" s="43" t="str">
        <f>VLOOKUP(Tabla15[[#This Row],[N° 
Evento]],'Eventos de riesgos'!B:D,3,0)</f>
        <v>Nov</v>
      </c>
      <c r="Q299" s="48">
        <f>VLOOKUP(Tabla15[[#This Row],[N° 
Evento]],'Eventos de riesgos'!B:E,4,0)</f>
        <v>45967.708333333336</v>
      </c>
      <c r="R299" s="48">
        <f>VLOOKUP(Tabla15[[#This Row],[N° 
Evento]],'Eventos de riesgos'!B:F,5,0)</f>
        <v>45968.729166666664</v>
      </c>
      <c r="S299" s="48">
        <f>VLOOKUP(Tabla15[[#This Row],[N° 
Evento]],'Eventos de riesgos'!B:G,6,0)</f>
        <v>45967.729166666664</v>
      </c>
      <c r="T299" s="62" t="str">
        <f>VLOOKUP(Tabla15[[#This Row],[N° 
Evento]],'Eventos de riesgos'!B:H,7,0)</f>
        <v>CasoLa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similares.CausasLa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sistema.ImpactosImpacto operativo: Se generaron 117 consignaciones incorrectas que requirieron reversos manuales, aumentando la carga de trabajo y retrasando el proceso normal.Impacto reputacional: Se creó el riesgo de generar confusión entre los asociados y afectar la percepción de confianza, aunque no se produjeron retiros ni afectaciones económicas.Impacto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asociados.AccionesCorrectivasReversar y reintegrar de inmediato los valores consignados a los 117 asociadosAplicación de pagos reales de compensaciónEscalar el caso a WOG para lograr la eliminación definitiva de los registros en entrada y salida y evitar impactos fiscales en los asociados. Incidencia 74823Enviar un mensaje de tranquilidad a los asociados, explicando el incidente y confirmando que no se generarán afectaciones.Iniciar el proceso de descargos para la funcionaria involucrada, permitiendo explicar los hechos y reforzar la importancia del autocontrol en operaciones críticas.Excluir estos movimientos de los reportes internos y externos, por tratarse de un error operativo y no de operaciones reales. (SES, UIAF, etc)PreventivasEstablecer un control obligatorio previo al cargue de plantillas, que incluya la validación de totales y la revisión de columnas sensibles</v>
      </c>
      <c r="U299" s="49">
        <f>VLOOKUP(Tabla15[[#This Row],[N° 
Evento]],'Eventos de riesgos'!B:I,8,0)</f>
        <v>0</v>
      </c>
      <c r="V299" s="49">
        <f>VLOOKUP(Tabla15[[#This Row],[N° 
Evento]],'Eventos de riesgos'!B:J,9,0)</f>
        <v>0</v>
      </c>
      <c r="W299" s="49">
        <f>VLOOKUP(Tabla15[[#This Row],[N° 
Evento]],'Eventos de riesgos'!B:K,10,0)</f>
        <v>0</v>
      </c>
      <c r="X299" s="44" t="str">
        <f>VLOOKUP(Tabla15[[#This Row],[N° 
Evento]],'Eventos de riesgos'!B:L,11,0)</f>
        <v>7 - Ejecución y Administración de Procesos</v>
      </c>
      <c r="Y299" s="44" t="str">
        <f>VLOOKUP(Tabla15[[#This Row],[N° 
Evento]],'Eventos de riesgos'!B:M,12,0)</f>
        <v>71 - Recepción, Ejecución y Mantenimiento de Operaciones</v>
      </c>
      <c r="Z299" s="44" t="str">
        <f>VLOOKUP(Tabla15[[#This Row],[N° 
Evento]],'Eventos de riesgos'!B:N,13,0)</f>
        <v>712 - Errores en Digitación de Datos, Mantenimiento o Descarga</v>
      </c>
      <c r="AA299" s="44" t="str">
        <f>+VLOOKUP(Tabla15[[#This Row],[N° 
Evento]],'Eventos de riesgos'!$B$1:$AA$87,23,0)</f>
        <v>Falla en pago de compensaciones</v>
      </c>
      <c r="AB299" s="43" t="str">
        <f>VLOOKUP(Tabla15[[#This Row],[N° 
Evento]],'Eventos de riesgos'!B:O,14,0)</f>
        <v>Ninguna</v>
      </c>
      <c r="AC299" s="48">
        <f>VLOOKUP(Tabla15[[#This Row],[N° 
Evento]],'Eventos de riesgos'!B:P,15,0)</f>
        <v>45991.708333333336</v>
      </c>
      <c r="AD299" s="43" t="str">
        <f>VLOOKUP(Tabla15[[#This Row],[N° 
Evento]],'Eventos de riesgos'!B:Q,16,0)</f>
        <v>Ahorros voluntarios</v>
      </c>
      <c r="AE299" s="43" t="str">
        <f>VLOOKUP(Tabla15[[#This Row],[N° 
Evento]],'Eventos de riesgos'!B:R,17,0)</f>
        <v>Ninguno</v>
      </c>
      <c r="AF299" s="45" t="str">
        <f>VLOOKUP(Tabla15[[#This Row],[N° 
Evento]],'Eventos de riesgos'!B:V,21,0)</f>
        <v>Aprobado</v>
      </c>
      <c r="AG299" s="44" t="str">
        <f>VLOOKUP(Tabla15[[#This Row],[N° 
Evento]],'Eventos de riesgos'!B:W,22,0)</f>
        <v>null
27/11/2025 15:39:11: creado
07/12/2025 12:18:10: Actualizado</v>
      </c>
    </row>
    <row r="300" spans="3:33" ht="79" customHeight="1" x14ac:dyDescent="0.55000000000000004">
      <c r="C300" s="43" t="str">
        <f>+Tabla15[[#This Row],[N° 
Evento]]&amp;"-"&amp;Tabla15[[#This Row],[N° Tarea]]</f>
        <v>83-1</v>
      </c>
      <c r="D300" s="54">
        <v>83</v>
      </c>
      <c r="E300" s="54">
        <v>1</v>
      </c>
      <c r="F300" s="51" t="s">
        <v>959</v>
      </c>
      <c r="G300" s="44" t="s">
        <v>1053</v>
      </c>
      <c r="H300" s="44" t="s">
        <v>769</v>
      </c>
      <c r="I300" s="44" t="s">
        <v>273</v>
      </c>
      <c r="J300" s="57">
        <v>45930</v>
      </c>
      <c r="K300" s="46">
        <v>45973</v>
      </c>
      <c r="L300" s="72" t="str">
        <f>IF(Tabla15[[#This Row],[Fecha de Finalización]]&gt;0,"Cerrada","En Proceso")</f>
        <v>Cerrada</v>
      </c>
      <c r="M300" s="52">
        <f>+K300-J300</f>
        <v>43</v>
      </c>
      <c r="N300" s="44" t="s">
        <v>963</v>
      </c>
      <c r="O300" s="43">
        <f>VLOOKUP(Tabla15[[#This Row],[N° 
Evento]],'Eventos de riesgos'!B:C,2,0)</f>
        <v>2025</v>
      </c>
      <c r="P300" s="43" t="str">
        <f>VLOOKUP(Tabla15[[#This Row],[N° 
Evento]],'Eventos de riesgos'!B:D,3,0)</f>
        <v>Nov</v>
      </c>
      <c r="Q300" s="48">
        <f>VLOOKUP(Tabla15[[#This Row],[N° 
Evento]],'Eventos de riesgos'!B:E,4,0)</f>
        <v>45929.395833333336</v>
      </c>
      <c r="R300" s="48">
        <f>VLOOKUP(Tabla15[[#This Row],[N° 
Evento]],'Eventos de riesgos'!B:F,5,0)</f>
        <v>45930.334722222222</v>
      </c>
      <c r="S300" s="48">
        <f>VLOOKUP(Tabla15[[#This Row],[N° 
Evento]],'Eventos de riesgos'!B:G,6,0)</f>
        <v>45929.395833333336</v>
      </c>
      <c r="T300" s="62" t="str">
        <f>VLOOKUP(Tabla15[[#This Row],[N° 
Evento]],'Eventos de riesgos'!B:H,7,0)</f>
        <v xml:space="preserve">CasoVersión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servicio.CausasLa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cambio.ImpactoImpacto en el servicio a los asociados. La interrupción y las fallas en las aplicaciones de telefonía dificultaron la atención oportuna de llamadasImpacto reputacional: La imposibilidad de responder llamadas y las intermitencias del servicio pudieron generar una percepción negativa sobre la capacidad de respuesta de la cooperativa.Impacto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servicio.AccionesCorrectivasRealizar seguimiento continuo a la estabilidad del servicio telefónico e informar novedades.Mantener teléfonos físicos de contingencia disponibles.PreventivasComunicar de manera anticipada la migración de servicios y sus posibles impactos sobre el servicio.Socializar con todas las áreas involucradas el cronograma de migración, pruebas y puesta en producción de nuevos aplicativos o sistemas.Monitorear continuamente el desempeño del aplicativo durante y después de su implementación.Confirmar formalmente cuando el ciclo de verificación se haya completado y el servicio opere con normalidad.
</v>
      </c>
      <c r="U300" s="49">
        <f>VLOOKUP(Tabla15[[#This Row],[N° 
Evento]],'Eventos de riesgos'!B:I,8,0)</f>
        <v>0</v>
      </c>
      <c r="V300" s="49">
        <f>VLOOKUP(Tabla15[[#This Row],[N° 
Evento]],'Eventos de riesgos'!B:J,9,0)</f>
        <v>0</v>
      </c>
      <c r="W300" s="49">
        <f>VLOOKUP(Tabla15[[#This Row],[N° 
Evento]],'Eventos de riesgos'!B:K,10,0)</f>
        <v>0</v>
      </c>
      <c r="X300" s="44" t="str">
        <f>VLOOKUP(Tabla15[[#This Row],[N° 
Evento]],'Eventos de riesgos'!B:L,11,0)</f>
        <v>6 - Fallas Tecnologicas</v>
      </c>
      <c r="Y300" s="44" t="str">
        <f>VLOOKUP(Tabla15[[#This Row],[N° 
Evento]],'Eventos de riesgos'!B:M,12,0)</f>
        <v>61 - Sistemas</v>
      </c>
      <c r="Z300" s="44" t="str">
        <f>VLOOKUP(Tabla15[[#This Row],[N° 
Evento]],'Eventos de riesgos'!B:N,13,0)</f>
        <v>613 - Pérdida por Fallas en Telecomunicaciones</v>
      </c>
      <c r="AA300" s="44" t="str">
        <f>+VLOOKUP(Tabla15[[#This Row],[N° 
Evento]],'Eventos de riesgos'!$B$1:$AA$87,23,0)</f>
        <v>Indisponibilidad PBX</v>
      </c>
      <c r="AB300" s="43" t="str">
        <f>VLOOKUP(Tabla15[[#This Row],[N° 
Evento]],'Eventos de riesgos'!B:O,14,0)</f>
        <v>Ninguna</v>
      </c>
      <c r="AC300" s="48">
        <f>VLOOKUP(Tabla15[[#This Row],[N° 
Evento]],'Eventos de riesgos'!B:P,15,0)</f>
        <v>45991.54583333333</v>
      </c>
      <c r="AD300" s="43" t="str">
        <f>VLOOKUP(Tabla15[[#This Row],[N° 
Evento]],'Eventos de riesgos'!B:Q,16,0)</f>
        <v>Ninguno</v>
      </c>
      <c r="AE300" s="43" t="str">
        <f>VLOOKUP(Tabla15[[#This Row],[N° 
Evento]],'Eventos de riesgos'!B:R,17,0)</f>
        <v>Comunicación por PBX</v>
      </c>
      <c r="AF300" s="45" t="str">
        <f>VLOOKUP(Tabla15[[#This Row],[N° 
Evento]],'Eventos de riesgos'!B:V,21,0)</f>
        <v>Aprobado</v>
      </c>
      <c r="AG300" s="44" t="str">
        <f>VLOOKUP(Tabla15[[#This Row],[N° 
Evento]],'Eventos de riesgos'!B:W,22,0)</f>
        <v>null
27/11/2025 15:39:42: creado
27/11/2025 15:41:01: creado
03/12/2025 16:02:20: Actualizado con Dirección TI
08/12/2025 13:06:34: Actualizado</v>
      </c>
    </row>
    <row r="301" spans="3:33" ht="79" customHeight="1" x14ac:dyDescent="0.55000000000000004">
      <c r="C301" s="43" t="str">
        <f>+Tabla15[[#This Row],[N° 
Evento]]&amp;"-"&amp;Tabla15[[#This Row],[N° Tarea]]</f>
        <v>83-2</v>
      </c>
      <c r="D301" s="54">
        <v>83</v>
      </c>
      <c r="E301" s="54">
        <v>2</v>
      </c>
      <c r="F301" s="51" t="s">
        <v>960</v>
      </c>
      <c r="G301" s="44" t="s">
        <v>1053</v>
      </c>
      <c r="H301" s="44" t="s">
        <v>769</v>
      </c>
      <c r="I301" s="44" t="s">
        <v>273</v>
      </c>
      <c r="J301" s="57">
        <v>45930</v>
      </c>
      <c r="K301" s="46">
        <v>45973</v>
      </c>
      <c r="L301" s="72" t="str">
        <f>IF(Tabla15[[#This Row],[Fecha de Finalización]]&gt;0,"Cerrada","En Proceso")</f>
        <v>Cerrada</v>
      </c>
      <c r="M301" s="52">
        <f t="shared" ref="M301:M304" si="14">+K301-J301</f>
        <v>43</v>
      </c>
      <c r="N301" s="44" t="s">
        <v>964</v>
      </c>
      <c r="O301" s="43">
        <f>VLOOKUP(Tabla15[[#This Row],[N° 
Evento]],'Eventos de riesgos'!B:C,2,0)</f>
        <v>2025</v>
      </c>
      <c r="P301" s="43" t="str">
        <f>VLOOKUP(Tabla15[[#This Row],[N° 
Evento]],'Eventos de riesgos'!B:D,3,0)</f>
        <v>Nov</v>
      </c>
      <c r="Q301" s="48">
        <f>VLOOKUP(Tabla15[[#This Row],[N° 
Evento]],'Eventos de riesgos'!B:E,4,0)</f>
        <v>45929.395833333336</v>
      </c>
      <c r="R301" s="48">
        <f>VLOOKUP(Tabla15[[#This Row],[N° 
Evento]],'Eventos de riesgos'!B:F,5,0)</f>
        <v>45930.334722222222</v>
      </c>
      <c r="S301" s="48">
        <f>VLOOKUP(Tabla15[[#This Row],[N° 
Evento]],'Eventos de riesgos'!B:G,6,0)</f>
        <v>45929.395833333336</v>
      </c>
      <c r="T301" s="62" t="str">
        <f>VLOOKUP(Tabla15[[#This Row],[N° 
Evento]],'Eventos de riesgos'!B:H,7,0)</f>
        <v xml:space="preserve">CasoVersión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servicio.CausasLa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cambio.ImpactoImpacto en el servicio a los asociados. La interrupción y las fallas en las aplicaciones de telefonía dificultaron la atención oportuna de llamadasImpacto reputacional: La imposibilidad de responder llamadas y las intermitencias del servicio pudieron generar una percepción negativa sobre la capacidad de respuesta de la cooperativa.Impacto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servicio.AccionesCorrectivasRealizar seguimiento continuo a la estabilidad del servicio telefónico e informar novedades.Mantener teléfonos físicos de contingencia disponibles.PreventivasComunicar de manera anticipada la migración de servicios y sus posibles impactos sobre el servicio.Socializar con todas las áreas involucradas el cronograma de migración, pruebas y puesta en producción de nuevos aplicativos o sistemas.Monitorear continuamente el desempeño del aplicativo durante y después de su implementación.Confirmar formalmente cuando el ciclo de verificación se haya completado y el servicio opere con normalidad.
</v>
      </c>
      <c r="U301" s="49">
        <f>VLOOKUP(Tabla15[[#This Row],[N° 
Evento]],'Eventos de riesgos'!B:I,8,0)</f>
        <v>0</v>
      </c>
      <c r="V301" s="49">
        <f>VLOOKUP(Tabla15[[#This Row],[N° 
Evento]],'Eventos de riesgos'!B:J,9,0)</f>
        <v>0</v>
      </c>
      <c r="W301" s="49">
        <f>VLOOKUP(Tabla15[[#This Row],[N° 
Evento]],'Eventos de riesgos'!B:K,10,0)</f>
        <v>0</v>
      </c>
      <c r="X301" s="44" t="str">
        <f>VLOOKUP(Tabla15[[#This Row],[N° 
Evento]],'Eventos de riesgos'!B:L,11,0)</f>
        <v>6 - Fallas Tecnologicas</v>
      </c>
      <c r="Y301" s="44" t="str">
        <f>VLOOKUP(Tabla15[[#This Row],[N° 
Evento]],'Eventos de riesgos'!B:M,12,0)</f>
        <v>61 - Sistemas</v>
      </c>
      <c r="Z301" s="44" t="str">
        <f>VLOOKUP(Tabla15[[#This Row],[N° 
Evento]],'Eventos de riesgos'!B:N,13,0)</f>
        <v>613 - Pérdida por Fallas en Telecomunicaciones</v>
      </c>
      <c r="AA301" s="44" t="str">
        <f>+VLOOKUP(Tabla15[[#This Row],[N° 
Evento]],'Eventos de riesgos'!$B$1:$AA$87,23,0)</f>
        <v>Indisponibilidad PBX</v>
      </c>
      <c r="AB301" s="43" t="str">
        <f>VLOOKUP(Tabla15[[#This Row],[N° 
Evento]],'Eventos de riesgos'!B:O,14,0)</f>
        <v>Ninguna</v>
      </c>
      <c r="AC301" s="48">
        <f>VLOOKUP(Tabla15[[#This Row],[N° 
Evento]],'Eventos de riesgos'!B:P,15,0)</f>
        <v>45991.54583333333</v>
      </c>
      <c r="AD301" s="43" t="str">
        <f>VLOOKUP(Tabla15[[#This Row],[N° 
Evento]],'Eventos de riesgos'!B:Q,16,0)</f>
        <v>Ninguno</v>
      </c>
      <c r="AE301" s="43" t="str">
        <f>VLOOKUP(Tabla15[[#This Row],[N° 
Evento]],'Eventos de riesgos'!B:R,17,0)</f>
        <v>Comunicación por PBX</v>
      </c>
      <c r="AF301" s="45" t="str">
        <f>VLOOKUP(Tabla15[[#This Row],[N° 
Evento]],'Eventos de riesgos'!B:V,21,0)</f>
        <v>Aprobado</v>
      </c>
      <c r="AG301" s="44" t="str">
        <f>VLOOKUP(Tabla15[[#This Row],[N° 
Evento]],'Eventos de riesgos'!B:W,22,0)</f>
        <v>null
27/11/2025 15:39:42: creado
27/11/2025 15:41:01: creado
03/12/2025 16:02:20: Actualizado con Dirección TI
08/12/2025 13:06:34: Actualizado</v>
      </c>
    </row>
    <row r="302" spans="3:33" ht="79" customHeight="1" x14ac:dyDescent="0.55000000000000004">
      <c r="C302" s="43" t="str">
        <f>+Tabla15[[#This Row],[N° 
Evento]]&amp;"-"&amp;Tabla15[[#This Row],[N° Tarea]]</f>
        <v>83-3</v>
      </c>
      <c r="D302" s="54">
        <v>83</v>
      </c>
      <c r="E302" s="54">
        <v>3</v>
      </c>
      <c r="F302" s="51" t="s">
        <v>961</v>
      </c>
      <c r="G302" s="44" t="s">
        <v>1052</v>
      </c>
      <c r="H302" s="44" t="s">
        <v>760</v>
      </c>
      <c r="I302" s="44" t="s">
        <v>95</v>
      </c>
      <c r="J302" s="57">
        <v>45973</v>
      </c>
      <c r="K302" s="46">
        <v>45973</v>
      </c>
      <c r="L302" s="72" t="str">
        <f>IF(Tabla15[[#This Row],[Fecha de Finalización]]&gt;0,"Cerrada","En Proceso")</f>
        <v>Cerrada</v>
      </c>
      <c r="M302" s="52">
        <f t="shared" si="14"/>
        <v>0</v>
      </c>
      <c r="N302" s="44" t="s">
        <v>962</v>
      </c>
      <c r="O302" s="43">
        <f>VLOOKUP(Tabla15[[#This Row],[N° 
Evento]],'Eventos de riesgos'!B:C,2,0)</f>
        <v>2025</v>
      </c>
      <c r="P302" s="43" t="str">
        <f>VLOOKUP(Tabla15[[#This Row],[N° 
Evento]],'Eventos de riesgos'!B:D,3,0)</f>
        <v>Nov</v>
      </c>
      <c r="Q302" s="48">
        <f>VLOOKUP(Tabla15[[#This Row],[N° 
Evento]],'Eventos de riesgos'!B:E,4,0)</f>
        <v>45929.395833333336</v>
      </c>
      <c r="R302" s="48">
        <f>VLOOKUP(Tabla15[[#This Row],[N° 
Evento]],'Eventos de riesgos'!B:F,5,0)</f>
        <v>45930.334722222222</v>
      </c>
      <c r="S302" s="48">
        <f>VLOOKUP(Tabla15[[#This Row],[N° 
Evento]],'Eventos de riesgos'!B:G,6,0)</f>
        <v>45929.395833333336</v>
      </c>
      <c r="T302" s="62" t="str">
        <f>VLOOKUP(Tabla15[[#This Row],[N° 
Evento]],'Eventos de riesgos'!B:H,7,0)</f>
        <v xml:space="preserve">CasoVersión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servicio.CausasLa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cambio.ImpactoImpacto en el servicio a los asociados. La interrupción y las fallas en las aplicaciones de telefonía dificultaron la atención oportuna de llamadasImpacto reputacional: La imposibilidad de responder llamadas y las intermitencias del servicio pudieron generar una percepción negativa sobre la capacidad de respuesta de la cooperativa.Impacto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servicio.AccionesCorrectivasRealizar seguimiento continuo a la estabilidad del servicio telefónico e informar novedades.Mantener teléfonos físicos de contingencia disponibles.PreventivasComunicar de manera anticipada la migración de servicios y sus posibles impactos sobre el servicio.Socializar con todas las áreas involucradas el cronograma de migración, pruebas y puesta en producción de nuevos aplicativos o sistemas.Monitorear continuamente el desempeño del aplicativo durante y después de su implementación.Confirmar formalmente cuando el ciclo de verificación se haya completado y el servicio opere con normalidad.
</v>
      </c>
      <c r="U302" s="49">
        <f>VLOOKUP(Tabla15[[#This Row],[N° 
Evento]],'Eventos de riesgos'!B:I,8,0)</f>
        <v>0</v>
      </c>
      <c r="V302" s="49">
        <f>VLOOKUP(Tabla15[[#This Row],[N° 
Evento]],'Eventos de riesgos'!B:J,9,0)</f>
        <v>0</v>
      </c>
      <c r="W302" s="49">
        <f>VLOOKUP(Tabla15[[#This Row],[N° 
Evento]],'Eventos de riesgos'!B:K,10,0)</f>
        <v>0</v>
      </c>
      <c r="X302" s="44" t="str">
        <f>VLOOKUP(Tabla15[[#This Row],[N° 
Evento]],'Eventos de riesgos'!B:L,11,0)</f>
        <v>6 - Fallas Tecnologicas</v>
      </c>
      <c r="Y302" s="44" t="str">
        <f>VLOOKUP(Tabla15[[#This Row],[N° 
Evento]],'Eventos de riesgos'!B:M,12,0)</f>
        <v>61 - Sistemas</v>
      </c>
      <c r="Z302" s="44" t="str">
        <f>VLOOKUP(Tabla15[[#This Row],[N° 
Evento]],'Eventos de riesgos'!B:N,13,0)</f>
        <v>613 - Pérdida por Fallas en Telecomunicaciones</v>
      </c>
      <c r="AA302" s="44" t="str">
        <f>+VLOOKUP(Tabla15[[#This Row],[N° 
Evento]],'Eventos de riesgos'!$B$1:$AA$87,23,0)</f>
        <v>Indisponibilidad PBX</v>
      </c>
      <c r="AB302" s="43" t="str">
        <f>VLOOKUP(Tabla15[[#This Row],[N° 
Evento]],'Eventos de riesgos'!B:O,14,0)</f>
        <v>Ninguna</v>
      </c>
      <c r="AC302" s="48">
        <f>VLOOKUP(Tabla15[[#This Row],[N° 
Evento]],'Eventos de riesgos'!B:P,15,0)</f>
        <v>45991.54583333333</v>
      </c>
      <c r="AD302" s="43" t="str">
        <f>VLOOKUP(Tabla15[[#This Row],[N° 
Evento]],'Eventos de riesgos'!B:Q,16,0)</f>
        <v>Ninguno</v>
      </c>
      <c r="AE302" s="43" t="str">
        <f>VLOOKUP(Tabla15[[#This Row],[N° 
Evento]],'Eventos de riesgos'!B:R,17,0)</f>
        <v>Comunicación por PBX</v>
      </c>
      <c r="AF302" s="45" t="str">
        <f>VLOOKUP(Tabla15[[#This Row],[N° 
Evento]],'Eventos de riesgos'!B:V,21,0)</f>
        <v>Aprobado</v>
      </c>
      <c r="AG302" s="44" t="str">
        <f>VLOOKUP(Tabla15[[#This Row],[N° 
Evento]],'Eventos de riesgos'!B:W,22,0)</f>
        <v>null
27/11/2025 15:39:42: creado
27/11/2025 15:41:01: creado
03/12/2025 16:02:20: Actualizado con Dirección TI
08/12/2025 13:06:34: Actualizado</v>
      </c>
    </row>
    <row r="303" spans="3:33" ht="79" customHeight="1" x14ac:dyDescent="0.55000000000000004">
      <c r="C303" s="43" t="str">
        <f>+Tabla15[[#This Row],[N° 
Evento]]&amp;"-"&amp;Tabla15[[#This Row],[N° Tarea]]</f>
        <v>83-4</v>
      </c>
      <c r="D303" s="54">
        <v>83</v>
      </c>
      <c r="E303" s="54">
        <v>4</v>
      </c>
      <c r="F303" s="51" t="s">
        <v>1040</v>
      </c>
      <c r="G303" s="44" t="s">
        <v>1052</v>
      </c>
      <c r="H303" s="44" t="s">
        <v>769</v>
      </c>
      <c r="I303" s="44" t="s">
        <v>273</v>
      </c>
      <c r="J303" s="57">
        <v>45930</v>
      </c>
      <c r="K303" s="46">
        <v>45930</v>
      </c>
      <c r="L303" s="72" t="str">
        <f>IF(Tabla15[[#This Row],[Fecha de Finalización]]&gt;0,"Cerrada","En Proceso")</f>
        <v>Cerrada</v>
      </c>
      <c r="M303" s="52">
        <f t="shared" si="14"/>
        <v>0</v>
      </c>
      <c r="N303" s="44"/>
      <c r="O303" s="43">
        <f>VLOOKUP(Tabla15[[#This Row],[N° 
Evento]],'Eventos de riesgos'!B:C,2,0)</f>
        <v>2025</v>
      </c>
      <c r="P303" s="43" t="str">
        <f>VLOOKUP(Tabla15[[#This Row],[N° 
Evento]],'Eventos de riesgos'!B:D,3,0)</f>
        <v>Nov</v>
      </c>
      <c r="Q303" s="48">
        <f>VLOOKUP(Tabla15[[#This Row],[N° 
Evento]],'Eventos de riesgos'!B:E,4,0)</f>
        <v>45929.395833333336</v>
      </c>
      <c r="R303" s="48">
        <f>VLOOKUP(Tabla15[[#This Row],[N° 
Evento]],'Eventos de riesgos'!B:F,5,0)</f>
        <v>45930.334722222222</v>
      </c>
      <c r="S303" s="48">
        <f>VLOOKUP(Tabla15[[#This Row],[N° 
Evento]],'Eventos de riesgos'!B:G,6,0)</f>
        <v>45929.395833333336</v>
      </c>
      <c r="T303" s="62" t="str">
        <f>VLOOKUP(Tabla15[[#This Row],[N° 
Evento]],'Eventos de riesgos'!B:H,7,0)</f>
        <v xml:space="preserve">CasoVersión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servicio.CausasLa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cambio.ImpactoImpacto en el servicio a los asociados. La interrupción y las fallas en las aplicaciones de telefonía dificultaron la atención oportuna de llamadasImpacto reputacional: La imposibilidad de responder llamadas y las intermitencias del servicio pudieron generar una percepción negativa sobre la capacidad de respuesta de la cooperativa.Impacto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servicio.AccionesCorrectivasRealizar seguimiento continuo a la estabilidad del servicio telefónico e informar novedades.Mantener teléfonos físicos de contingencia disponibles.PreventivasComunicar de manera anticipada la migración de servicios y sus posibles impactos sobre el servicio.Socializar con todas las áreas involucradas el cronograma de migración, pruebas y puesta en producción de nuevos aplicativos o sistemas.Monitorear continuamente el desempeño del aplicativo durante y después de su implementación.Confirmar formalmente cuando el ciclo de verificación se haya completado y el servicio opere con normalidad.
</v>
      </c>
      <c r="U303" s="49">
        <f>VLOOKUP(Tabla15[[#This Row],[N° 
Evento]],'Eventos de riesgos'!B:I,8,0)</f>
        <v>0</v>
      </c>
      <c r="V303" s="49">
        <f>VLOOKUP(Tabla15[[#This Row],[N° 
Evento]],'Eventos de riesgos'!B:J,9,0)</f>
        <v>0</v>
      </c>
      <c r="W303" s="49">
        <f>VLOOKUP(Tabla15[[#This Row],[N° 
Evento]],'Eventos de riesgos'!B:K,10,0)</f>
        <v>0</v>
      </c>
      <c r="X303" s="44" t="str">
        <f>VLOOKUP(Tabla15[[#This Row],[N° 
Evento]],'Eventos de riesgos'!B:L,11,0)</f>
        <v>6 - Fallas Tecnologicas</v>
      </c>
      <c r="Y303" s="44" t="str">
        <f>VLOOKUP(Tabla15[[#This Row],[N° 
Evento]],'Eventos de riesgos'!B:M,12,0)</f>
        <v>61 - Sistemas</v>
      </c>
      <c r="Z303" s="44" t="str">
        <f>VLOOKUP(Tabla15[[#This Row],[N° 
Evento]],'Eventos de riesgos'!B:N,13,0)</f>
        <v>613 - Pérdida por Fallas en Telecomunicaciones</v>
      </c>
      <c r="AA303" s="44" t="str">
        <f>+VLOOKUP(Tabla15[[#This Row],[N° 
Evento]],'Eventos de riesgos'!$B$1:$AA$87,23,0)</f>
        <v>Indisponibilidad PBX</v>
      </c>
      <c r="AB303" s="43" t="str">
        <f>VLOOKUP(Tabla15[[#This Row],[N° 
Evento]],'Eventos de riesgos'!B:O,14,0)</f>
        <v>Ninguna</v>
      </c>
      <c r="AC303" s="48">
        <f>VLOOKUP(Tabla15[[#This Row],[N° 
Evento]],'Eventos de riesgos'!B:P,15,0)</f>
        <v>45991.54583333333</v>
      </c>
      <c r="AD303" s="43" t="str">
        <f>VLOOKUP(Tabla15[[#This Row],[N° 
Evento]],'Eventos de riesgos'!B:Q,16,0)</f>
        <v>Ninguno</v>
      </c>
      <c r="AE303" s="43" t="str">
        <f>VLOOKUP(Tabla15[[#This Row],[N° 
Evento]],'Eventos de riesgos'!B:R,17,0)</f>
        <v>Comunicación por PBX</v>
      </c>
      <c r="AF303" s="45" t="str">
        <f>VLOOKUP(Tabla15[[#This Row],[N° 
Evento]],'Eventos de riesgos'!B:V,21,0)</f>
        <v>Aprobado</v>
      </c>
      <c r="AG303" s="44" t="str">
        <f>VLOOKUP(Tabla15[[#This Row],[N° 
Evento]],'Eventos de riesgos'!B:W,22,0)</f>
        <v>null
27/11/2025 15:39:42: creado
27/11/2025 15:41:01: creado
03/12/2025 16:02:20: Actualizado con Dirección TI
08/12/2025 13:06:34: Actualizado</v>
      </c>
    </row>
    <row r="304" spans="3:33" ht="79" customHeight="1" thickBot="1" x14ac:dyDescent="0.6">
      <c r="C304" s="43" t="str">
        <f>+Tabla15[[#This Row],[N° 
Evento]]&amp;"-"&amp;Tabla15[[#This Row],[N° Tarea]]</f>
        <v>83-5</v>
      </c>
      <c r="D304" s="54">
        <v>83</v>
      </c>
      <c r="E304" s="54">
        <v>5</v>
      </c>
      <c r="F304" s="51" t="s">
        <v>1039</v>
      </c>
      <c r="G304" s="44" t="s">
        <v>1053</v>
      </c>
      <c r="H304" s="44" t="s">
        <v>769</v>
      </c>
      <c r="I304" s="44" t="s">
        <v>273</v>
      </c>
      <c r="J304" s="57">
        <v>45930</v>
      </c>
      <c r="K304" s="46">
        <v>45677</v>
      </c>
      <c r="L304" s="72" t="str">
        <f>IF(Tabla15[[#This Row],[Fecha de Finalización]]&gt;0,"Cerrada","En Proceso")</f>
        <v>Cerrada</v>
      </c>
      <c r="M304" s="52">
        <f t="shared" si="14"/>
        <v>-253</v>
      </c>
      <c r="N304" s="78" t="s">
        <v>1051</v>
      </c>
      <c r="O304" s="43">
        <f>VLOOKUP(Tabla15[[#This Row],[N° 
Evento]],'Eventos de riesgos'!B:C,2,0)</f>
        <v>2025</v>
      </c>
      <c r="P304" s="43" t="str">
        <f>VLOOKUP(Tabla15[[#This Row],[N° 
Evento]],'Eventos de riesgos'!B:D,3,0)</f>
        <v>Nov</v>
      </c>
      <c r="Q304" s="48">
        <f>VLOOKUP(Tabla15[[#This Row],[N° 
Evento]],'Eventos de riesgos'!B:E,4,0)</f>
        <v>45929.395833333336</v>
      </c>
      <c r="R304" s="48">
        <f>VLOOKUP(Tabla15[[#This Row],[N° 
Evento]],'Eventos de riesgos'!B:F,5,0)</f>
        <v>45930.334722222222</v>
      </c>
      <c r="S304" s="48">
        <f>VLOOKUP(Tabla15[[#This Row],[N° 
Evento]],'Eventos de riesgos'!B:G,6,0)</f>
        <v>45929.395833333336</v>
      </c>
      <c r="T304" s="62" t="str">
        <f>VLOOKUP(Tabla15[[#This Row],[N° 
Evento]],'Eventos de riesgos'!B:H,7,0)</f>
        <v xml:space="preserve">CasoVersión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servicio.CausasLa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cambio.ImpactoImpacto en el servicio a los asociados. La interrupción y las fallas en las aplicaciones de telefonía dificultaron la atención oportuna de llamadasImpacto reputacional: La imposibilidad de responder llamadas y las intermitencias del servicio pudieron generar una percepción negativa sobre la capacidad de respuesta de la cooperativa.Impacto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servicio.AccionesCorrectivasRealizar seguimiento continuo a la estabilidad del servicio telefónico e informar novedades.Mantener teléfonos físicos de contingencia disponibles.PreventivasComunicar de manera anticipada la migración de servicios y sus posibles impactos sobre el servicio.Socializar con todas las áreas involucradas el cronograma de migración, pruebas y puesta en producción de nuevos aplicativos o sistemas.Monitorear continuamente el desempeño del aplicativo durante y después de su implementación.Confirmar formalmente cuando el ciclo de verificación se haya completado y el servicio opere con normalidad.
</v>
      </c>
      <c r="U304" s="49">
        <f>VLOOKUP(Tabla15[[#This Row],[N° 
Evento]],'Eventos de riesgos'!B:I,8,0)</f>
        <v>0</v>
      </c>
      <c r="V304" s="49">
        <f>VLOOKUP(Tabla15[[#This Row],[N° 
Evento]],'Eventos de riesgos'!B:J,9,0)</f>
        <v>0</v>
      </c>
      <c r="W304" s="49">
        <f>VLOOKUP(Tabla15[[#This Row],[N° 
Evento]],'Eventos de riesgos'!B:K,10,0)</f>
        <v>0</v>
      </c>
      <c r="X304" s="44" t="str">
        <f>VLOOKUP(Tabla15[[#This Row],[N° 
Evento]],'Eventos de riesgos'!B:L,11,0)</f>
        <v>6 - Fallas Tecnologicas</v>
      </c>
      <c r="Y304" s="44" t="str">
        <f>VLOOKUP(Tabla15[[#This Row],[N° 
Evento]],'Eventos de riesgos'!B:M,12,0)</f>
        <v>61 - Sistemas</v>
      </c>
      <c r="Z304" s="44" t="str">
        <f>VLOOKUP(Tabla15[[#This Row],[N° 
Evento]],'Eventos de riesgos'!B:N,13,0)</f>
        <v>613 - Pérdida por Fallas en Telecomunicaciones</v>
      </c>
      <c r="AA304" s="44" t="str">
        <f>+VLOOKUP(Tabla15[[#This Row],[N° 
Evento]],'Eventos de riesgos'!$B$1:$AA$87,23,0)</f>
        <v>Indisponibilidad PBX</v>
      </c>
      <c r="AB304" s="43" t="str">
        <f>VLOOKUP(Tabla15[[#This Row],[N° 
Evento]],'Eventos de riesgos'!B:O,14,0)</f>
        <v>Ninguna</v>
      </c>
      <c r="AC304" s="48">
        <f>VLOOKUP(Tabla15[[#This Row],[N° 
Evento]],'Eventos de riesgos'!B:P,15,0)</f>
        <v>45991.54583333333</v>
      </c>
      <c r="AD304" s="43" t="str">
        <f>VLOOKUP(Tabla15[[#This Row],[N° 
Evento]],'Eventos de riesgos'!B:Q,16,0)</f>
        <v>Ninguno</v>
      </c>
      <c r="AE304" s="43" t="str">
        <f>VLOOKUP(Tabla15[[#This Row],[N° 
Evento]],'Eventos de riesgos'!B:R,17,0)</f>
        <v>Comunicación por PBX</v>
      </c>
      <c r="AF304" s="45" t="str">
        <f>VLOOKUP(Tabla15[[#This Row],[N° 
Evento]],'Eventos de riesgos'!B:V,21,0)</f>
        <v>Aprobado</v>
      </c>
      <c r="AG304" s="44" t="str">
        <f>VLOOKUP(Tabla15[[#This Row],[N° 
Evento]],'Eventos de riesgos'!B:W,22,0)</f>
        <v>null
27/11/2025 15:39:42: creado
27/11/2025 15:41:01: creado
03/12/2025 16:02:20: Actualizado con Dirección TI
08/12/2025 13:06:34: Actualizado</v>
      </c>
    </row>
    <row r="305" spans="3:33" ht="55.5" customHeight="1" thickBot="1" x14ac:dyDescent="0.6">
      <c r="C305" s="54" t="str">
        <f>+Tabla15[[#This Row],[N° 
Evento]]&amp;"-"&amp;Tabla15[[#This Row],[N° Tarea]]</f>
        <v>84-1</v>
      </c>
      <c r="D305" s="54">
        <v>84</v>
      </c>
      <c r="E305" s="54">
        <v>1</v>
      </c>
      <c r="F305" s="70" t="s">
        <v>979</v>
      </c>
      <c r="G305" s="44" t="s">
        <v>1052</v>
      </c>
      <c r="H305" s="59" t="s">
        <v>983</v>
      </c>
      <c r="I305" s="59" t="s">
        <v>987</v>
      </c>
      <c r="J305" s="57">
        <v>45967</v>
      </c>
      <c r="K305" s="57">
        <v>45973</v>
      </c>
      <c r="L305" s="73" t="str">
        <f>IF(Tabla15[[#This Row],[Fecha de Finalización]]&gt;0,"Cerrada","En Proceso")</f>
        <v>Cerrada</v>
      </c>
      <c r="M305" s="58">
        <f>+K305-J305</f>
        <v>6</v>
      </c>
      <c r="N305" s="59"/>
      <c r="O305" s="54">
        <f>VLOOKUP(Tabla15[[#This Row],[N° 
Evento]],'Eventos de riesgos'!B:C,2,0)</f>
        <v>2025</v>
      </c>
      <c r="P305" s="54" t="str">
        <f>VLOOKUP(Tabla15[[#This Row],[N° 
Evento]],'Eventos de riesgos'!B:D,3,0)</f>
        <v>Nov</v>
      </c>
      <c r="Q305" s="60">
        <f>VLOOKUP(Tabla15[[#This Row],[N° 
Evento]],'Eventos de riesgos'!B:E,4,0)</f>
        <v>45965.466666666667</v>
      </c>
      <c r="R305" s="60">
        <f>VLOOKUP(Tabla15[[#This Row],[N° 
Evento]],'Eventos de riesgos'!B:F,5,0)</f>
        <v>45965.467361111114</v>
      </c>
      <c r="S305" s="60">
        <f>VLOOKUP(Tabla15[[#This Row],[N° 
Evento]],'Eventos de riesgos'!B:G,6,0)</f>
        <v>45966.467361111114</v>
      </c>
      <c r="T305" s="63"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5" s="61">
        <f>VLOOKUP(Tabla15[[#This Row],[N° 
Evento]],'Eventos de riesgos'!B:I,8,0)</f>
        <v>71000000</v>
      </c>
      <c r="V305" s="61">
        <f>VLOOKUP(Tabla15[[#This Row],[N° 
Evento]],'Eventos de riesgos'!B:J,9,0)</f>
        <v>71000000</v>
      </c>
      <c r="W305" s="61">
        <f>VLOOKUP(Tabla15[[#This Row],[N° 
Evento]],'Eventos de riesgos'!B:K,10,0)</f>
        <v>0</v>
      </c>
      <c r="X305" s="59" t="str">
        <f>VLOOKUP(Tabla15[[#This Row],[N° 
Evento]],'Eventos de riesgos'!B:L,11,0)</f>
        <v>7 - Ejecución y Administración de Procesos</v>
      </c>
      <c r="Y305" s="59" t="str">
        <f>VLOOKUP(Tabla15[[#This Row],[N° 
Evento]],'Eventos de riesgos'!B:M,12,0)</f>
        <v>71 - Recepción, Ejecución y Mantenimiento de Operaciones</v>
      </c>
      <c r="Z305" s="59" t="str">
        <f>VLOOKUP(Tabla15[[#This Row],[N° 
Evento]],'Eventos de riesgos'!B:N,13,0)</f>
        <v>713 - Incumplimiento de Plazos o Responsabilidades</v>
      </c>
      <c r="AA305" s="59" t="str">
        <f>+VLOOKUP(Tabla15[[#This Row],[N° 
Evento]],'Eventos de riesgos'!$B$1:$AA$87,23,0)</f>
        <v>Giros de lotes duplicados</v>
      </c>
      <c r="AB305" s="54" t="str">
        <f>VLOOKUP(Tabla15[[#This Row],[N° 
Evento]],'Eventos de riesgos'!B:O,14,0)</f>
        <v>Ninguna</v>
      </c>
      <c r="AC305" s="60">
        <f>VLOOKUP(Tabla15[[#This Row],[N° 
Evento]],'Eventos de riesgos'!B:P,15,0)</f>
        <v>45991.720138888886</v>
      </c>
      <c r="AD305" s="54" t="str">
        <f>VLOOKUP(Tabla15[[#This Row],[N° 
Evento]],'Eventos de riesgos'!B:Q,16,0)</f>
        <v>Varios tipos de crédito</v>
      </c>
      <c r="AE305" s="54" t="str">
        <f>VLOOKUP(Tabla15[[#This Row],[N° 
Evento]],'Eventos de riesgos'!B:R,17,0)</f>
        <v>Ninguno</v>
      </c>
      <c r="AF305" s="56" t="str">
        <f>VLOOKUP(Tabla15[[#This Row],[N° 
Evento]],'Eventos de riesgos'!B:V,21,0)</f>
        <v>Aprobado</v>
      </c>
      <c r="AG305" s="59" t="str">
        <f>VLOOKUP(Tabla15[[#This Row],[N° 
Evento]],'Eventos de riesgos'!B:W,22,0)</f>
        <v>null
01/12/2025 20:45:26: creado
01/12/2025 20:45:50: creado
08/12/2025 17:27:05: Actualizado</v>
      </c>
    </row>
    <row r="306" spans="3:33" ht="46.5" customHeight="1" x14ac:dyDescent="0.55000000000000004">
      <c r="C306" s="43" t="str">
        <f>+Tabla15[[#This Row],[N° 
Evento]]&amp;"-"&amp;Tabla15[[#This Row],[N° Tarea]]</f>
        <v>84-2</v>
      </c>
      <c r="D306" s="54">
        <v>84</v>
      </c>
      <c r="E306" s="54">
        <v>2</v>
      </c>
      <c r="F306" s="51" t="s">
        <v>980</v>
      </c>
      <c r="G306" s="44" t="s">
        <v>1053</v>
      </c>
      <c r="H306" s="44" t="s">
        <v>984</v>
      </c>
      <c r="I306" s="45" t="s">
        <v>989</v>
      </c>
      <c r="J306" s="57">
        <v>45967</v>
      </c>
      <c r="K306" s="57">
        <v>45967</v>
      </c>
      <c r="L306" s="72" t="str">
        <f>IF(Tabla15[[#This Row],[Fecha de Finalización]]&gt;0,"Cerrada","En Proceso")</f>
        <v>Cerrada</v>
      </c>
      <c r="M306" s="52">
        <f t="shared" ref="M306:M308" si="15">+K306-J306</f>
        <v>0</v>
      </c>
      <c r="N306" s="44" t="s">
        <v>988</v>
      </c>
      <c r="O306" s="43">
        <f>VLOOKUP(Tabla15[[#This Row],[N° 
Evento]],'Eventos de riesgos'!B:C,2,0)</f>
        <v>2025</v>
      </c>
      <c r="P306" s="43" t="str">
        <f>VLOOKUP(Tabla15[[#This Row],[N° 
Evento]],'Eventos de riesgos'!B:D,3,0)</f>
        <v>Nov</v>
      </c>
      <c r="Q306" s="48">
        <f>VLOOKUP(Tabla15[[#This Row],[N° 
Evento]],'Eventos de riesgos'!B:E,4,0)</f>
        <v>45965.466666666667</v>
      </c>
      <c r="R306" s="48">
        <f>VLOOKUP(Tabla15[[#This Row],[N° 
Evento]],'Eventos de riesgos'!B:F,5,0)</f>
        <v>45965.467361111114</v>
      </c>
      <c r="S306" s="48">
        <f>VLOOKUP(Tabla15[[#This Row],[N° 
Evento]],'Eventos de riesgos'!B:G,6,0)</f>
        <v>45966.467361111114</v>
      </c>
      <c r="T306"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6" s="49">
        <f>VLOOKUP(Tabla15[[#This Row],[N° 
Evento]],'Eventos de riesgos'!B:I,8,0)</f>
        <v>71000000</v>
      </c>
      <c r="V306" s="49">
        <f>VLOOKUP(Tabla15[[#This Row],[N° 
Evento]],'Eventos de riesgos'!B:J,9,0)</f>
        <v>71000000</v>
      </c>
      <c r="W306" s="49">
        <f>VLOOKUP(Tabla15[[#This Row],[N° 
Evento]],'Eventos de riesgos'!B:K,10,0)</f>
        <v>0</v>
      </c>
      <c r="X306" s="44" t="str">
        <f>VLOOKUP(Tabla15[[#This Row],[N° 
Evento]],'Eventos de riesgos'!B:L,11,0)</f>
        <v>7 - Ejecución y Administración de Procesos</v>
      </c>
      <c r="Y306" s="44" t="str">
        <f>VLOOKUP(Tabla15[[#This Row],[N° 
Evento]],'Eventos de riesgos'!B:M,12,0)</f>
        <v>71 - Recepción, Ejecución y Mantenimiento de Operaciones</v>
      </c>
      <c r="Z306" s="44" t="str">
        <f>VLOOKUP(Tabla15[[#This Row],[N° 
Evento]],'Eventos de riesgos'!B:N,13,0)</f>
        <v>713 - Incumplimiento de Plazos o Responsabilidades</v>
      </c>
      <c r="AA306" s="44" t="str">
        <f>+VLOOKUP(Tabla15[[#This Row],[N° 
Evento]],'Eventos de riesgos'!$B$1:$AA$87,23,0)</f>
        <v>Giros de lotes duplicados</v>
      </c>
      <c r="AB306" s="43" t="str">
        <f>VLOOKUP(Tabla15[[#This Row],[N° 
Evento]],'Eventos de riesgos'!B:O,14,0)</f>
        <v>Ninguna</v>
      </c>
      <c r="AC306" s="48">
        <f>VLOOKUP(Tabla15[[#This Row],[N° 
Evento]],'Eventos de riesgos'!B:P,15,0)</f>
        <v>45991.720138888886</v>
      </c>
      <c r="AD306" s="43" t="str">
        <f>VLOOKUP(Tabla15[[#This Row],[N° 
Evento]],'Eventos de riesgos'!B:Q,16,0)</f>
        <v>Varios tipos de crédito</v>
      </c>
      <c r="AE306" s="43" t="str">
        <f>VLOOKUP(Tabla15[[#This Row],[N° 
Evento]],'Eventos de riesgos'!B:R,17,0)</f>
        <v>Ninguno</v>
      </c>
      <c r="AF306" s="45" t="str">
        <f>VLOOKUP(Tabla15[[#This Row],[N° 
Evento]],'Eventos de riesgos'!B:V,21,0)</f>
        <v>Aprobado</v>
      </c>
      <c r="AG306" s="44" t="str">
        <f>VLOOKUP(Tabla15[[#This Row],[N° 
Evento]],'Eventos de riesgos'!B:W,22,0)</f>
        <v>null
01/12/2025 20:45:26: creado
01/12/2025 20:45:50: creado
08/12/2025 17:27:05: Actualizado</v>
      </c>
    </row>
    <row r="307" spans="3:33" ht="46.5" customHeight="1" x14ac:dyDescent="0.55000000000000004">
      <c r="C307" s="43" t="str">
        <f>+Tabla15[[#This Row],[N° 
Evento]]&amp;"-"&amp;Tabla15[[#This Row],[N° Tarea]]</f>
        <v>84-3</v>
      </c>
      <c r="D307" s="54">
        <v>84</v>
      </c>
      <c r="E307" s="54">
        <v>3</v>
      </c>
      <c r="F307" s="51" t="s">
        <v>981</v>
      </c>
      <c r="G307" s="44" t="s">
        <v>1053</v>
      </c>
      <c r="H307" s="44" t="s">
        <v>985</v>
      </c>
      <c r="I307" s="45" t="s">
        <v>990</v>
      </c>
      <c r="J307" s="57">
        <v>45967</v>
      </c>
      <c r="K307" s="57">
        <v>45967</v>
      </c>
      <c r="L307" s="72" t="str">
        <f>IF(Tabla15[[#This Row],[Fecha de Finalización]]&gt;0,"Cerrada","En Proceso")</f>
        <v>Cerrada</v>
      </c>
      <c r="M307" s="52">
        <f t="shared" si="15"/>
        <v>0</v>
      </c>
      <c r="N307" s="44" t="s">
        <v>988</v>
      </c>
      <c r="O307" s="43">
        <f>VLOOKUP(Tabla15[[#This Row],[N° 
Evento]],'Eventos de riesgos'!B:C,2,0)</f>
        <v>2025</v>
      </c>
      <c r="P307" s="43" t="str">
        <f>VLOOKUP(Tabla15[[#This Row],[N° 
Evento]],'Eventos de riesgos'!B:D,3,0)</f>
        <v>Nov</v>
      </c>
      <c r="Q307" s="48">
        <f>VLOOKUP(Tabla15[[#This Row],[N° 
Evento]],'Eventos de riesgos'!B:E,4,0)</f>
        <v>45965.466666666667</v>
      </c>
      <c r="R307" s="48">
        <f>VLOOKUP(Tabla15[[#This Row],[N° 
Evento]],'Eventos de riesgos'!B:F,5,0)</f>
        <v>45965.467361111114</v>
      </c>
      <c r="S307" s="48">
        <f>VLOOKUP(Tabla15[[#This Row],[N° 
Evento]],'Eventos de riesgos'!B:G,6,0)</f>
        <v>45966.467361111114</v>
      </c>
      <c r="T307"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7" s="49">
        <f>VLOOKUP(Tabla15[[#This Row],[N° 
Evento]],'Eventos de riesgos'!B:I,8,0)</f>
        <v>71000000</v>
      </c>
      <c r="V307" s="49">
        <f>VLOOKUP(Tabla15[[#This Row],[N° 
Evento]],'Eventos de riesgos'!B:J,9,0)</f>
        <v>71000000</v>
      </c>
      <c r="W307" s="49">
        <f>VLOOKUP(Tabla15[[#This Row],[N° 
Evento]],'Eventos de riesgos'!B:K,10,0)</f>
        <v>0</v>
      </c>
      <c r="X307" s="44" t="str">
        <f>VLOOKUP(Tabla15[[#This Row],[N° 
Evento]],'Eventos de riesgos'!B:L,11,0)</f>
        <v>7 - Ejecución y Administración de Procesos</v>
      </c>
      <c r="Y307" s="44" t="str">
        <f>VLOOKUP(Tabla15[[#This Row],[N° 
Evento]],'Eventos de riesgos'!B:M,12,0)</f>
        <v>71 - Recepción, Ejecución y Mantenimiento de Operaciones</v>
      </c>
      <c r="Z307" s="44" t="str">
        <f>VLOOKUP(Tabla15[[#This Row],[N° 
Evento]],'Eventos de riesgos'!B:N,13,0)</f>
        <v>713 - Incumplimiento de Plazos o Responsabilidades</v>
      </c>
      <c r="AA307" s="44" t="str">
        <f>+VLOOKUP(Tabla15[[#This Row],[N° 
Evento]],'Eventos de riesgos'!$B$1:$AA$87,23,0)</f>
        <v>Giros de lotes duplicados</v>
      </c>
      <c r="AB307" s="43" t="str">
        <f>VLOOKUP(Tabla15[[#This Row],[N° 
Evento]],'Eventos de riesgos'!B:O,14,0)</f>
        <v>Ninguna</v>
      </c>
      <c r="AC307" s="48">
        <f>VLOOKUP(Tabla15[[#This Row],[N° 
Evento]],'Eventos de riesgos'!B:P,15,0)</f>
        <v>45991.720138888886</v>
      </c>
      <c r="AD307" s="43" t="str">
        <f>VLOOKUP(Tabla15[[#This Row],[N° 
Evento]],'Eventos de riesgos'!B:Q,16,0)</f>
        <v>Varios tipos de crédito</v>
      </c>
      <c r="AE307" s="43" t="str">
        <f>VLOOKUP(Tabla15[[#This Row],[N° 
Evento]],'Eventos de riesgos'!B:R,17,0)</f>
        <v>Ninguno</v>
      </c>
      <c r="AF307" s="45" t="str">
        <f>VLOOKUP(Tabla15[[#This Row],[N° 
Evento]],'Eventos de riesgos'!B:V,21,0)</f>
        <v>Aprobado</v>
      </c>
      <c r="AG307" s="44" t="str">
        <f>VLOOKUP(Tabla15[[#This Row],[N° 
Evento]],'Eventos de riesgos'!B:W,22,0)</f>
        <v>null
01/12/2025 20:45:26: creado
01/12/2025 20:45:50: creado
08/12/2025 17:27:05: Actualizado</v>
      </c>
    </row>
    <row r="308" spans="3:33" ht="46.5" customHeight="1" x14ac:dyDescent="0.55000000000000004">
      <c r="C308" s="43" t="str">
        <f>+Tabla15[[#This Row],[N° 
Evento]]&amp;"-"&amp;Tabla15[[#This Row],[N° Tarea]]</f>
        <v>84-4</v>
      </c>
      <c r="D308" s="54">
        <v>84</v>
      </c>
      <c r="E308" s="54">
        <v>4</v>
      </c>
      <c r="F308" s="51" t="s">
        <v>982</v>
      </c>
      <c r="G308" s="44" t="s">
        <v>1053</v>
      </c>
      <c r="H308" s="44" t="s">
        <v>986</v>
      </c>
      <c r="I308" s="44" t="s">
        <v>729</v>
      </c>
      <c r="J308" s="57">
        <v>45967</v>
      </c>
      <c r="K308" s="57">
        <v>45967</v>
      </c>
      <c r="L308" s="72" t="str">
        <f>IF(Tabla15[[#This Row],[Fecha de Finalización]]&gt;0,"Cerrada","En Proceso")</f>
        <v>Cerrada</v>
      </c>
      <c r="M308" s="52">
        <f t="shared" si="15"/>
        <v>0</v>
      </c>
      <c r="N308" s="44" t="s">
        <v>988</v>
      </c>
      <c r="O308" s="43">
        <f>VLOOKUP(Tabla15[[#This Row],[N° 
Evento]],'Eventos de riesgos'!B:C,2,0)</f>
        <v>2025</v>
      </c>
      <c r="P308" s="43" t="str">
        <f>VLOOKUP(Tabla15[[#This Row],[N° 
Evento]],'Eventos de riesgos'!B:D,3,0)</f>
        <v>Nov</v>
      </c>
      <c r="Q308" s="48">
        <f>VLOOKUP(Tabla15[[#This Row],[N° 
Evento]],'Eventos de riesgos'!B:E,4,0)</f>
        <v>45965.466666666667</v>
      </c>
      <c r="R308" s="48">
        <f>VLOOKUP(Tabla15[[#This Row],[N° 
Evento]],'Eventos de riesgos'!B:F,5,0)</f>
        <v>45965.467361111114</v>
      </c>
      <c r="S308" s="48">
        <f>VLOOKUP(Tabla15[[#This Row],[N° 
Evento]],'Eventos de riesgos'!B:G,6,0)</f>
        <v>45966.467361111114</v>
      </c>
      <c r="T308"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8" s="49">
        <f>VLOOKUP(Tabla15[[#This Row],[N° 
Evento]],'Eventos de riesgos'!B:I,8,0)</f>
        <v>71000000</v>
      </c>
      <c r="V308" s="49">
        <f>VLOOKUP(Tabla15[[#This Row],[N° 
Evento]],'Eventos de riesgos'!B:J,9,0)</f>
        <v>71000000</v>
      </c>
      <c r="W308" s="49">
        <f>VLOOKUP(Tabla15[[#This Row],[N° 
Evento]],'Eventos de riesgos'!B:K,10,0)</f>
        <v>0</v>
      </c>
      <c r="X308" s="44" t="str">
        <f>VLOOKUP(Tabla15[[#This Row],[N° 
Evento]],'Eventos de riesgos'!B:L,11,0)</f>
        <v>7 - Ejecución y Administración de Procesos</v>
      </c>
      <c r="Y308" s="44" t="str">
        <f>VLOOKUP(Tabla15[[#This Row],[N° 
Evento]],'Eventos de riesgos'!B:M,12,0)</f>
        <v>71 - Recepción, Ejecución y Mantenimiento de Operaciones</v>
      </c>
      <c r="Z308" s="44" t="str">
        <f>VLOOKUP(Tabla15[[#This Row],[N° 
Evento]],'Eventos de riesgos'!B:N,13,0)</f>
        <v>713 - Incumplimiento de Plazos o Responsabilidades</v>
      </c>
      <c r="AA308" s="44" t="str">
        <f>+VLOOKUP(Tabla15[[#This Row],[N° 
Evento]],'Eventos de riesgos'!$B$1:$AA$87,23,0)</f>
        <v>Giros de lotes duplicados</v>
      </c>
      <c r="AB308" s="43" t="str">
        <f>VLOOKUP(Tabla15[[#This Row],[N° 
Evento]],'Eventos de riesgos'!B:O,14,0)</f>
        <v>Ninguna</v>
      </c>
      <c r="AC308" s="48">
        <f>VLOOKUP(Tabla15[[#This Row],[N° 
Evento]],'Eventos de riesgos'!B:P,15,0)</f>
        <v>45991.720138888886</v>
      </c>
      <c r="AD308" s="43" t="str">
        <f>VLOOKUP(Tabla15[[#This Row],[N° 
Evento]],'Eventos de riesgos'!B:Q,16,0)</f>
        <v>Varios tipos de crédito</v>
      </c>
      <c r="AE308" s="43" t="str">
        <f>VLOOKUP(Tabla15[[#This Row],[N° 
Evento]],'Eventos de riesgos'!B:R,17,0)</f>
        <v>Ninguno</v>
      </c>
      <c r="AF308" s="45" t="str">
        <f>VLOOKUP(Tabla15[[#This Row],[N° 
Evento]],'Eventos de riesgos'!B:V,21,0)</f>
        <v>Aprobado</v>
      </c>
      <c r="AG308" s="44" t="str">
        <f>VLOOKUP(Tabla15[[#This Row],[N° 
Evento]],'Eventos de riesgos'!B:W,22,0)</f>
        <v>null
01/12/2025 20:45:26: creado
01/12/2025 20:45:50: creado
08/12/2025 17:27:05: Actualizado</v>
      </c>
    </row>
    <row r="309" spans="3:33" ht="115.5" customHeight="1" x14ac:dyDescent="0.55000000000000004">
      <c r="C309" s="43" t="str">
        <f>+Tabla15[[#This Row],[N° 
Evento]]&amp;"-"&amp;Tabla15[[#This Row],[N° Tarea]]</f>
        <v>84-5</v>
      </c>
      <c r="D309" s="54">
        <v>84</v>
      </c>
      <c r="E309" s="54">
        <v>5</v>
      </c>
      <c r="F309" s="51" t="s">
        <v>1022</v>
      </c>
      <c r="G309" s="44" t="s">
        <v>1053</v>
      </c>
      <c r="H309" s="44" t="s">
        <v>1023</v>
      </c>
      <c r="I309" s="44" t="s">
        <v>999</v>
      </c>
      <c r="J309" s="57">
        <v>45967</v>
      </c>
      <c r="K309" s="57">
        <v>46027</v>
      </c>
      <c r="L309" s="72" t="str">
        <f>IF(Tabla15[[#This Row],[Fecha de Finalización]]&gt;0,"Cerrada","En Proceso")</f>
        <v>Cerrada</v>
      </c>
      <c r="M309" s="52">
        <f t="shared" ref="M309:M319" si="16">+K309-J309</f>
        <v>60</v>
      </c>
      <c r="N309" s="44" t="s">
        <v>988</v>
      </c>
      <c r="O309" s="43">
        <f>VLOOKUP(Tabla15[[#This Row],[N° 
Evento]],'Eventos de riesgos'!B:C,2,0)</f>
        <v>2025</v>
      </c>
      <c r="P309" s="43" t="str">
        <f>VLOOKUP(Tabla15[[#This Row],[N° 
Evento]],'Eventos de riesgos'!B:D,3,0)</f>
        <v>Nov</v>
      </c>
      <c r="Q309" s="48">
        <f>VLOOKUP(Tabla15[[#This Row],[N° 
Evento]],'Eventos de riesgos'!B:E,4,0)</f>
        <v>45965.466666666667</v>
      </c>
      <c r="R309" s="48">
        <f>VLOOKUP(Tabla15[[#This Row],[N° 
Evento]],'Eventos de riesgos'!B:F,5,0)</f>
        <v>45965.467361111114</v>
      </c>
      <c r="S309" s="48">
        <f>VLOOKUP(Tabla15[[#This Row],[N° 
Evento]],'Eventos de riesgos'!B:G,6,0)</f>
        <v>45966.467361111114</v>
      </c>
      <c r="T309"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9" s="49">
        <f>VLOOKUP(Tabla15[[#This Row],[N° 
Evento]],'Eventos de riesgos'!B:I,8,0)</f>
        <v>71000000</v>
      </c>
      <c r="V309" s="49">
        <f>VLOOKUP(Tabla15[[#This Row],[N° 
Evento]],'Eventos de riesgos'!B:J,9,0)</f>
        <v>71000000</v>
      </c>
      <c r="W309" s="49">
        <f>VLOOKUP(Tabla15[[#This Row],[N° 
Evento]],'Eventos de riesgos'!B:K,10,0)</f>
        <v>0</v>
      </c>
      <c r="X309" s="44" t="str">
        <f>VLOOKUP(Tabla15[[#This Row],[N° 
Evento]],'Eventos de riesgos'!B:L,11,0)</f>
        <v>7 - Ejecución y Administración de Procesos</v>
      </c>
      <c r="Y309" s="44" t="str">
        <f>VLOOKUP(Tabla15[[#This Row],[N° 
Evento]],'Eventos de riesgos'!B:M,12,0)</f>
        <v>71 - Recepción, Ejecución y Mantenimiento de Operaciones</v>
      </c>
      <c r="Z309" s="44" t="str">
        <f>VLOOKUP(Tabla15[[#This Row],[N° 
Evento]],'Eventos de riesgos'!B:N,13,0)</f>
        <v>713 - Incumplimiento de Plazos o Responsabilidades</v>
      </c>
      <c r="AA309" s="44" t="str">
        <f>+VLOOKUP(Tabla15[[#This Row],[N° 
Evento]],'Eventos de riesgos'!$B$1:$AA$87,23,0)</f>
        <v>Giros de lotes duplicados</v>
      </c>
      <c r="AB309" s="43" t="str">
        <f>VLOOKUP(Tabla15[[#This Row],[N° 
Evento]],'Eventos de riesgos'!B:O,14,0)</f>
        <v>Ninguna</v>
      </c>
      <c r="AC309" s="48">
        <f>VLOOKUP(Tabla15[[#This Row],[N° 
Evento]],'Eventos de riesgos'!B:P,15,0)</f>
        <v>45991.720138888886</v>
      </c>
      <c r="AD309" s="43" t="str">
        <f>VLOOKUP(Tabla15[[#This Row],[N° 
Evento]],'Eventos de riesgos'!B:Q,16,0)</f>
        <v>Varios tipos de crédito</v>
      </c>
      <c r="AE309" s="43" t="str">
        <f>VLOOKUP(Tabla15[[#This Row],[N° 
Evento]],'Eventos de riesgos'!B:R,17,0)</f>
        <v>Ninguno</v>
      </c>
      <c r="AF309" s="45" t="str">
        <f>VLOOKUP(Tabla15[[#This Row],[N° 
Evento]],'Eventos de riesgos'!B:V,21,0)</f>
        <v>Aprobado</v>
      </c>
      <c r="AG309" s="44" t="str">
        <f>VLOOKUP(Tabla15[[#This Row],[N° 
Evento]],'Eventos de riesgos'!B:W,22,0)</f>
        <v>null
01/12/2025 20:45:26: creado
01/12/2025 20:45:50: creado
08/12/2025 17:27:05: Actualizado</v>
      </c>
    </row>
    <row r="310" spans="3:33" ht="46.5" customHeight="1" x14ac:dyDescent="0.55000000000000004">
      <c r="C310" s="43" t="str">
        <f>+Tabla15[[#This Row],[N° 
Evento]]&amp;"-"&amp;Tabla15[[#This Row],[N° Tarea]]</f>
        <v>85-1</v>
      </c>
      <c r="D310" s="54">
        <v>85</v>
      </c>
      <c r="E310" s="54">
        <v>1</v>
      </c>
      <c r="F310" s="51" t="s">
        <v>991</v>
      </c>
      <c r="G310" s="44" t="s">
        <v>1052</v>
      </c>
      <c r="H310" s="44" t="s">
        <v>995</v>
      </c>
      <c r="I310" s="44" t="s">
        <v>996</v>
      </c>
      <c r="J310" s="57">
        <v>45965</v>
      </c>
      <c r="K310" s="57">
        <v>45965</v>
      </c>
      <c r="L310" s="72" t="str">
        <f>IF(Tabla15[[#This Row],[Fecha de Finalización]]&gt;0,"Cerrada","En Proceso")</f>
        <v>Cerrada</v>
      </c>
      <c r="M310" s="52">
        <f t="shared" si="16"/>
        <v>0</v>
      </c>
      <c r="N310" s="44"/>
      <c r="O310" s="43">
        <f>VLOOKUP(Tabla15[[#This Row],[N° 
Evento]],'Eventos de riesgos'!B:C,2,0)</f>
        <v>2025</v>
      </c>
      <c r="P310" s="43" t="str">
        <f>VLOOKUP(Tabla15[[#This Row],[N° 
Evento]],'Eventos de riesgos'!B:D,3,0)</f>
        <v>Nov</v>
      </c>
      <c r="Q310" s="48">
        <f>VLOOKUP(Tabla15[[#This Row],[N° 
Evento]],'Eventos de riesgos'!B:E,4,0)</f>
        <v>46022.588194444441</v>
      </c>
      <c r="R310" s="48">
        <f>VLOOKUP(Tabla15[[#This Row],[N° 
Evento]],'Eventos de riesgos'!B:F,5,0)</f>
        <v>45965.588194444441</v>
      </c>
      <c r="S310" s="48">
        <f>VLOOKUP(Tabla15[[#This Row],[N° 
Evento]],'Eventos de riesgos'!B:G,6,0)</f>
        <v>45995.588888888888</v>
      </c>
      <c r="T310"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0" s="49">
        <f>VLOOKUP(Tabla15[[#This Row],[N° 
Evento]],'Eventos de riesgos'!B:I,8,0)</f>
        <v>0</v>
      </c>
      <c r="V310" s="49">
        <f>VLOOKUP(Tabla15[[#This Row],[N° 
Evento]],'Eventos de riesgos'!B:J,9,0)</f>
        <v>0</v>
      </c>
      <c r="W310" s="49">
        <f>VLOOKUP(Tabla15[[#This Row],[N° 
Evento]],'Eventos de riesgos'!B:K,10,0)</f>
        <v>0</v>
      </c>
      <c r="X310" s="44" t="str">
        <f>VLOOKUP(Tabla15[[#This Row],[N° 
Evento]],'Eventos de riesgos'!B:L,11,0)</f>
        <v>7 - Ejecución y Administración de Procesos</v>
      </c>
      <c r="Y310" s="44" t="str">
        <f>VLOOKUP(Tabla15[[#This Row],[N° 
Evento]],'Eventos de riesgos'!B:M,12,0)</f>
        <v>71 - Recepción, Ejecución y Mantenimiento de Operaciones</v>
      </c>
      <c r="Z310" s="44" t="str">
        <f>VLOOKUP(Tabla15[[#This Row],[N° 
Evento]],'Eventos de riesgos'!B:N,13,0)</f>
        <v>713 - Incumplimiento de Plazos o Responsabilidades</v>
      </c>
      <c r="AA310" s="44" t="str">
        <f>+VLOOKUP(Tabla15[[#This Row],[N° 
Evento]],'Eventos de riesgos'!$B$1:$AA$87,23,0)</f>
        <v>Operaciones BreB sin Recursos</v>
      </c>
      <c r="AB310" s="43" t="str">
        <f>VLOOKUP(Tabla15[[#This Row],[N° 
Evento]],'Eventos de riesgos'!B:O,14,0)</f>
        <v>Ninguna</v>
      </c>
      <c r="AC310" s="48">
        <f>VLOOKUP(Tabla15[[#This Row],[N° 
Evento]],'Eventos de riesgos'!B:P,15,0)</f>
        <v>45991.667361111111</v>
      </c>
      <c r="AD310" s="43" t="str">
        <f>VLOOKUP(Tabla15[[#This Row],[N° 
Evento]],'Eventos de riesgos'!B:Q,16,0)</f>
        <v>Ahorros voluntarios</v>
      </c>
      <c r="AE310" s="43" t="str">
        <f>VLOOKUP(Tabla15[[#This Row],[N° 
Evento]],'Eventos de riesgos'!B:R,17,0)</f>
        <v>Aplicación móvil (App Febor)</v>
      </c>
      <c r="AF310" s="45" t="str">
        <f>VLOOKUP(Tabla15[[#This Row],[N° 
Evento]],'Eventos de riesgos'!B:V,21,0)</f>
        <v>Aprobado</v>
      </c>
      <c r="AG310" s="44" t="str">
        <f>VLOOKUP(Tabla15[[#This Row],[N° 
Evento]],'Eventos de riesgos'!B:W,22,0)</f>
        <v>08/12/2025 16:02:23: Creado</v>
      </c>
    </row>
    <row r="311" spans="3:33" ht="46.5" customHeight="1" x14ac:dyDescent="0.55000000000000004">
      <c r="C311" s="43" t="str">
        <f>+Tabla15[[#This Row],[N° 
Evento]]&amp;"-"&amp;Tabla15[[#This Row],[N° Tarea]]</f>
        <v>85-2</v>
      </c>
      <c r="D311" s="54">
        <v>85</v>
      </c>
      <c r="E311" s="54">
        <v>2</v>
      </c>
      <c r="F311" s="51" t="s">
        <v>992</v>
      </c>
      <c r="G311" s="44" t="s">
        <v>1052</v>
      </c>
      <c r="H311" s="44" t="s">
        <v>997</v>
      </c>
      <c r="I311" s="44" t="s">
        <v>95</v>
      </c>
      <c r="J311" s="57">
        <v>45965</v>
      </c>
      <c r="K311" s="57">
        <v>45965</v>
      </c>
      <c r="L311" s="72" t="str">
        <f>IF(Tabla15[[#This Row],[Fecha de Finalización]]&gt;0,"Cerrada","En Proceso")</f>
        <v>Cerrada</v>
      </c>
      <c r="M311" s="52">
        <f t="shared" si="16"/>
        <v>0</v>
      </c>
      <c r="N311" s="44"/>
      <c r="O311" s="43">
        <f>VLOOKUP(Tabla15[[#This Row],[N° 
Evento]],'Eventos de riesgos'!B:C,2,0)</f>
        <v>2025</v>
      </c>
      <c r="P311" s="43" t="str">
        <f>VLOOKUP(Tabla15[[#This Row],[N° 
Evento]],'Eventos de riesgos'!B:D,3,0)</f>
        <v>Nov</v>
      </c>
      <c r="Q311" s="48">
        <f>VLOOKUP(Tabla15[[#This Row],[N° 
Evento]],'Eventos de riesgos'!B:E,4,0)</f>
        <v>46022.588194444441</v>
      </c>
      <c r="R311" s="48">
        <f>VLOOKUP(Tabla15[[#This Row],[N° 
Evento]],'Eventos de riesgos'!B:F,5,0)</f>
        <v>45965.588194444441</v>
      </c>
      <c r="S311" s="48">
        <f>VLOOKUP(Tabla15[[#This Row],[N° 
Evento]],'Eventos de riesgos'!B:G,6,0)</f>
        <v>45995.588888888888</v>
      </c>
      <c r="T311"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1" s="49">
        <f>VLOOKUP(Tabla15[[#This Row],[N° 
Evento]],'Eventos de riesgos'!B:I,8,0)</f>
        <v>0</v>
      </c>
      <c r="V311" s="49">
        <f>VLOOKUP(Tabla15[[#This Row],[N° 
Evento]],'Eventos de riesgos'!B:J,9,0)</f>
        <v>0</v>
      </c>
      <c r="W311" s="49">
        <f>VLOOKUP(Tabla15[[#This Row],[N° 
Evento]],'Eventos de riesgos'!B:K,10,0)</f>
        <v>0</v>
      </c>
      <c r="X311" s="44" t="str">
        <f>VLOOKUP(Tabla15[[#This Row],[N° 
Evento]],'Eventos de riesgos'!B:L,11,0)</f>
        <v>7 - Ejecución y Administración de Procesos</v>
      </c>
      <c r="Y311" s="44" t="str">
        <f>VLOOKUP(Tabla15[[#This Row],[N° 
Evento]],'Eventos de riesgos'!B:M,12,0)</f>
        <v>71 - Recepción, Ejecución y Mantenimiento de Operaciones</v>
      </c>
      <c r="Z311" s="44" t="str">
        <f>VLOOKUP(Tabla15[[#This Row],[N° 
Evento]],'Eventos de riesgos'!B:N,13,0)</f>
        <v>713 - Incumplimiento de Plazos o Responsabilidades</v>
      </c>
      <c r="AA311" s="44" t="str">
        <f>+VLOOKUP(Tabla15[[#This Row],[N° 
Evento]],'Eventos de riesgos'!$B$1:$AA$87,23,0)</f>
        <v>Operaciones BreB sin Recursos</v>
      </c>
      <c r="AB311" s="43" t="str">
        <f>VLOOKUP(Tabla15[[#This Row],[N° 
Evento]],'Eventos de riesgos'!B:O,14,0)</f>
        <v>Ninguna</v>
      </c>
      <c r="AC311" s="48">
        <f>VLOOKUP(Tabla15[[#This Row],[N° 
Evento]],'Eventos de riesgos'!B:P,15,0)</f>
        <v>45991.667361111111</v>
      </c>
      <c r="AD311" s="43" t="str">
        <f>VLOOKUP(Tabla15[[#This Row],[N° 
Evento]],'Eventos de riesgos'!B:Q,16,0)</f>
        <v>Ahorros voluntarios</v>
      </c>
      <c r="AE311" s="43" t="str">
        <f>VLOOKUP(Tabla15[[#This Row],[N° 
Evento]],'Eventos de riesgos'!B:R,17,0)</f>
        <v>Aplicación móvil (App Febor)</v>
      </c>
      <c r="AF311" s="45" t="str">
        <f>VLOOKUP(Tabla15[[#This Row],[N° 
Evento]],'Eventos de riesgos'!B:V,21,0)</f>
        <v>Aprobado</v>
      </c>
      <c r="AG311" s="44" t="str">
        <f>VLOOKUP(Tabla15[[#This Row],[N° 
Evento]],'Eventos de riesgos'!B:W,22,0)</f>
        <v>08/12/2025 16:02:23: Creado</v>
      </c>
    </row>
    <row r="312" spans="3:33" ht="54.5" customHeight="1" x14ac:dyDescent="0.55000000000000004">
      <c r="C312" s="43" t="str">
        <f>+Tabla15[[#This Row],[N° 
Evento]]&amp;"-"&amp;Tabla15[[#This Row],[N° Tarea]]</f>
        <v>85-3</v>
      </c>
      <c r="D312" s="54">
        <v>85</v>
      </c>
      <c r="E312" s="54">
        <v>3</v>
      </c>
      <c r="F312" s="51" t="s">
        <v>993</v>
      </c>
      <c r="G312" s="44" t="s">
        <v>1053</v>
      </c>
      <c r="H312" s="44" t="s">
        <v>998</v>
      </c>
      <c r="I312" s="44" t="s">
        <v>1000</v>
      </c>
      <c r="J312" s="57">
        <v>45965</v>
      </c>
      <c r="K312" s="57">
        <v>45968</v>
      </c>
      <c r="L312" s="72" t="str">
        <f>IF(Tabla15[[#This Row],[Fecha de Finalización]]&gt;0,"Cerrada","En Proceso")</f>
        <v>Cerrada</v>
      </c>
      <c r="M312" s="52">
        <f t="shared" si="16"/>
        <v>3</v>
      </c>
      <c r="N312" s="44" t="s">
        <v>1001</v>
      </c>
      <c r="O312" s="43">
        <f>VLOOKUP(Tabla15[[#This Row],[N° 
Evento]],'Eventos de riesgos'!B:C,2,0)</f>
        <v>2025</v>
      </c>
      <c r="P312" s="43" t="str">
        <f>VLOOKUP(Tabla15[[#This Row],[N° 
Evento]],'Eventos de riesgos'!B:D,3,0)</f>
        <v>Nov</v>
      </c>
      <c r="Q312" s="48">
        <f>VLOOKUP(Tabla15[[#This Row],[N° 
Evento]],'Eventos de riesgos'!B:E,4,0)</f>
        <v>46022.588194444441</v>
      </c>
      <c r="R312" s="48">
        <f>VLOOKUP(Tabla15[[#This Row],[N° 
Evento]],'Eventos de riesgos'!B:F,5,0)</f>
        <v>45965.588194444441</v>
      </c>
      <c r="S312" s="48">
        <f>VLOOKUP(Tabla15[[#This Row],[N° 
Evento]],'Eventos de riesgos'!B:G,6,0)</f>
        <v>45995.588888888888</v>
      </c>
      <c r="T312"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2" s="49">
        <f>VLOOKUP(Tabla15[[#This Row],[N° 
Evento]],'Eventos de riesgos'!B:I,8,0)</f>
        <v>0</v>
      </c>
      <c r="V312" s="49">
        <f>VLOOKUP(Tabla15[[#This Row],[N° 
Evento]],'Eventos de riesgos'!B:J,9,0)</f>
        <v>0</v>
      </c>
      <c r="W312" s="49">
        <f>VLOOKUP(Tabla15[[#This Row],[N° 
Evento]],'Eventos de riesgos'!B:K,10,0)</f>
        <v>0</v>
      </c>
      <c r="X312" s="44" t="str">
        <f>VLOOKUP(Tabla15[[#This Row],[N° 
Evento]],'Eventos de riesgos'!B:L,11,0)</f>
        <v>7 - Ejecución y Administración de Procesos</v>
      </c>
      <c r="Y312" s="44" t="str">
        <f>VLOOKUP(Tabla15[[#This Row],[N° 
Evento]],'Eventos de riesgos'!B:M,12,0)</f>
        <v>71 - Recepción, Ejecución y Mantenimiento de Operaciones</v>
      </c>
      <c r="Z312" s="44" t="str">
        <f>VLOOKUP(Tabla15[[#This Row],[N° 
Evento]],'Eventos de riesgos'!B:N,13,0)</f>
        <v>713 - Incumplimiento de Plazos o Responsabilidades</v>
      </c>
      <c r="AA312" s="44" t="str">
        <f>+VLOOKUP(Tabla15[[#This Row],[N° 
Evento]],'Eventos de riesgos'!$B$1:$AA$87,23,0)</f>
        <v>Operaciones BreB sin Recursos</v>
      </c>
      <c r="AB312" s="43" t="str">
        <f>VLOOKUP(Tabla15[[#This Row],[N° 
Evento]],'Eventos de riesgos'!B:O,14,0)</f>
        <v>Ninguna</v>
      </c>
      <c r="AC312" s="48">
        <f>VLOOKUP(Tabla15[[#This Row],[N° 
Evento]],'Eventos de riesgos'!B:P,15,0)</f>
        <v>45991.667361111111</v>
      </c>
      <c r="AD312" s="43" t="str">
        <f>VLOOKUP(Tabla15[[#This Row],[N° 
Evento]],'Eventos de riesgos'!B:Q,16,0)</f>
        <v>Ahorros voluntarios</v>
      </c>
      <c r="AE312" s="43" t="str">
        <f>VLOOKUP(Tabla15[[#This Row],[N° 
Evento]],'Eventos de riesgos'!B:R,17,0)</f>
        <v>Aplicación móvil (App Febor)</v>
      </c>
      <c r="AF312" s="45" t="str">
        <f>VLOOKUP(Tabla15[[#This Row],[N° 
Evento]],'Eventos de riesgos'!B:V,21,0)</f>
        <v>Aprobado</v>
      </c>
      <c r="AG312" s="44" t="str">
        <f>VLOOKUP(Tabla15[[#This Row],[N° 
Evento]],'Eventos de riesgos'!B:W,22,0)</f>
        <v>08/12/2025 16:02:23: Creado</v>
      </c>
    </row>
    <row r="313" spans="3:33" ht="54.5" customHeight="1" x14ac:dyDescent="0.55000000000000004">
      <c r="C313" s="43" t="str">
        <f>+Tabla15[[#This Row],[N° 
Evento]]&amp;"-"&amp;Tabla15[[#This Row],[N° Tarea]]</f>
        <v>85-4</v>
      </c>
      <c r="D313" s="54">
        <v>85</v>
      </c>
      <c r="E313" s="54">
        <v>4</v>
      </c>
      <c r="F313" s="51" t="s">
        <v>1026</v>
      </c>
      <c r="G313" s="44" t="s">
        <v>1053</v>
      </c>
      <c r="H313" s="44" t="s">
        <v>261</v>
      </c>
      <c r="I313" s="44" t="s">
        <v>1027</v>
      </c>
      <c r="J313" s="57">
        <v>45965</v>
      </c>
      <c r="K313" s="57">
        <v>46027</v>
      </c>
      <c r="L313" s="72" t="str">
        <f>IF(Tabla15[[#This Row],[Fecha de Finalización]]&gt;0,"Cerrada","En Proceso")</f>
        <v>Cerrada</v>
      </c>
      <c r="M313" s="52">
        <f t="shared" si="16"/>
        <v>62</v>
      </c>
      <c r="N313" s="44"/>
      <c r="O313" s="43">
        <f>VLOOKUP(Tabla15[[#This Row],[N° 
Evento]],'Eventos de riesgos'!B:C,2,0)</f>
        <v>2025</v>
      </c>
      <c r="P313" s="43" t="str">
        <f>VLOOKUP(Tabla15[[#This Row],[N° 
Evento]],'Eventos de riesgos'!B:D,3,0)</f>
        <v>Nov</v>
      </c>
      <c r="Q313" s="48">
        <f>VLOOKUP(Tabla15[[#This Row],[N° 
Evento]],'Eventos de riesgos'!B:E,4,0)</f>
        <v>46022.588194444441</v>
      </c>
      <c r="R313" s="48">
        <f>VLOOKUP(Tabla15[[#This Row],[N° 
Evento]],'Eventos de riesgos'!B:F,5,0)</f>
        <v>45965.588194444441</v>
      </c>
      <c r="S313" s="48">
        <f>VLOOKUP(Tabla15[[#This Row],[N° 
Evento]],'Eventos de riesgos'!B:G,6,0)</f>
        <v>45995.588888888888</v>
      </c>
      <c r="T313"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3" s="49">
        <f>VLOOKUP(Tabla15[[#This Row],[N° 
Evento]],'Eventos de riesgos'!B:I,8,0)</f>
        <v>0</v>
      </c>
      <c r="V313" s="49">
        <f>VLOOKUP(Tabla15[[#This Row],[N° 
Evento]],'Eventos de riesgos'!B:J,9,0)</f>
        <v>0</v>
      </c>
      <c r="W313" s="49">
        <f>VLOOKUP(Tabla15[[#This Row],[N° 
Evento]],'Eventos de riesgos'!B:K,10,0)</f>
        <v>0</v>
      </c>
      <c r="X313" s="44" t="str">
        <f>VLOOKUP(Tabla15[[#This Row],[N° 
Evento]],'Eventos de riesgos'!B:L,11,0)</f>
        <v>7 - Ejecución y Administración de Procesos</v>
      </c>
      <c r="Y313" s="44" t="str">
        <f>VLOOKUP(Tabla15[[#This Row],[N° 
Evento]],'Eventos de riesgos'!B:M,12,0)</f>
        <v>71 - Recepción, Ejecución y Mantenimiento de Operaciones</v>
      </c>
      <c r="Z313" s="44" t="str">
        <f>VLOOKUP(Tabla15[[#This Row],[N° 
Evento]],'Eventos de riesgos'!B:N,13,0)</f>
        <v>713 - Incumplimiento de Plazos o Responsabilidades</v>
      </c>
      <c r="AA313" s="44" t="str">
        <f>+VLOOKUP(Tabla15[[#This Row],[N° 
Evento]],'Eventos de riesgos'!$B$1:$AA$87,23,0)</f>
        <v>Operaciones BreB sin Recursos</v>
      </c>
      <c r="AB313" s="43" t="str">
        <f>VLOOKUP(Tabla15[[#This Row],[N° 
Evento]],'Eventos de riesgos'!B:O,14,0)</f>
        <v>Ninguna</v>
      </c>
      <c r="AC313" s="48">
        <f>VLOOKUP(Tabla15[[#This Row],[N° 
Evento]],'Eventos de riesgos'!B:P,15,0)</f>
        <v>45991.667361111111</v>
      </c>
      <c r="AD313" s="43" t="str">
        <f>VLOOKUP(Tabla15[[#This Row],[N° 
Evento]],'Eventos de riesgos'!B:Q,16,0)</f>
        <v>Ahorros voluntarios</v>
      </c>
      <c r="AE313" s="43" t="str">
        <f>VLOOKUP(Tabla15[[#This Row],[N° 
Evento]],'Eventos de riesgos'!B:R,17,0)</f>
        <v>Aplicación móvil (App Febor)</v>
      </c>
      <c r="AF313" s="45" t="str">
        <f>VLOOKUP(Tabla15[[#This Row],[N° 
Evento]],'Eventos de riesgos'!B:V,21,0)</f>
        <v>Aprobado</v>
      </c>
      <c r="AG313" s="44" t="str">
        <f>VLOOKUP(Tabla15[[#This Row],[N° 
Evento]],'Eventos de riesgos'!B:W,22,0)</f>
        <v>08/12/2025 16:02:23: Creado</v>
      </c>
    </row>
    <row r="314" spans="3:33" ht="62" customHeight="1" x14ac:dyDescent="0.55000000000000004">
      <c r="C314" s="43" t="str">
        <f>+Tabla15[[#This Row],[N° 
Evento]]&amp;"-"&amp;Tabla15[[#This Row],[N° Tarea]]</f>
        <v>85-5</v>
      </c>
      <c r="D314" s="54">
        <v>85</v>
      </c>
      <c r="E314" s="54">
        <v>5</v>
      </c>
      <c r="F314" s="51" t="s">
        <v>994</v>
      </c>
      <c r="G314" s="44" t="s">
        <v>1053</v>
      </c>
      <c r="H314" s="44" t="s">
        <v>995</v>
      </c>
      <c r="I314" s="44" t="s">
        <v>999</v>
      </c>
      <c r="J314" s="57">
        <v>45991</v>
      </c>
      <c r="K314" s="57">
        <v>45677</v>
      </c>
      <c r="L314" s="72" t="str">
        <f>IF(Tabla15[[#This Row],[Fecha de Finalización]]&gt;0,"Cerrada","En Proceso")</f>
        <v>Cerrada</v>
      </c>
      <c r="M314" s="52">
        <f t="shared" si="16"/>
        <v>-314</v>
      </c>
      <c r="N314" s="59" t="s">
        <v>1059</v>
      </c>
      <c r="O314" s="43">
        <f>VLOOKUP(Tabla15[[#This Row],[N° 
Evento]],'Eventos de riesgos'!B:C,2,0)</f>
        <v>2025</v>
      </c>
      <c r="P314" s="43" t="str">
        <f>VLOOKUP(Tabla15[[#This Row],[N° 
Evento]],'Eventos de riesgos'!B:D,3,0)</f>
        <v>Nov</v>
      </c>
      <c r="Q314" s="48">
        <f>VLOOKUP(Tabla15[[#This Row],[N° 
Evento]],'Eventos de riesgos'!B:E,4,0)</f>
        <v>46022.588194444441</v>
      </c>
      <c r="R314" s="48">
        <f>VLOOKUP(Tabla15[[#This Row],[N° 
Evento]],'Eventos de riesgos'!B:F,5,0)</f>
        <v>45965.588194444441</v>
      </c>
      <c r="S314" s="48">
        <f>VLOOKUP(Tabla15[[#This Row],[N° 
Evento]],'Eventos de riesgos'!B:G,6,0)</f>
        <v>45995.588888888888</v>
      </c>
      <c r="T314"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4" s="49">
        <f>VLOOKUP(Tabla15[[#This Row],[N° 
Evento]],'Eventos de riesgos'!B:I,8,0)</f>
        <v>0</v>
      </c>
      <c r="V314" s="49">
        <f>VLOOKUP(Tabla15[[#This Row],[N° 
Evento]],'Eventos de riesgos'!B:J,9,0)</f>
        <v>0</v>
      </c>
      <c r="W314" s="49">
        <f>VLOOKUP(Tabla15[[#This Row],[N° 
Evento]],'Eventos de riesgos'!B:K,10,0)</f>
        <v>0</v>
      </c>
      <c r="X314" s="44" t="str">
        <f>VLOOKUP(Tabla15[[#This Row],[N° 
Evento]],'Eventos de riesgos'!B:L,11,0)</f>
        <v>7 - Ejecución y Administración de Procesos</v>
      </c>
      <c r="Y314" s="44" t="str">
        <f>VLOOKUP(Tabla15[[#This Row],[N° 
Evento]],'Eventos de riesgos'!B:M,12,0)</f>
        <v>71 - Recepción, Ejecución y Mantenimiento de Operaciones</v>
      </c>
      <c r="Z314" s="44" t="str">
        <f>VLOOKUP(Tabla15[[#This Row],[N° 
Evento]],'Eventos de riesgos'!B:N,13,0)</f>
        <v>713 - Incumplimiento de Plazos o Responsabilidades</v>
      </c>
      <c r="AA314" s="44" t="str">
        <f>+VLOOKUP(Tabla15[[#This Row],[N° 
Evento]],'Eventos de riesgos'!$B$1:$AA$87,23,0)</f>
        <v>Operaciones BreB sin Recursos</v>
      </c>
      <c r="AB314" s="43" t="str">
        <f>VLOOKUP(Tabla15[[#This Row],[N° 
Evento]],'Eventos de riesgos'!B:O,14,0)</f>
        <v>Ninguna</v>
      </c>
      <c r="AC314" s="48">
        <f>VLOOKUP(Tabla15[[#This Row],[N° 
Evento]],'Eventos de riesgos'!B:P,15,0)</f>
        <v>45991.667361111111</v>
      </c>
      <c r="AD314" s="43" t="str">
        <f>VLOOKUP(Tabla15[[#This Row],[N° 
Evento]],'Eventos de riesgos'!B:Q,16,0)</f>
        <v>Ahorros voluntarios</v>
      </c>
      <c r="AE314" s="43" t="str">
        <f>VLOOKUP(Tabla15[[#This Row],[N° 
Evento]],'Eventos de riesgos'!B:R,17,0)</f>
        <v>Aplicación móvil (App Febor)</v>
      </c>
      <c r="AF314" s="45" t="str">
        <f>VLOOKUP(Tabla15[[#This Row],[N° 
Evento]],'Eventos de riesgos'!B:V,21,0)</f>
        <v>Aprobado</v>
      </c>
      <c r="AG314" s="44" t="str">
        <f>VLOOKUP(Tabla15[[#This Row],[N° 
Evento]],'Eventos de riesgos'!B:W,22,0)</f>
        <v>08/12/2025 16:02:23: Creado</v>
      </c>
    </row>
    <row r="315" spans="3:33" ht="46.5" customHeight="1" x14ac:dyDescent="0.55000000000000004">
      <c r="C315" s="54" t="str">
        <f>+Tabla15[[#This Row],[N° 
Evento]]&amp;"-"&amp;Tabla15[[#This Row],[N° Tarea]]</f>
        <v>86-1</v>
      </c>
      <c r="D315" s="54">
        <v>86</v>
      </c>
      <c r="E315" s="54">
        <v>1</v>
      </c>
      <c r="F315" s="55" t="s">
        <v>1028</v>
      </c>
      <c r="G315" s="44" t="s">
        <v>1052</v>
      </c>
      <c r="H315" s="59" t="s">
        <v>471</v>
      </c>
      <c r="I315" s="56" t="s">
        <v>425</v>
      </c>
      <c r="J315" s="57">
        <v>45992</v>
      </c>
      <c r="K315" s="57">
        <v>45994</v>
      </c>
      <c r="L315" s="73" t="str">
        <f>IF(Tabla15[[#This Row],[Fecha de Finalización]]&gt;0,"Cerrada","En Proceso")</f>
        <v>Cerrada</v>
      </c>
      <c r="M315" s="58">
        <f t="shared" si="16"/>
        <v>2</v>
      </c>
      <c r="N315" s="59"/>
      <c r="O315" s="54">
        <f>VLOOKUP(Tabla15[[#This Row],[N° 
Evento]],'Eventos de riesgos'!B:C,2,0)</f>
        <v>2025</v>
      </c>
      <c r="P315" s="54" t="str">
        <f>VLOOKUP(Tabla15[[#This Row],[N° 
Evento]],'Eventos de riesgos'!B:D,3,0)</f>
        <v xml:space="preserve">Dic  </v>
      </c>
      <c r="Q315" s="60">
        <f>VLOOKUP(Tabla15[[#This Row],[N° 
Evento]],'Eventos de riesgos'!B:E,4,0)</f>
        <v>45992.386805555558</v>
      </c>
      <c r="R315" s="60">
        <f>VLOOKUP(Tabla15[[#This Row],[N° 
Evento]],'Eventos de riesgos'!B:F,5,0)</f>
        <v>45992.386805555558</v>
      </c>
      <c r="S315" s="60">
        <f>VLOOKUP(Tabla15[[#This Row],[N° 
Evento]],'Eventos de riesgos'!B:G,6,0)</f>
        <v>45992.386805555558</v>
      </c>
      <c r="T315"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5" s="61">
        <f>VLOOKUP(Tabla15[[#This Row],[N° 
Evento]],'Eventos de riesgos'!B:I,8,0)</f>
        <v>4301000</v>
      </c>
      <c r="V315" s="61">
        <f>VLOOKUP(Tabla15[[#This Row],[N° 
Evento]],'Eventos de riesgos'!B:J,9,0)</f>
        <v>4301000</v>
      </c>
      <c r="W315" s="61">
        <f>VLOOKUP(Tabla15[[#This Row],[N° 
Evento]],'Eventos de riesgos'!B:K,10,0)</f>
        <v>0</v>
      </c>
      <c r="X315" s="59" t="str">
        <f>VLOOKUP(Tabla15[[#This Row],[N° 
Evento]],'Eventos de riesgos'!B:L,11,0)</f>
        <v>3 - Relaciones laborales</v>
      </c>
      <c r="Y315" s="59" t="str">
        <f>VLOOKUP(Tabla15[[#This Row],[N° 
Evento]],'Eventos de riesgos'!B:M,12,0)</f>
        <v>31 - Relaciones laborales</v>
      </c>
      <c r="Z315" s="59" t="str">
        <f>VLOOKUP(Tabla15[[#This Row],[N° 
Evento]],'Eventos de riesgos'!B:N,13,0)</f>
        <v>314 - Organización laboral</v>
      </c>
      <c r="AA315" s="59" t="str">
        <f>+VLOOKUP(Tabla15[[#This Row],[N° 
Evento]],'Eventos de riesgos'!$B$1:$AA$87,23,0)</f>
        <v>Faltante caja Mazuren</v>
      </c>
      <c r="AB315" s="54" t="str">
        <f>VLOOKUP(Tabla15[[#This Row],[N° 
Evento]],'Eventos de riesgos'!B:O,14,0)</f>
        <v>Ninguna</v>
      </c>
      <c r="AC315" s="60">
        <f>VLOOKUP(Tabla15[[#This Row],[N° 
Evento]],'Eventos de riesgos'!B:P,15,0)</f>
        <v>46022.061805555553</v>
      </c>
      <c r="AD315" s="54" t="str">
        <f>VLOOKUP(Tabla15[[#This Row],[N° 
Evento]],'Eventos de riesgos'!B:Q,16,0)</f>
        <v>Ninguno</v>
      </c>
      <c r="AE315" s="54" t="str">
        <f>VLOOKUP(Tabla15[[#This Row],[N° 
Evento]],'Eventos de riesgos'!B:R,17,0)</f>
        <v>Atención en oficina (caja)</v>
      </c>
      <c r="AF315" s="56" t="str">
        <f>VLOOKUP(Tabla15[[#This Row],[N° 
Evento]],'Eventos de riesgos'!B:V,21,0)</f>
        <v>Aprobado</v>
      </c>
      <c r="AG315" s="59" t="str">
        <f>VLOOKUP(Tabla15[[#This Row],[N° 
Evento]],'Eventos de riesgos'!B:W,22,0)</f>
        <v>null
11/12/2025 00:51:10: TALLER 2025
11/01/2026 23:59:34: Revisado
12/01/2026 01:29:44: Aprobado</v>
      </c>
    </row>
    <row r="316" spans="3:33" ht="46.5" customHeight="1" x14ac:dyDescent="0.55000000000000004">
      <c r="C316" s="54" t="str">
        <f>+Tabla15[[#This Row],[N° 
Evento]]&amp;"-"&amp;Tabla15[[#This Row],[N° Tarea]]</f>
        <v>86-2</v>
      </c>
      <c r="D316" s="54">
        <v>86</v>
      </c>
      <c r="E316" s="54">
        <v>2</v>
      </c>
      <c r="F316" s="55" t="s">
        <v>1029</v>
      </c>
      <c r="G316" s="44" t="s">
        <v>1052</v>
      </c>
      <c r="H316" s="44" t="s">
        <v>769</v>
      </c>
      <c r="I316" s="44" t="s">
        <v>273</v>
      </c>
      <c r="J316" s="57">
        <v>45992</v>
      </c>
      <c r="K316" s="57">
        <v>46006</v>
      </c>
      <c r="L316" s="73" t="str">
        <f>IF(Tabla15[[#This Row],[Fecha de Finalización]]&gt;0,"Cerrada","En Proceso")</f>
        <v>Cerrada</v>
      </c>
      <c r="M316" s="58">
        <f t="shared" si="16"/>
        <v>14</v>
      </c>
      <c r="N316" s="59"/>
      <c r="O316" s="54">
        <f>VLOOKUP(Tabla15[[#This Row],[N° 
Evento]],'Eventos de riesgos'!B:C,2,0)</f>
        <v>2025</v>
      </c>
      <c r="P316" s="54" t="str">
        <f>VLOOKUP(Tabla15[[#This Row],[N° 
Evento]],'Eventos de riesgos'!B:D,3,0)</f>
        <v xml:space="preserve">Dic  </v>
      </c>
      <c r="Q316" s="60">
        <f>VLOOKUP(Tabla15[[#This Row],[N° 
Evento]],'Eventos de riesgos'!B:E,4,0)</f>
        <v>45992.386805555558</v>
      </c>
      <c r="R316" s="60">
        <f>VLOOKUP(Tabla15[[#This Row],[N° 
Evento]],'Eventos de riesgos'!B:F,5,0)</f>
        <v>45992.386805555558</v>
      </c>
      <c r="S316" s="60">
        <f>VLOOKUP(Tabla15[[#This Row],[N° 
Evento]],'Eventos de riesgos'!B:G,6,0)</f>
        <v>45992.386805555558</v>
      </c>
      <c r="T316"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6" s="61">
        <f>VLOOKUP(Tabla15[[#This Row],[N° 
Evento]],'Eventos de riesgos'!B:I,8,0)</f>
        <v>4301000</v>
      </c>
      <c r="V316" s="61">
        <f>VLOOKUP(Tabla15[[#This Row],[N° 
Evento]],'Eventos de riesgos'!B:J,9,0)</f>
        <v>4301000</v>
      </c>
      <c r="W316" s="61">
        <f>VLOOKUP(Tabla15[[#This Row],[N° 
Evento]],'Eventos de riesgos'!B:K,10,0)</f>
        <v>0</v>
      </c>
      <c r="X316" s="59" t="str">
        <f>VLOOKUP(Tabla15[[#This Row],[N° 
Evento]],'Eventos de riesgos'!B:L,11,0)</f>
        <v>3 - Relaciones laborales</v>
      </c>
      <c r="Y316" s="59" t="str">
        <f>VLOOKUP(Tabla15[[#This Row],[N° 
Evento]],'Eventos de riesgos'!B:M,12,0)</f>
        <v>31 - Relaciones laborales</v>
      </c>
      <c r="Z316" s="59" t="str">
        <f>VLOOKUP(Tabla15[[#This Row],[N° 
Evento]],'Eventos de riesgos'!B:N,13,0)</f>
        <v>314 - Organización laboral</v>
      </c>
      <c r="AA316" s="59" t="str">
        <f>+VLOOKUP(Tabla15[[#This Row],[N° 
Evento]],'Eventos de riesgos'!$B$1:$AA$87,23,0)</f>
        <v>Faltante caja Mazuren</v>
      </c>
      <c r="AB316" s="54" t="str">
        <f>VLOOKUP(Tabla15[[#This Row],[N° 
Evento]],'Eventos de riesgos'!B:O,14,0)</f>
        <v>Ninguna</v>
      </c>
      <c r="AC316" s="60">
        <f>VLOOKUP(Tabla15[[#This Row],[N° 
Evento]],'Eventos de riesgos'!B:P,15,0)</f>
        <v>46022.061805555553</v>
      </c>
      <c r="AD316" s="54" t="str">
        <f>VLOOKUP(Tabla15[[#This Row],[N° 
Evento]],'Eventos de riesgos'!B:Q,16,0)</f>
        <v>Ninguno</v>
      </c>
      <c r="AE316" s="54" t="str">
        <f>VLOOKUP(Tabla15[[#This Row],[N° 
Evento]],'Eventos de riesgos'!B:R,17,0)</f>
        <v>Atención en oficina (caja)</v>
      </c>
      <c r="AF316" s="56" t="str">
        <f>VLOOKUP(Tabla15[[#This Row],[N° 
Evento]],'Eventos de riesgos'!B:V,21,0)</f>
        <v>Aprobado</v>
      </c>
      <c r="AG316" s="59" t="str">
        <f>VLOOKUP(Tabla15[[#This Row],[N° 
Evento]],'Eventos de riesgos'!B:W,22,0)</f>
        <v>null
11/12/2025 00:51:10: TALLER 2025
11/01/2026 23:59:34: Revisado
12/01/2026 01:29:44: Aprobado</v>
      </c>
    </row>
    <row r="317" spans="3:33" ht="64" customHeight="1" x14ac:dyDescent="0.55000000000000004">
      <c r="C317" s="54" t="str">
        <f>+Tabla15[[#This Row],[N° 
Evento]]&amp;"-"&amp;Tabla15[[#This Row],[N° Tarea]]</f>
        <v>86-3</v>
      </c>
      <c r="D317" s="54">
        <v>86</v>
      </c>
      <c r="E317" s="54">
        <v>3</v>
      </c>
      <c r="F317" s="55" t="s">
        <v>1030</v>
      </c>
      <c r="G317" s="44" t="s">
        <v>1052</v>
      </c>
      <c r="H317" s="59" t="s">
        <v>441</v>
      </c>
      <c r="I317" s="59" t="s">
        <v>240</v>
      </c>
      <c r="J317" s="57">
        <v>45992</v>
      </c>
      <c r="K317" s="57">
        <v>45673</v>
      </c>
      <c r="L317" s="73" t="str">
        <f>IF(Tabla15[[#This Row],[Fecha de Finalización]]&gt;0,"Cerrada","En Proceso")</f>
        <v>Cerrada</v>
      </c>
      <c r="M317" s="58">
        <f t="shared" si="16"/>
        <v>-319</v>
      </c>
      <c r="N317" s="59"/>
      <c r="O317" s="54">
        <f>VLOOKUP(Tabla15[[#This Row],[N° 
Evento]],'Eventos de riesgos'!B:C,2,0)</f>
        <v>2025</v>
      </c>
      <c r="P317" s="54" t="str">
        <f>VLOOKUP(Tabla15[[#This Row],[N° 
Evento]],'Eventos de riesgos'!B:D,3,0)</f>
        <v xml:space="preserve">Dic  </v>
      </c>
      <c r="Q317" s="60">
        <f>VLOOKUP(Tabla15[[#This Row],[N° 
Evento]],'Eventos de riesgos'!B:E,4,0)</f>
        <v>45992.386805555558</v>
      </c>
      <c r="R317" s="60">
        <f>VLOOKUP(Tabla15[[#This Row],[N° 
Evento]],'Eventos de riesgos'!B:F,5,0)</f>
        <v>45992.386805555558</v>
      </c>
      <c r="S317" s="60">
        <f>VLOOKUP(Tabla15[[#This Row],[N° 
Evento]],'Eventos de riesgos'!B:G,6,0)</f>
        <v>45992.386805555558</v>
      </c>
      <c r="T317"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7" s="61">
        <f>VLOOKUP(Tabla15[[#This Row],[N° 
Evento]],'Eventos de riesgos'!B:I,8,0)</f>
        <v>4301000</v>
      </c>
      <c r="V317" s="61">
        <f>VLOOKUP(Tabla15[[#This Row],[N° 
Evento]],'Eventos de riesgos'!B:J,9,0)</f>
        <v>4301000</v>
      </c>
      <c r="W317" s="61">
        <f>VLOOKUP(Tabla15[[#This Row],[N° 
Evento]],'Eventos de riesgos'!B:K,10,0)</f>
        <v>0</v>
      </c>
      <c r="X317" s="59" t="str">
        <f>VLOOKUP(Tabla15[[#This Row],[N° 
Evento]],'Eventos de riesgos'!B:L,11,0)</f>
        <v>3 - Relaciones laborales</v>
      </c>
      <c r="Y317" s="59" t="str">
        <f>VLOOKUP(Tabla15[[#This Row],[N° 
Evento]],'Eventos de riesgos'!B:M,12,0)</f>
        <v>31 - Relaciones laborales</v>
      </c>
      <c r="Z317" s="59" t="str">
        <f>VLOOKUP(Tabla15[[#This Row],[N° 
Evento]],'Eventos de riesgos'!B:N,13,0)</f>
        <v>314 - Organización laboral</v>
      </c>
      <c r="AA317" s="59" t="str">
        <f>+VLOOKUP(Tabla15[[#This Row],[N° 
Evento]],'Eventos de riesgos'!$B$1:$AA$87,23,0)</f>
        <v>Faltante caja Mazuren</v>
      </c>
      <c r="AB317" s="54" t="str">
        <f>VLOOKUP(Tabla15[[#This Row],[N° 
Evento]],'Eventos de riesgos'!B:O,14,0)</f>
        <v>Ninguna</v>
      </c>
      <c r="AC317" s="60">
        <f>VLOOKUP(Tabla15[[#This Row],[N° 
Evento]],'Eventos de riesgos'!B:P,15,0)</f>
        <v>46022.061805555553</v>
      </c>
      <c r="AD317" s="54" t="str">
        <f>VLOOKUP(Tabla15[[#This Row],[N° 
Evento]],'Eventos de riesgos'!B:Q,16,0)</f>
        <v>Ninguno</v>
      </c>
      <c r="AE317" s="54" t="str">
        <f>VLOOKUP(Tabla15[[#This Row],[N° 
Evento]],'Eventos de riesgos'!B:R,17,0)</f>
        <v>Atención en oficina (caja)</v>
      </c>
      <c r="AF317" s="56" t="str">
        <f>VLOOKUP(Tabla15[[#This Row],[N° 
Evento]],'Eventos de riesgos'!B:V,21,0)</f>
        <v>Aprobado</v>
      </c>
      <c r="AG317" s="59" t="str">
        <f>VLOOKUP(Tabla15[[#This Row],[N° 
Evento]],'Eventos de riesgos'!B:W,22,0)</f>
        <v>null
11/12/2025 00:51:10: TALLER 2025
11/01/2026 23:59:34: Revisado
12/01/2026 01:29:44: Aprobado</v>
      </c>
    </row>
    <row r="318" spans="3:33" ht="125.5" customHeight="1" x14ac:dyDescent="0.55000000000000004">
      <c r="C318" s="54" t="str">
        <f>+Tabla15[[#This Row],[N° 
Evento]]&amp;"-"&amp;Tabla15[[#This Row],[N° Tarea]]</f>
        <v>86-4</v>
      </c>
      <c r="D318" s="54">
        <v>86</v>
      </c>
      <c r="E318" s="54">
        <v>4</v>
      </c>
      <c r="F318" s="55" t="s">
        <v>1031</v>
      </c>
      <c r="G318" s="44" t="s">
        <v>1052</v>
      </c>
      <c r="H318" s="59" t="s">
        <v>1033</v>
      </c>
      <c r="I318" s="59" t="s">
        <v>1034</v>
      </c>
      <c r="J318" s="57">
        <v>45992</v>
      </c>
      <c r="K318" s="57">
        <v>45677</v>
      </c>
      <c r="L318" s="73" t="str">
        <f>IF(Tabla15[[#This Row],[Fecha de Finalización]]&gt;0,"Cerrada","En Proceso")</f>
        <v>Cerrada</v>
      </c>
      <c r="M318" s="58">
        <f t="shared" si="16"/>
        <v>-315</v>
      </c>
      <c r="N318" s="59" t="s">
        <v>1044</v>
      </c>
      <c r="O318" s="54">
        <f>VLOOKUP(Tabla15[[#This Row],[N° 
Evento]],'Eventos de riesgos'!B:C,2,0)</f>
        <v>2025</v>
      </c>
      <c r="P318" s="54" t="str">
        <f>VLOOKUP(Tabla15[[#This Row],[N° 
Evento]],'Eventos de riesgos'!B:D,3,0)</f>
        <v xml:space="preserve">Dic  </v>
      </c>
      <c r="Q318" s="60">
        <f>VLOOKUP(Tabla15[[#This Row],[N° 
Evento]],'Eventos de riesgos'!B:E,4,0)</f>
        <v>45992.386805555558</v>
      </c>
      <c r="R318" s="60">
        <f>VLOOKUP(Tabla15[[#This Row],[N° 
Evento]],'Eventos de riesgos'!B:F,5,0)</f>
        <v>45992.386805555558</v>
      </c>
      <c r="S318" s="60">
        <f>VLOOKUP(Tabla15[[#This Row],[N° 
Evento]],'Eventos de riesgos'!B:G,6,0)</f>
        <v>45992.386805555558</v>
      </c>
      <c r="T318"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8" s="61">
        <f>VLOOKUP(Tabla15[[#This Row],[N° 
Evento]],'Eventos de riesgos'!B:I,8,0)</f>
        <v>4301000</v>
      </c>
      <c r="V318" s="61">
        <f>VLOOKUP(Tabla15[[#This Row],[N° 
Evento]],'Eventos de riesgos'!B:J,9,0)</f>
        <v>4301000</v>
      </c>
      <c r="W318" s="61">
        <f>VLOOKUP(Tabla15[[#This Row],[N° 
Evento]],'Eventos de riesgos'!B:K,10,0)</f>
        <v>0</v>
      </c>
      <c r="X318" s="59" t="str">
        <f>VLOOKUP(Tabla15[[#This Row],[N° 
Evento]],'Eventos de riesgos'!B:L,11,0)</f>
        <v>3 - Relaciones laborales</v>
      </c>
      <c r="Y318" s="59" t="str">
        <f>VLOOKUP(Tabla15[[#This Row],[N° 
Evento]],'Eventos de riesgos'!B:M,12,0)</f>
        <v>31 - Relaciones laborales</v>
      </c>
      <c r="Z318" s="59" t="str">
        <f>VLOOKUP(Tabla15[[#This Row],[N° 
Evento]],'Eventos de riesgos'!B:N,13,0)</f>
        <v>314 - Organización laboral</v>
      </c>
      <c r="AA318" s="59" t="str">
        <f>+VLOOKUP(Tabla15[[#This Row],[N° 
Evento]],'Eventos de riesgos'!$B$1:$AA$87,23,0)</f>
        <v>Faltante caja Mazuren</v>
      </c>
      <c r="AB318" s="54" t="str">
        <f>VLOOKUP(Tabla15[[#This Row],[N° 
Evento]],'Eventos de riesgos'!B:O,14,0)</f>
        <v>Ninguna</v>
      </c>
      <c r="AC318" s="60">
        <f>VLOOKUP(Tabla15[[#This Row],[N° 
Evento]],'Eventos de riesgos'!B:P,15,0)</f>
        <v>46022.061805555553</v>
      </c>
      <c r="AD318" s="54" t="str">
        <f>VLOOKUP(Tabla15[[#This Row],[N° 
Evento]],'Eventos de riesgos'!B:Q,16,0)</f>
        <v>Ninguno</v>
      </c>
      <c r="AE318" s="54" t="str">
        <f>VLOOKUP(Tabla15[[#This Row],[N° 
Evento]],'Eventos de riesgos'!B:R,17,0)</f>
        <v>Atención en oficina (caja)</v>
      </c>
      <c r="AF318" s="56" t="str">
        <f>VLOOKUP(Tabla15[[#This Row],[N° 
Evento]],'Eventos de riesgos'!B:V,21,0)</f>
        <v>Aprobado</v>
      </c>
      <c r="AG318" s="59" t="str">
        <f>VLOOKUP(Tabla15[[#This Row],[N° 
Evento]],'Eventos de riesgos'!B:W,22,0)</f>
        <v>null
11/12/2025 00:51:10: TALLER 2025
11/01/2026 23:59:34: Revisado
12/01/2026 01:29:44: Aprobado</v>
      </c>
    </row>
    <row r="319" spans="3:33" ht="94" customHeight="1" thickBot="1" x14ac:dyDescent="0.6">
      <c r="C319" s="54" t="str">
        <f>+Tabla15[[#This Row],[N° 
Evento]]&amp;"-"&amp;Tabla15[[#This Row],[N° Tarea]]</f>
        <v>86-5</v>
      </c>
      <c r="D319" s="54">
        <v>86</v>
      </c>
      <c r="E319" s="54">
        <v>5</v>
      </c>
      <c r="F319" s="55" t="s">
        <v>1032</v>
      </c>
      <c r="G319" s="44" t="s">
        <v>1053</v>
      </c>
      <c r="H319" s="44" t="s">
        <v>995</v>
      </c>
      <c r="I319" s="44" t="s">
        <v>999</v>
      </c>
      <c r="J319" s="57">
        <v>45992</v>
      </c>
      <c r="K319" s="57">
        <v>46053</v>
      </c>
      <c r="L319" s="73" t="str">
        <f>IF(Tabla15[[#This Row],[Fecha de Finalización]]&gt;0,"Cerrada","En Proceso")</f>
        <v>Cerrada</v>
      </c>
      <c r="M319" s="58">
        <f t="shared" si="16"/>
        <v>61</v>
      </c>
      <c r="N319" s="59" t="s">
        <v>1058</v>
      </c>
      <c r="O319" s="54">
        <f>VLOOKUP(Tabla15[[#This Row],[N° 
Evento]],'Eventos de riesgos'!B:C,2,0)</f>
        <v>2025</v>
      </c>
      <c r="P319" s="54" t="str">
        <f>VLOOKUP(Tabla15[[#This Row],[N° 
Evento]],'Eventos de riesgos'!B:D,3,0)</f>
        <v xml:space="preserve">Dic  </v>
      </c>
      <c r="Q319" s="60">
        <f>VLOOKUP(Tabla15[[#This Row],[N° 
Evento]],'Eventos de riesgos'!B:E,4,0)</f>
        <v>45992.386805555558</v>
      </c>
      <c r="R319" s="60">
        <f>VLOOKUP(Tabla15[[#This Row],[N° 
Evento]],'Eventos de riesgos'!B:F,5,0)</f>
        <v>45992.386805555558</v>
      </c>
      <c r="S319" s="60">
        <f>VLOOKUP(Tabla15[[#This Row],[N° 
Evento]],'Eventos de riesgos'!B:G,6,0)</f>
        <v>45992.386805555558</v>
      </c>
      <c r="T319"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9" s="61">
        <f>VLOOKUP(Tabla15[[#This Row],[N° 
Evento]],'Eventos de riesgos'!B:I,8,0)</f>
        <v>4301000</v>
      </c>
      <c r="V319" s="61">
        <f>VLOOKUP(Tabla15[[#This Row],[N° 
Evento]],'Eventos de riesgos'!B:J,9,0)</f>
        <v>4301000</v>
      </c>
      <c r="W319" s="61">
        <f>VLOOKUP(Tabla15[[#This Row],[N° 
Evento]],'Eventos de riesgos'!B:K,10,0)</f>
        <v>0</v>
      </c>
      <c r="X319" s="59" t="str">
        <f>VLOOKUP(Tabla15[[#This Row],[N° 
Evento]],'Eventos de riesgos'!B:L,11,0)</f>
        <v>3 - Relaciones laborales</v>
      </c>
      <c r="Y319" s="59" t="str">
        <f>VLOOKUP(Tabla15[[#This Row],[N° 
Evento]],'Eventos de riesgos'!B:M,12,0)</f>
        <v>31 - Relaciones laborales</v>
      </c>
      <c r="Z319" s="59" t="str">
        <f>VLOOKUP(Tabla15[[#This Row],[N° 
Evento]],'Eventos de riesgos'!B:N,13,0)</f>
        <v>314 - Organización laboral</v>
      </c>
      <c r="AA319" s="59" t="str">
        <f>+VLOOKUP(Tabla15[[#This Row],[N° 
Evento]],'Eventos de riesgos'!$B$1:$AA$87,23,0)</f>
        <v>Faltante caja Mazuren</v>
      </c>
      <c r="AB319" s="54" t="str">
        <f>VLOOKUP(Tabla15[[#This Row],[N° 
Evento]],'Eventos de riesgos'!B:O,14,0)</f>
        <v>Ninguna</v>
      </c>
      <c r="AC319" s="60">
        <f>VLOOKUP(Tabla15[[#This Row],[N° 
Evento]],'Eventos de riesgos'!B:P,15,0)</f>
        <v>46022.061805555553</v>
      </c>
      <c r="AD319" s="54" t="str">
        <f>VLOOKUP(Tabla15[[#This Row],[N° 
Evento]],'Eventos de riesgos'!B:Q,16,0)</f>
        <v>Ninguno</v>
      </c>
      <c r="AE319" s="54" t="str">
        <f>VLOOKUP(Tabla15[[#This Row],[N° 
Evento]],'Eventos de riesgos'!B:R,17,0)</f>
        <v>Atención en oficina (caja)</v>
      </c>
      <c r="AF319" s="56" t="str">
        <f>VLOOKUP(Tabla15[[#This Row],[N° 
Evento]],'Eventos de riesgos'!B:V,21,0)</f>
        <v>Aprobado</v>
      </c>
      <c r="AG319" s="59" t="str">
        <f>VLOOKUP(Tabla15[[#This Row],[N° 
Evento]],'Eventos de riesgos'!B:W,22,0)</f>
        <v>null
11/12/2025 00:51:10: TALLER 2025
11/01/2026 23:59:34: Revisado
12/01/2026 01:29:44: Aprobado</v>
      </c>
    </row>
    <row r="320" spans="3:33" ht="94" customHeight="1" thickBot="1" x14ac:dyDescent="0.6">
      <c r="C320" s="54" t="str">
        <f>+Tabla15[[#This Row],[N° 
Evento]]&amp;"-"&amp;Tabla15[[#This Row],[N° Tarea]]</f>
        <v>87-1</v>
      </c>
      <c r="D320" s="54">
        <v>87</v>
      </c>
      <c r="E320" s="54">
        <v>1</v>
      </c>
      <c r="F320" s="70" t="s">
        <v>1084</v>
      </c>
      <c r="G320" s="44" t="s">
        <v>1052</v>
      </c>
      <c r="H320" s="59" t="s">
        <v>725</v>
      </c>
      <c r="I320" s="59" t="s">
        <v>1089</v>
      </c>
      <c r="J320" s="57">
        <v>46024</v>
      </c>
      <c r="K320" s="57">
        <v>46059</v>
      </c>
      <c r="L320" s="73" t="str">
        <f>IF(Tabla15[[#This Row],[Fecha de Finalización]]&gt;0,"Cerrada","En Proceso")</f>
        <v>Cerrada</v>
      </c>
      <c r="M320" s="58">
        <f t="shared" ref="M320:M325" si="17">+K320-J320</f>
        <v>35</v>
      </c>
      <c r="N320" s="59"/>
      <c r="O320" s="54">
        <f>VLOOKUP(Tabla15[[#This Row],[N° 
Evento]],'Eventos de riesgos'!B:C,2,0)</f>
        <v>2026</v>
      </c>
      <c r="P320" s="54" t="str">
        <f>VLOOKUP(Tabla15[[#This Row],[N° 
Evento]],'Eventos de riesgos'!B:D,3,0)</f>
        <v xml:space="preserve">Ene </v>
      </c>
      <c r="Q320" s="60">
        <f>VLOOKUP(Tabla15[[#This Row],[N° 
Evento]],'Eventos de riesgos'!B:E,4,0)</f>
        <v>46086.803472222222</v>
      </c>
      <c r="R320" s="60">
        <f>VLOOKUP(Tabla15[[#This Row],[N° 
Evento]],'Eventos de riesgos'!B:F,5,0)</f>
        <v>46099.803472222222</v>
      </c>
      <c r="S320" s="60">
        <f>VLOOKUP(Tabla15[[#This Row],[N° 
Evento]],'Eventos de riesgos'!B:G,6,0)</f>
        <v>46024.803472222222</v>
      </c>
      <c r="T320"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0" s="61">
        <f>VLOOKUP(Tabla15[[#This Row],[N° 
Evento]],'Eventos de riesgos'!B:I,8,0)</f>
        <v>8957000</v>
      </c>
      <c r="V320" s="61">
        <f>VLOOKUP(Tabla15[[#This Row],[N° 
Evento]],'Eventos de riesgos'!B:J,9,0)</f>
        <v>8957000</v>
      </c>
      <c r="W320" s="61">
        <f>VLOOKUP(Tabla15[[#This Row],[N° 
Evento]],'Eventos de riesgos'!B:K,10,0)</f>
        <v>0</v>
      </c>
      <c r="X320" s="59" t="str">
        <f>VLOOKUP(Tabla15[[#This Row],[N° 
Evento]],'Eventos de riesgos'!B:L,11,0)</f>
        <v>Relaciones Laborales</v>
      </c>
      <c r="Y320" s="59" t="str">
        <f>VLOOKUP(Tabla15[[#This Row],[N° 
Evento]],'Eventos de riesgos'!B:M,12,0)</f>
        <v>Relaciones Laborales</v>
      </c>
      <c r="Z320" s="59" t="str">
        <f>VLOOKUP(Tabla15[[#This Row],[N° 
Evento]],'Eventos de riesgos'!B:N,13,0)</f>
        <v>Cuestiones Relativas a Prestaciones Sociales</v>
      </c>
      <c r="AA320" s="59" t="e">
        <f>+VLOOKUP(Tabla15[[#This Row],[N° 
Evento]],'Eventos de riesgos'!$B$1:$AA$87,23,0)</f>
        <v>#N/A</v>
      </c>
      <c r="AB320" s="54" t="str">
        <f>VLOOKUP(Tabla15[[#This Row],[N° 
Evento]],'Eventos de riesgos'!B:O,14,0)</f>
        <v>Ninguna</v>
      </c>
      <c r="AC320" s="60">
        <f>VLOOKUP(Tabla15[[#This Row],[N° 
Evento]],'Eventos de riesgos'!B:P,15,0)</f>
        <v>46053.807638888888</v>
      </c>
      <c r="AD320" s="54" t="str">
        <f>VLOOKUP(Tabla15[[#This Row],[N° 
Evento]],'Eventos de riesgos'!B:Q,16,0)</f>
        <v>Ninguno</v>
      </c>
      <c r="AE320" s="54" t="str">
        <f>VLOOKUP(Tabla15[[#This Row],[N° 
Evento]],'Eventos de riesgos'!B:R,17,0)</f>
        <v>Ninguno</v>
      </c>
      <c r="AF320" s="56" t="str">
        <f>VLOOKUP(Tabla15[[#This Row],[N° 
Evento]],'Eventos de riesgos'!B:V,21,0)</f>
        <v>Aprobado</v>
      </c>
      <c r="AG320" s="59" t="str">
        <f>VLOOKUP(Tabla15[[#This Row],[N° 
Evento]],'Eventos de riesgos'!B:W,22,0)</f>
        <v>19/03/2026 19:29:39: Aprobado</v>
      </c>
    </row>
    <row r="321" spans="3:33" ht="94" customHeight="1" thickBot="1" x14ac:dyDescent="0.6">
      <c r="C321" s="54" t="str">
        <f>+Tabla15[[#This Row],[N° 
Evento]]&amp;"-"&amp;Tabla15[[#This Row],[N° Tarea]]</f>
        <v>87-2</v>
      </c>
      <c r="D321" s="54">
        <v>87</v>
      </c>
      <c r="E321" s="54">
        <v>2</v>
      </c>
      <c r="F321" s="71" t="s">
        <v>1085</v>
      </c>
      <c r="G321" s="44" t="s">
        <v>1052</v>
      </c>
      <c r="H321" s="59" t="s">
        <v>1088</v>
      </c>
      <c r="I321" s="59" t="s">
        <v>1090</v>
      </c>
      <c r="J321" s="57">
        <v>46024</v>
      </c>
      <c r="K321" s="57">
        <v>46052</v>
      </c>
      <c r="L321" s="73" t="str">
        <f>IF(Tabla15[[#This Row],[Fecha de Finalización]]&gt;0,"Cerrada","En Proceso")</f>
        <v>Cerrada</v>
      </c>
      <c r="M321" s="58">
        <f t="shared" si="17"/>
        <v>28</v>
      </c>
      <c r="N321" s="59"/>
      <c r="O321" s="54">
        <f>VLOOKUP(Tabla15[[#This Row],[N° 
Evento]],'Eventos de riesgos'!B:C,2,0)</f>
        <v>2026</v>
      </c>
      <c r="P321" s="54" t="str">
        <f>VLOOKUP(Tabla15[[#This Row],[N° 
Evento]],'Eventos de riesgos'!B:D,3,0)</f>
        <v xml:space="preserve">Ene </v>
      </c>
      <c r="Q321" s="60">
        <f>VLOOKUP(Tabla15[[#This Row],[N° 
Evento]],'Eventos de riesgos'!B:E,4,0)</f>
        <v>46086.803472222222</v>
      </c>
      <c r="R321" s="60">
        <f>VLOOKUP(Tabla15[[#This Row],[N° 
Evento]],'Eventos de riesgos'!B:F,5,0)</f>
        <v>46099.803472222222</v>
      </c>
      <c r="S321" s="60">
        <f>VLOOKUP(Tabla15[[#This Row],[N° 
Evento]],'Eventos de riesgos'!B:G,6,0)</f>
        <v>46024.803472222222</v>
      </c>
      <c r="T321"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1" s="61">
        <f>VLOOKUP(Tabla15[[#This Row],[N° 
Evento]],'Eventos de riesgos'!B:I,8,0)</f>
        <v>8957000</v>
      </c>
      <c r="V321" s="61">
        <f>VLOOKUP(Tabla15[[#This Row],[N° 
Evento]],'Eventos de riesgos'!B:J,9,0)</f>
        <v>8957000</v>
      </c>
      <c r="W321" s="61">
        <f>VLOOKUP(Tabla15[[#This Row],[N° 
Evento]],'Eventos de riesgos'!B:K,10,0)</f>
        <v>0</v>
      </c>
      <c r="X321" s="59" t="str">
        <f>VLOOKUP(Tabla15[[#This Row],[N° 
Evento]],'Eventos de riesgos'!B:L,11,0)</f>
        <v>Relaciones Laborales</v>
      </c>
      <c r="Y321" s="59" t="str">
        <f>VLOOKUP(Tabla15[[#This Row],[N° 
Evento]],'Eventos de riesgos'!B:M,12,0)</f>
        <v>Relaciones Laborales</v>
      </c>
      <c r="Z321" s="59" t="str">
        <f>VLOOKUP(Tabla15[[#This Row],[N° 
Evento]],'Eventos de riesgos'!B:N,13,0)</f>
        <v>Cuestiones Relativas a Prestaciones Sociales</v>
      </c>
      <c r="AA321" s="59" t="e">
        <f>+VLOOKUP(Tabla15[[#This Row],[N° 
Evento]],'Eventos de riesgos'!$B$1:$AA$87,23,0)</f>
        <v>#N/A</v>
      </c>
      <c r="AB321" s="54" t="str">
        <f>VLOOKUP(Tabla15[[#This Row],[N° 
Evento]],'Eventos de riesgos'!B:O,14,0)</f>
        <v>Ninguna</v>
      </c>
      <c r="AC321" s="60">
        <f>VLOOKUP(Tabla15[[#This Row],[N° 
Evento]],'Eventos de riesgos'!B:P,15,0)</f>
        <v>46053.807638888888</v>
      </c>
      <c r="AD321" s="54" t="str">
        <f>VLOOKUP(Tabla15[[#This Row],[N° 
Evento]],'Eventos de riesgos'!B:Q,16,0)</f>
        <v>Ninguno</v>
      </c>
      <c r="AE321" s="54" t="str">
        <f>VLOOKUP(Tabla15[[#This Row],[N° 
Evento]],'Eventos de riesgos'!B:R,17,0)</f>
        <v>Ninguno</v>
      </c>
      <c r="AF321" s="56" t="str">
        <f>VLOOKUP(Tabla15[[#This Row],[N° 
Evento]],'Eventos de riesgos'!B:V,21,0)</f>
        <v>Aprobado</v>
      </c>
      <c r="AG321" s="59" t="str">
        <f>VLOOKUP(Tabla15[[#This Row],[N° 
Evento]],'Eventos de riesgos'!B:W,22,0)</f>
        <v>19/03/2026 19:29:39: Aprobado</v>
      </c>
    </row>
    <row r="322" spans="3:33" ht="94" customHeight="1" thickBot="1" x14ac:dyDescent="0.6">
      <c r="C322" s="54" t="str">
        <f>+Tabla15[[#This Row],[N° 
Evento]]&amp;"-"&amp;Tabla15[[#This Row],[N° Tarea]]</f>
        <v>87-3</v>
      </c>
      <c r="D322" s="54">
        <v>87</v>
      </c>
      <c r="E322" s="54">
        <v>3</v>
      </c>
      <c r="F322" s="71" t="s">
        <v>1086</v>
      </c>
      <c r="G322" s="44" t="s">
        <v>1052</v>
      </c>
      <c r="H322" s="59" t="s">
        <v>725</v>
      </c>
      <c r="I322" s="59" t="s">
        <v>1089</v>
      </c>
      <c r="J322" s="57">
        <v>46024</v>
      </c>
      <c r="K322" s="57">
        <v>46093</v>
      </c>
      <c r="L322" s="73" t="str">
        <f>IF(Tabla15[[#This Row],[Fecha de Finalización]]&gt;0,"Cerrada","En Proceso")</f>
        <v>Cerrada</v>
      </c>
      <c r="M322" s="58">
        <f t="shared" si="17"/>
        <v>69</v>
      </c>
      <c r="N322" s="59"/>
      <c r="O322" s="54">
        <f>VLOOKUP(Tabla15[[#This Row],[N° 
Evento]],'Eventos de riesgos'!B:C,2,0)</f>
        <v>2026</v>
      </c>
      <c r="P322" s="54" t="str">
        <f>VLOOKUP(Tabla15[[#This Row],[N° 
Evento]],'Eventos de riesgos'!B:D,3,0)</f>
        <v xml:space="preserve">Ene </v>
      </c>
      <c r="Q322" s="60">
        <f>VLOOKUP(Tabla15[[#This Row],[N° 
Evento]],'Eventos de riesgos'!B:E,4,0)</f>
        <v>46086.803472222222</v>
      </c>
      <c r="R322" s="60">
        <f>VLOOKUP(Tabla15[[#This Row],[N° 
Evento]],'Eventos de riesgos'!B:F,5,0)</f>
        <v>46099.803472222222</v>
      </c>
      <c r="S322" s="60">
        <f>VLOOKUP(Tabla15[[#This Row],[N° 
Evento]],'Eventos de riesgos'!B:G,6,0)</f>
        <v>46024.803472222222</v>
      </c>
      <c r="T322"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2" s="61">
        <f>VLOOKUP(Tabla15[[#This Row],[N° 
Evento]],'Eventos de riesgos'!B:I,8,0)</f>
        <v>8957000</v>
      </c>
      <c r="V322" s="61">
        <f>VLOOKUP(Tabla15[[#This Row],[N° 
Evento]],'Eventos de riesgos'!B:J,9,0)</f>
        <v>8957000</v>
      </c>
      <c r="W322" s="61">
        <f>VLOOKUP(Tabla15[[#This Row],[N° 
Evento]],'Eventos de riesgos'!B:K,10,0)</f>
        <v>0</v>
      </c>
      <c r="X322" s="59" t="str">
        <f>VLOOKUP(Tabla15[[#This Row],[N° 
Evento]],'Eventos de riesgos'!B:L,11,0)</f>
        <v>Relaciones Laborales</v>
      </c>
      <c r="Y322" s="59" t="str">
        <f>VLOOKUP(Tabla15[[#This Row],[N° 
Evento]],'Eventos de riesgos'!B:M,12,0)</f>
        <v>Relaciones Laborales</v>
      </c>
      <c r="Z322" s="59" t="str">
        <f>VLOOKUP(Tabla15[[#This Row],[N° 
Evento]],'Eventos de riesgos'!B:N,13,0)</f>
        <v>Cuestiones Relativas a Prestaciones Sociales</v>
      </c>
      <c r="AA322" s="59" t="e">
        <f>+VLOOKUP(Tabla15[[#This Row],[N° 
Evento]],'Eventos de riesgos'!$B$1:$AA$87,23,0)</f>
        <v>#N/A</v>
      </c>
      <c r="AB322" s="54" t="str">
        <f>VLOOKUP(Tabla15[[#This Row],[N° 
Evento]],'Eventos de riesgos'!B:O,14,0)</f>
        <v>Ninguna</v>
      </c>
      <c r="AC322" s="60">
        <f>VLOOKUP(Tabla15[[#This Row],[N° 
Evento]],'Eventos de riesgos'!B:P,15,0)</f>
        <v>46053.807638888888</v>
      </c>
      <c r="AD322" s="54" t="str">
        <f>VLOOKUP(Tabla15[[#This Row],[N° 
Evento]],'Eventos de riesgos'!B:Q,16,0)</f>
        <v>Ninguno</v>
      </c>
      <c r="AE322" s="54" t="str">
        <f>VLOOKUP(Tabla15[[#This Row],[N° 
Evento]],'Eventos de riesgos'!B:R,17,0)</f>
        <v>Ninguno</v>
      </c>
      <c r="AF322" s="56" t="str">
        <f>VLOOKUP(Tabla15[[#This Row],[N° 
Evento]],'Eventos de riesgos'!B:V,21,0)</f>
        <v>Aprobado</v>
      </c>
      <c r="AG322" s="59" t="str">
        <f>VLOOKUP(Tabla15[[#This Row],[N° 
Evento]],'Eventos de riesgos'!B:W,22,0)</f>
        <v>19/03/2026 19:29:39: Aprobado</v>
      </c>
    </row>
    <row r="323" spans="3:33" ht="94" customHeight="1" thickBot="1" x14ac:dyDescent="0.6">
      <c r="C323" s="54" t="str">
        <f>+Tabla15[[#This Row],[N° 
Evento]]&amp;"-"&amp;Tabla15[[#This Row],[N° Tarea]]</f>
        <v>87-4</v>
      </c>
      <c r="D323" s="54">
        <v>87</v>
      </c>
      <c r="E323" s="54">
        <v>4</v>
      </c>
      <c r="F323" s="149" t="s">
        <v>1472</v>
      </c>
      <c r="G323" s="150" t="s">
        <v>1053</v>
      </c>
      <c r="H323" s="151" t="s">
        <v>1070</v>
      </c>
      <c r="I323" s="151" t="s">
        <v>91</v>
      </c>
      <c r="J323" s="152">
        <v>46024</v>
      </c>
      <c r="K323" s="57">
        <v>46053</v>
      </c>
      <c r="L323" s="73" t="str">
        <f>IF(Tabla15[[#This Row],[Fecha de Finalización]]&gt;0,"Cerrada","En Proceso")</f>
        <v>Cerrada</v>
      </c>
      <c r="M323" s="58">
        <f t="shared" si="17"/>
        <v>29</v>
      </c>
      <c r="N323" s="59" t="s">
        <v>1471</v>
      </c>
      <c r="O323" s="54">
        <f>VLOOKUP(Tabla15[[#This Row],[N° 
Evento]],'Eventos de riesgos'!B:C,2,0)</f>
        <v>2026</v>
      </c>
      <c r="P323" s="54" t="str">
        <f>VLOOKUP(Tabla15[[#This Row],[N° 
Evento]],'Eventos de riesgos'!B:D,3,0)</f>
        <v xml:space="preserve">Ene </v>
      </c>
      <c r="Q323" s="60">
        <f>VLOOKUP(Tabla15[[#This Row],[N° 
Evento]],'Eventos de riesgos'!B:E,4,0)</f>
        <v>46086.803472222222</v>
      </c>
      <c r="R323" s="60">
        <f>VLOOKUP(Tabla15[[#This Row],[N° 
Evento]],'Eventos de riesgos'!B:F,5,0)</f>
        <v>46099.803472222222</v>
      </c>
      <c r="S323" s="60">
        <f>VLOOKUP(Tabla15[[#This Row],[N° 
Evento]],'Eventos de riesgos'!B:G,6,0)</f>
        <v>46024.803472222222</v>
      </c>
      <c r="T323"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3" s="61">
        <f>VLOOKUP(Tabla15[[#This Row],[N° 
Evento]],'Eventos de riesgos'!B:I,8,0)</f>
        <v>8957000</v>
      </c>
      <c r="V323" s="61">
        <f>VLOOKUP(Tabla15[[#This Row],[N° 
Evento]],'Eventos de riesgos'!B:J,9,0)</f>
        <v>8957000</v>
      </c>
      <c r="W323" s="61">
        <f>VLOOKUP(Tabla15[[#This Row],[N° 
Evento]],'Eventos de riesgos'!B:K,10,0)</f>
        <v>0</v>
      </c>
      <c r="X323" s="59" t="str">
        <f>VLOOKUP(Tabla15[[#This Row],[N° 
Evento]],'Eventos de riesgos'!B:L,11,0)</f>
        <v>Relaciones Laborales</v>
      </c>
      <c r="Y323" s="59" t="str">
        <f>VLOOKUP(Tabla15[[#This Row],[N° 
Evento]],'Eventos de riesgos'!B:M,12,0)</f>
        <v>Relaciones Laborales</v>
      </c>
      <c r="Z323" s="59" t="str">
        <f>VLOOKUP(Tabla15[[#This Row],[N° 
Evento]],'Eventos de riesgos'!B:N,13,0)</f>
        <v>Cuestiones Relativas a Prestaciones Sociales</v>
      </c>
      <c r="AA323" s="59" t="e">
        <f>+VLOOKUP(Tabla15[[#This Row],[N° 
Evento]],'Eventos de riesgos'!$B$1:$AA$87,23,0)</f>
        <v>#N/A</v>
      </c>
      <c r="AB323" s="54" t="str">
        <f>VLOOKUP(Tabla15[[#This Row],[N° 
Evento]],'Eventos de riesgos'!B:O,14,0)</f>
        <v>Ninguna</v>
      </c>
      <c r="AC323" s="60">
        <f>VLOOKUP(Tabla15[[#This Row],[N° 
Evento]],'Eventos de riesgos'!B:P,15,0)</f>
        <v>46053.807638888888</v>
      </c>
      <c r="AD323" s="54" t="str">
        <f>VLOOKUP(Tabla15[[#This Row],[N° 
Evento]],'Eventos de riesgos'!B:Q,16,0)</f>
        <v>Ninguno</v>
      </c>
      <c r="AE323" s="54" t="str">
        <f>VLOOKUP(Tabla15[[#This Row],[N° 
Evento]],'Eventos de riesgos'!B:R,17,0)</f>
        <v>Ninguno</v>
      </c>
      <c r="AF323" s="56" t="str">
        <f>VLOOKUP(Tabla15[[#This Row],[N° 
Evento]],'Eventos de riesgos'!B:V,21,0)</f>
        <v>Aprobado</v>
      </c>
      <c r="AG323" s="59" t="str">
        <f>VLOOKUP(Tabla15[[#This Row],[N° 
Evento]],'Eventos de riesgos'!B:W,22,0)</f>
        <v>19/03/2026 19:29:39: Aprobado</v>
      </c>
    </row>
    <row r="324" spans="3:33" ht="94" customHeight="1" thickBot="1" x14ac:dyDescent="0.6">
      <c r="C324" s="54" t="str">
        <f>+Tabla15[[#This Row],[N° 
Evento]]&amp;"-"&amp;Tabla15[[#This Row],[N° Tarea]]</f>
        <v>87-5</v>
      </c>
      <c r="D324" s="54">
        <v>87</v>
      </c>
      <c r="E324" s="54">
        <v>5</v>
      </c>
      <c r="F324" s="71" t="s">
        <v>1473</v>
      </c>
      <c r="G324" s="44" t="s">
        <v>1052</v>
      </c>
      <c r="H324" s="59" t="s">
        <v>1474</v>
      </c>
      <c r="I324" s="59" t="s">
        <v>1475</v>
      </c>
      <c r="J324" s="57">
        <v>46086</v>
      </c>
      <c r="K324" s="57"/>
      <c r="L324" s="73" t="str">
        <f>IF(Tabla15[[#This Row],[Fecha de Finalización]]&gt;0,"Cerrada","En Proceso")</f>
        <v>En Proceso</v>
      </c>
      <c r="M324" s="58">
        <f t="shared" si="17"/>
        <v>-46086</v>
      </c>
      <c r="N324" s="59"/>
      <c r="O324" s="54">
        <f>VLOOKUP(Tabla15[[#This Row],[N° 
Evento]],'Eventos de riesgos'!B:C,2,0)</f>
        <v>2026</v>
      </c>
      <c r="P324" s="54" t="str">
        <f>VLOOKUP(Tabla15[[#This Row],[N° 
Evento]],'Eventos de riesgos'!B:D,3,0)</f>
        <v xml:space="preserve">Ene </v>
      </c>
      <c r="Q324" s="60">
        <f>VLOOKUP(Tabla15[[#This Row],[N° 
Evento]],'Eventos de riesgos'!B:E,4,0)</f>
        <v>46086.803472222222</v>
      </c>
      <c r="R324" s="60">
        <f>VLOOKUP(Tabla15[[#This Row],[N° 
Evento]],'Eventos de riesgos'!B:F,5,0)</f>
        <v>46099.803472222222</v>
      </c>
      <c r="S324" s="60">
        <f>VLOOKUP(Tabla15[[#This Row],[N° 
Evento]],'Eventos de riesgos'!B:G,6,0)</f>
        <v>46024.803472222222</v>
      </c>
      <c r="T324"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4" s="61">
        <f>VLOOKUP(Tabla15[[#This Row],[N° 
Evento]],'Eventos de riesgos'!B:I,8,0)</f>
        <v>8957000</v>
      </c>
      <c r="V324" s="61">
        <f>VLOOKUP(Tabla15[[#This Row],[N° 
Evento]],'Eventos de riesgos'!B:J,9,0)</f>
        <v>8957000</v>
      </c>
      <c r="W324" s="61">
        <f>VLOOKUP(Tabla15[[#This Row],[N° 
Evento]],'Eventos de riesgos'!B:K,10,0)</f>
        <v>0</v>
      </c>
      <c r="X324" s="59" t="str">
        <f>VLOOKUP(Tabla15[[#This Row],[N° 
Evento]],'Eventos de riesgos'!B:L,11,0)</f>
        <v>Relaciones Laborales</v>
      </c>
      <c r="Y324" s="59" t="str">
        <f>VLOOKUP(Tabla15[[#This Row],[N° 
Evento]],'Eventos de riesgos'!B:M,12,0)</f>
        <v>Relaciones Laborales</v>
      </c>
      <c r="Z324" s="59" t="str">
        <f>VLOOKUP(Tabla15[[#This Row],[N° 
Evento]],'Eventos de riesgos'!B:N,13,0)</f>
        <v>Cuestiones Relativas a Prestaciones Sociales</v>
      </c>
      <c r="AA324" s="59" t="e">
        <f>+VLOOKUP(Tabla15[[#This Row],[N° 
Evento]],'Eventos de riesgos'!$B$1:$AA$87,23,0)</f>
        <v>#N/A</v>
      </c>
      <c r="AB324" s="54" t="str">
        <f>VLOOKUP(Tabla15[[#This Row],[N° 
Evento]],'Eventos de riesgos'!B:O,14,0)</f>
        <v>Ninguna</v>
      </c>
      <c r="AC324" s="60">
        <f>VLOOKUP(Tabla15[[#This Row],[N° 
Evento]],'Eventos de riesgos'!B:P,15,0)</f>
        <v>46053.807638888888</v>
      </c>
      <c r="AD324" s="54" t="str">
        <f>VLOOKUP(Tabla15[[#This Row],[N° 
Evento]],'Eventos de riesgos'!B:Q,16,0)</f>
        <v>Ninguno</v>
      </c>
      <c r="AE324" s="54" t="str">
        <f>VLOOKUP(Tabla15[[#This Row],[N° 
Evento]],'Eventos de riesgos'!B:R,17,0)</f>
        <v>Ninguno</v>
      </c>
      <c r="AF324" s="56" t="str">
        <f>VLOOKUP(Tabla15[[#This Row],[N° 
Evento]],'Eventos de riesgos'!B:V,21,0)</f>
        <v>Aprobado</v>
      </c>
      <c r="AG324" s="59" t="str">
        <f>VLOOKUP(Tabla15[[#This Row],[N° 
Evento]],'Eventos de riesgos'!B:W,22,0)</f>
        <v>19/03/2026 19:29:39: Aprobado</v>
      </c>
    </row>
    <row r="325" spans="3:33" ht="61" customHeight="1" thickBot="1" x14ac:dyDescent="0.6">
      <c r="C325" s="54" t="str">
        <f>+Tabla15[[#This Row],[N° 
Evento]]&amp;"-"&amp;Tabla15[[#This Row],[N° Tarea]]</f>
        <v>88-1</v>
      </c>
      <c r="D325" s="54">
        <v>88</v>
      </c>
      <c r="E325" s="54">
        <v>1</v>
      </c>
      <c r="F325" s="70" t="s">
        <v>1060</v>
      </c>
      <c r="G325" s="44" t="s">
        <v>1052</v>
      </c>
      <c r="H325" s="59" t="s">
        <v>1072</v>
      </c>
      <c r="I325" s="59" t="s">
        <v>1083</v>
      </c>
      <c r="J325" s="57">
        <v>46071</v>
      </c>
      <c r="K325" s="57">
        <v>46072</v>
      </c>
      <c r="L325" s="73" t="str">
        <f>IF(Tabla15[[#This Row],[Fecha de Finalización]]&gt;0,"Cerrada","En Proceso")</f>
        <v>Cerrada</v>
      </c>
      <c r="M325" s="58">
        <f t="shared" si="17"/>
        <v>1</v>
      </c>
      <c r="N325" s="59"/>
      <c r="O325" s="54">
        <f>VLOOKUP(Tabla15[[#This Row],[N° 
Evento]],'Eventos de riesgos'!B:C,2,0)</f>
        <v>2026</v>
      </c>
      <c r="P325" s="54" t="str">
        <f>VLOOKUP(Tabla15[[#This Row],[N° 
Evento]],'Eventos de riesgos'!B:D,3,0)</f>
        <v xml:space="preserve">Feb </v>
      </c>
      <c r="Q325" s="60">
        <f>VLOOKUP(Tabla15[[#This Row],[N° 
Evento]],'Eventos de riesgos'!B:E,4,0)</f>
        <v>46099.695833333331</v>
      </c>
      <c r="R325" s="60">
        <f>VLOOKUP(Tabla15[[#This Row],[N° 
Evento]],'Eventos de riesgos'!B:F,5,0)</f>
        <v>46115.695833333331</v>
      </c>
      <c r="S325" s="60">
        <f>VLOOKUP(Tabla15[[#This Row],[N° 
Evento]],'Eventos de riesgos'!B:G,6,0)</f>
        <v>46100.696527777778</v>
      </c>
      <c r="T325" s="63"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5" s="61">
        <f>VLOOKUP(Tabla15[[#This Row],[N° 
Evento]],'Eventos de riesgos'!B:I,8,0)</f>
        <v>1572000</v>
      </c>
      <c r="V325" s="61">
        <f>VLOOKUP(Tabla15[[#This Row],[N° 
Evento]],'Eventos de riesgos'!B:J,9,0)</f>
        <v>0</v>
      </c>
      <c r="W325" s="61">
        <f>VLOOKUP(Tabla15[[#This Row],[N° 
Evento]],'Eventos de riesgos'!B:K,10,0)</f>
        <v>0</v>
      </c>
      <c r="X325" s="59" t="str">
        <f>VLOOKUP(Tabla15[[#This Row],[N° 
Evento]],'Eventos de riesgos'!B:L,11,0)</f>
        <v>7 - Ejecución y Administración de Procesos</v>
      </c>
      <c r="Y325" s="59" t="str">
        <f>VLOOKUP(Tabla15[[#This Row],[N° 
Evento]],'Eventos de riesgos'!B:M,12,0)</f>
        <v>72 - Seguimiento y Presentación de Informes</v>
      </c>
      <c r="Z325" s="59" t="str">
        <f>VLOOKUP(Tabla15[[#This Row],[N° 
Evento]],'Eventos de riesgos'!B:N,13,0)</f>
        <v>721 - Incumplimiento de la Obligación de Informar</v>
      </c>
      <c r="AA325" s="59" t="e">
        <f>+VLOOKUP(Tabla15[[#This Row],[N° 
Evento]],'Eventos de riesgos'!$B$1:$AA$87,23,0)</f>
        <v>#N/A</v>
      </c>
      <c r="AB325" s="54" t="str">
        <f>VLOOKUP(Tabla15[[#This Row],[N° 
Evento]],'Eventos de riesgos'!B:O,14,0)</f>
        <v>Ninguna</v>
      </c>
      <c r="AC325" s="60">
        <f>VLOOKUP(Tabla15[[#This Row],[N° 
Evento]],'Eventos de riesgos'!B:P,15,0)</f>
        <v>46081.695833333331</v>
      </c>
      <c r="AD325" s="54" t="str">
        <f>VLOOKUP(Tabla15[[#This Row],[N° 
Evento]],'Eventos de riesgos'!B:Q,16,0)</f>
        <v>Ninguno</v>
      </c>
      <c r="AE325" s="54" t="str">
        <f>VLOOKUP(Tabla15[[#This Row],[N° 
Evento]],'Eventos de riesgos'!B:R,17,0)</f>
        <v>Ninguno</v>
      </c>
      <c r="AF325" s="56" t="str">
        <f>VLOOKUP(Tabla15[[#This Row],[N° 
Evento]],'Eventos de riesgos'!B:V,21,0)</f>
        <v>Aprobado</v>
      </c>
      <c r="AG325" s="59" t="str">
        <f>VLOOKUP(Tabla15[[#This Row],[N° 
Evento]],'Eventos de riesgos'!B:W,22,0)</f>
        <v>20/03/2026 16:46:26: Creado</v>
      </c>
    </row>
    <row r="326" spans="3:33" ht="46.5" customHeight="1" x14ac:dyDescent="0.55000000000000004">
      <c r="C326" s="43" t="str">
        <f>+Tabla15[[#This Row],[N° 
Evento]]&amp;"-"&amp;Tabla15[[#This Row],[N° Tarea]]</f>
        <v>88-2</v>
      </c>
      <c r="D326" s="54">
        <v>88</v>
      </c>
      <c r="E326" s="54">
        <v>2</v>
      </c>
      <c r="F326" s="51" t="s">
        <v>1061</v>
      </c>
      <c r="G326" s="44" t="s">
        <v>1052</v>
      </c>
      <c r="H326" s="44" t="s">
        <v>1074</v>
      </c>
      <c r="I326" s="44" t="s">
        <v>1082</v>
      </c>
      <c r="J326" s="57">
        <v>46071</v>
      </c>
      <c r="K326" s="57">
        <v>46072</v>
      </c>
      <c r="L326" s="72" t="str">
        <f>IF(Tabla15[[#This Row],[Fecha de Finalización]]&gt;0,"Cerrada","En Proceso")</f>
        <v>Cerrada</v>
      </c>
      <c r="M326" s="52">
        <f t="shared" ref="M326:M339" si="18">+K326-J326</f>
        <v>1</v>
      </c>
      <c r="N326" s="44"/>
      <c r="O326" s="54">
        <f>VLOOKUP(Tabla15[[#This Row],[N° 
Evento]],'Eventos de riesgos'!B:C,2,0)</f>
        <v>2026</v>
      </c>
      <c r="P326" s="54" t="str">
        <f>VLOOKUP(Tabla15[[#This Row],[N° 
Evento]],'Eventos de riesgos'!B:D,3,0)</f>
        <v xml:space="preserve">Feb </v>
      </c>
      <c r="Q326" s="60">
        <f>VLOOKUP(Tabla15[[#This Row],[N° 
Evento]],'Eventos de riesgos'!B:E,4,0)</f>
        <v>46099.695833333331</v>
      </c>
      <c r="R326" s="60">
        <f>VLOOKUP(Tabla15[[#This Row],[N° 
Evento]],'Eventos de riesgos'!B:F,5,0)</f>
        <v>46115.695833333331</v>
      </c>
      <c r="S326" s="60">
        <f>VLOOKUP(Tabla15[[#This Row],[N° 
Evento]],'Eventos de riesgos'!B:G,6,0)</f>
        <v>46100.696527777778</v>
      </c>
      <c r="T326"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6" s="49">
        <f>VLOOKUP(Tabla15[[#This Row],[N° 
Evento]],'Eventos de riesgos'!B:I,8,0)</f>
        <v>1572000</v>
      </c>
      <c r="V326" s="49">
        <f>VLOOKUP(Tabla15[[#This Row],[N° 
Evento]],'Eventos de riesgos'!B:J,9,0)</f>
        <v>0</v>
      </c>
      <c r="W326" s="49">
        <f>VLOOKUP(Tabla15[[#This Row],[N° 
Evento]],'Eventos de riesgos'!B:K,10,0)</f>
        <v>0</v>
      </c>
      <c r="X326" s="44" t="str">
        <f>VLOOKUP(Tabla15[[#This Row],[N° 
Evento]],'Eventos de riesgos'!B:L,11,0)</f>
        <v>7 - Ejecución y Administración de Procesos</v>
      </c>
      <c r="Y326" s="44" t="str">
        <f>VLOOKUP(Tabla15[[#This Row],[N° 
Evento]],'Eventos de riesgos'!B:M,12,0)</f>
        <v>72 - Seguimiento y Presentación de Informes</v>
      </c>
      <c r="Z326" s="44" t="str">
        <f>VLOOKUP(Tabla15[[#This Row],[N° 
Evento]],'Eventos de riesgos'!B:N,13,0)</f>
        <v>721 - Incumplimiento de la Obligación de Informar</v>
      </c>
      <c r="AA326" s="44" t="e">
        <f>+VLOOKUP(Tabla15[[#This Row],[N° 
Evento]],'Eventos de riesgos'!$B$1:$AA$87,23,0)</f>
        <v>#N/A</v>
      </c>
      <c r="AB326" s="43" t="str">
        <f>VLOOKUP(Tabla15[[#This Row],[N° 
Evento]],'Eventos de riesgos'!B:O,14,0)</f>
        <v>Ninguna</v>
      </c>
      <c r="AC326" s="48">
        <f>VLOOKUP(Tabla15[[#This Row],[N° 
Evento]],'Eventos de riesgos'!B:P,15,0)</f>
        <v>46081.695833333331</v>
      </c>
      <c r="AD326" s="43" t="str">
        <f>VLOOKUP(Tabla15[[#This Row],[N° 
Evento]],'Eventos de riesgos'!B:Q,16,0)</f>
        <v>Ninguno</v>
      </c>
      <c r="AE326" s="43" t="str">
        <f>VLOOKUP(Tabla15[[#This Row],[N° 
Evento]],'Eventos de riesgos'!B:R,17,0)</f>
        <v>Ninguno</v>
      </c>
      <c r="AF326" s="45" t="str">
        <f>VLOOKUP(Tabla15[[#This Row],[N° 
Evento]],'Eventos de riesgos'!B:V,21,0)</f>
        <v>Aprobado</v>
      </c>
      <c r="AG326" s="44" t="str">
        <f>VLOOKUP(Tabla15[[#This Row],[N° 
Evento]],'Eventos de riesgos'!B:W,22,0)</f>
        <v>20/03/2026 16:46:26: Creado</v>
      </c>
    </row>
    <row r="327" spans="3:33" ht="46.5" customHeight="1" x14ac:dyDescent="0.55000000000000004">
      <c r="C327" s="43" t="str">
        <f>+Tabla15[[#This Row],[N° 
Evento]]&amp;"-"&amp;Tabla15[[#This Row],[N° Tarea]]</f>
        <v>88-3</v>
      </c>
      <c r="D327" s="54">
        <v>88</v>
      </c>
      <c r="E327" s="54">
        <v>3</v>
      </c>
      <c r="F327" s="51" t="s">
        <v>1062</v>
      </c>
      <c r="G327" s="44" t="s">
        <v>1052</v>
      </c>
      <c r="H327" s="44" t="s">
        <v>1074</v>
      </c>
      <c r="I327" s="44" t="s">
        <v>925</v>
      </c>
      <c r="J327" s="57">
        <v>46071</v>
      </c>
      <c r="K327" s="57">
        <v>46072</v>
      </c>
      <c r="L327" s="72" t="str">
        <f>IF(Tabla15[[#This Row],[Fecha de Finalización]]&gt;0,"Cerrada","En Proceso")</f>
        <v>Cerrada</v>
      </c>
      <c r="M327" s="52">
        <f t="shared" si="18"/>
        <v>1</v>
      </c>
      <c r="N327" s="44"/>
      <c r="O327" s="54">
        <f>VLOOKUP(Tabla15[[#This Row],[N° 
Evento]],'Eventos de riesgos'!B:C,2,0)</f>
        <v>2026</v>
      </c>
      <c r="P327" s="54" t="str">
        <f>VLOOKUP(Tabla15[[#This Row],[N° 
Evento]],'Eventos de riesgos'!B:D,3,0)</f>
        <v xml:space="preserve">Feb </v>
      </c>
      <c r="Q327" s="60">
        <f>VLOOKUP(Tabla15[[#This Row],[N° 
Evento]],'Eventos de riesgos'!B:E,4,0)</f>
        <v>46099.695833333331</v>
      </c>
      <c r="R327" s="60">
        <f>VLOOKUP(Tabla15[[#This Row],[N° 
Evento]],'Eventos de riesgos'!B:F,5,0)</f>
        <v>46115.695833333331</v>
      </c>
      <c r="S327" s="60">
        <f>VLOOKUP(Tabla15[[#This Row],[N° 
Evento]],'Eventos de riesgos'!B:G,6,0)</f>
        <v>46100.696527777778</v>
      </c>
      <c r="T327"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7" s="49">
        <f>VLOOKUP(Tabla15[[#This Row],[N° 
Evento]],'Eventos de riesgos'!B:I,8,0)</f>
        <v>1572000</v>
      </c>
      <c r="V327" s="49">
        <f>VLOOKUP(Tabla15[[#This Row],[N° 
Evento]],'Eventos de riesgos'!B:J,9,0)</f>
        <v>0</v>
      </c>
      <c r="W327" s="49">
        <f>VLOOKUP(Tabla15[[#This Row],[N° 
Evento]],'Eventos de riesgos'!B:K,10,0)</f>
        <v>0</v>
      </c>
      <c r="X327" s="44" t="str">
        <f>VLOOKUP(Tabla15[[#This Row],[N° 
Evento]],'Eventos de riesgos'!B:L,11,0)</f>
        <v>7 - Ejecución y Administración de Procesos</v>
      </c>
      <c r="Y327" s="44" t="str">
        <f>VLOOKUP(Tabla15[[#This Row],[N° 
Evento]],'Eventos de riesgos'!B:M,12,0)</f>
        <v>72 - Seguimiento y Presentación de Informes</v>
      </c>
      <c r="Z327" s="44" t="str">
        <f>VLOOKUP(Tabla15[[#This Row],[N° 
Evento]],'Eventos de riesgos'!B:N,13,0)</f>
        <v>721 - Incumplimiento de la Obligación de Informar</v>
      </c>
      <c r="AA327" s="44" t="e">
        <f>+VLOOKUP(Tabla15[[#This Row],[N° 
Evento]],'Eventos de riesgos'!$B$1:$AA$87,23,0)</f>
        <v>#N/A</v>
      </c>
      <c r="AB327" s="43" t="str">
        <f>VLOOKUP(Tabla15[[#This Row],[N° 
Evento]],'Eventos de riesgos'!B:O,14,0)</f>
        <v>Ninguna</v>
      </c>
      <c r="AC327" s="48">
        <f>VLOOKUP(Tabla15[[#This Row],[N° 
Evento]],'Eventos de riesgos'!B:P,15,0)</f>
        <v>46081.695833333331</v>
      </c>
      <c r="AD327" s="43" t="str">
        <f>VLOOKUP(Tabla15[[#This Row],[N° 
Evento]],'Eventos de riesgos'!B:Q,16,0)</f>
        <v>Ninguno</v>
      </c>
      <c r="AE327" s="43" t="str">
        <f>VLOOKUP(Tabla15[[#This Row],[N° 
Evento]],'Eventos de riesgos'!B:R,17,0)</f>
        <v>Ninguno</v>
      </c>
      <c r="AF327" s="45" t="str">
        <f>VLOOKUP(Tabla15[[#This Row],[N° 
Evento]],'Eventos de riesgos'!B:V,21,0)</f>
        <v>Aprobado</v>
      </c>
      <c r="AG327" s="44" t="str">
        <f>VLOOKUP(Tabla15[[#This Row],[N° 
Evento]],'Eventos de riesgos'!B:W,22,0)</f>
        <v>20/03/2026 16:46:26: Creado</v>
      </c>
    </row>
    <row r="328" spans="3:33" ht="46.5" customHeight="1" x14ac:dyDescent="0.55000000000000004">
      <c r="C328" s="43" t="str">
        <f>+Tabla15[[#This Row],[N° 
Evento]]&amp;"-"&amp;Tabla15[[#This Row],[N° Tarea]]</f>
        <v>88-4</v>
      </c>
      <c r="D328" s="54">
        <v>88</v>
      </c>
      <c r="E328" s="54">
        <v>4</v>
      </c>
      <c r="F328" s="51" t="s">
        <v>1063</v>
      </c>
      <c r="G328" s="44" t="s">
        <v>1052</v>
      </c>
      <c r="H328" s="44" t="s">
        <v>1074</v>
      </c>
      <c r="I328" s="44" t="s">
        <v>1073</v>
      </c>
      <c r="J328" s="57">
        <v>46071</v>
      </c>
      <c r="K328" s="57">
        <v>46076</v>
      </c>
      <c r="L328" s="72" t="str">
        <f>IF(Tabla15[[#This Row],[Fecha de Finalización]]&gt;0,"Cerrada","En Proceso")</f>
        <v>Cerrada</v>
      </c>
      <c r="M328" s="52">
        <f t="shared" si="18"/>
        <v>5</v>
      </c>
      <c r="N328" s="44"/>
      <c r="O328" s="54">
        <f>VLOOKUP(Tabla15[[#This Row],[N° 
Evento]],'Eventos de riesgos'!B:C,2,0)</f>
        <v>2026</v>
      </c>
      <c r="P328" s="54" t="str">
        <f>VLOOKUP(Tabla15[[#This Row],[N° 
Evento]],'Eventos de riesgos'!B:D,3,0)</f>
        <v xml:space="preserve">Feb </v>
      </c>
      <c r="Q328" s="60">
        <f>VLOOKUP(Tabla15[[#This Row],[N° 
Evento]],'Eventos de riesgos'!B:E,4,0)</f>
        <v>46099.695833333331</v>
      </c>
      <c r="R328" s="60">
        <f>VLOOKUP(Tabla15[[#This Row],[N° 
Evento]],'Eventos de riesgos'!B:F,5,0)</f>
        <v>46115.695833333331</v>
      </c>
      <c r="S328" s="60">
        <f>VLOOKUP(Tabla15[[#This Row],[N° 
Evento]],'Eventos de riesgos'!B:G,6,0)</f>
        <v>46100.696527777778</v>
      </c>
      <c r="T328"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8" s="49">
        <f>VLOOKUP(Tabla15[[#This Row],[N° 
Evento]],'Eventos de riesgos'!B:I,8,0)</f>
        <v>1572000</v>
      </c>
      <c r="V328" s="49">
        <f>VLOOKUP(Tabla15[[#This Row],[N° 
Evento]],'Eventos de riesgos'!B:J,9,0)</f>
        <v>0</v>
      </c>
      <c r="W328" s="49">
        <f>VLOOKUP(Tabla15[[#This Row],[N° 
Evento]],'Eventos de riesgos'!B:K,10,0)</f>
        <v>0</v>
      </c>
      <c r="X328" s="44" t="str">
        <f>VLOOKUP(Tabla15[[#This Row],[N° 
Evento]],'Eventos de riesgos'!B:L,11,0)</f>
        <v>7 - Ejecución y Administración de Procesos</v>
      </c>
      <c r="Y328" s="44" t="str">
        <f>VLOOKUP(Tabla15[[#This Row],[N° 
Evento]],'Eventos de riesgos'!B:M,12,0)</f>
        <v>72 - Seguimiento y Presentación de Informes</v>
      </c>
      <c r="Z328" s="44" t="str">
        <f>VLOOKUP(Tabla15[[#This Row],[N° 
Evento]],'Eventos de riesgos'!B:N,13,0)</f>
        <v>721 - Incumplimiento de la Obligación de Informar</v>
      </c>
      <c r="AA328" s="44" t="e">
        <f>+VLOOKUP(Tabla15[[#This Row],[N° 
Evento]],'Eventos de riesgos'!$B$1:$AA$87,23,0)</f>
        <v>#N/A</v>
      </c>
      <c r="AB328" s="43" t="str">
        <f>VLOOKUP(Tabla15[[#This Row],[N° 
Evento]],'Eventos de riesgos'!B:O,14,0)</f>
        <v>Ninguna</v>
      </c>
      <c r="AC328" s="48">
        <f>VLOOKUP(Tabla15[[#This Row],[N° 
Evento]],'Eventos de riesgos'!B:P,15,0)</f>
        <v>46081.695833333331</v>
      </c>
      <c r="AD328" s="43" t="str">
        <f>VLOOKUP(Tabla15[[#This Row],[N° 
Evento]],'Eventos de riesgos'!B:Q,16,0)</f>
        <v>Ninguno</v>
      </c>
      <c r="AE328" s="43" t="str">
        <f>VLOOKUP(Tabla15[[#This Row],[N° 
Evento]],'Eventos de riesgos'!B:R,17,0)</f>
        <v>Ninguno</v>
      </c>
      <c r="AF328" s="45" t="str">
        <f>VLOOKUP(Tabla15[[#This Row],[N° 
Evento]],'Eventos de riesgos'!B:V,21,0)</f>
        <v>Aprobado</v>
      </c>
      <c r="AG328" s="44" t="str">
        <f>VLOOKUP(Tabla15[[#This Row],[N° 
Evento]],'Eventos de riesgos'!B:W,22,0)</f>
        <v>20/03/2026 16:46:26: Creado</v>
      </c>
    </row>
    <row r="329" spans="3:33" ht="76" customHeight="1" x14ac:dyDescent="0.55000000000000004">
      <c r="C329" s="43" t="str">
        <f>+Tabla15[[#This Row],[N° 
Evento]]&amp;"-"&amp;Tabla15[[#This Row],[N° Tarea]]</f>
        <v>88-5</v>
      </c>
      <c r="D329" s="54">
        <v>88</v>
      </c>
      <c r="E329" s="54">
        <v>5</v>
      </c>
      <c r="F329" s="51" t="s">
        <v>1064</v>
      </c>
      <c r="G329" s="44" t="s">
        <v>1052</v>
      </c>
      <c r="H329" s="44" t="s">
        <v>1075</v>
      </c>
      <c r="I329" s="44" t="s">
        <v>1076</v>
      </c>
      <c r="J329" s="57">
        <v>46071</v>
      </c>
      <c r="K329" s="57">
        <v>46077</v>
      </c>
      <c r="L329" s="72" t="str">
        <f>IF(Tabla15[[#This Row],[Fecha de Finalización]]&gt;0,"Cerrada","En Proceso")</f>
        <v>Cerrada</v>
      </c>
      <c r="M329" s="52">
        <f t="shared" si="18"/>
        <v>6</v>
      </c>
      <c r="N329" s="44"/>
      <c r="O329" s="54">
        <f>VLOOKUP(Tabla15[[#This Row],[N° 
Evento]],'Eventos de riesgos'!B:C,2,0)</f>
        <v>2026</v>
      </c>
      <c r="P329" s="54" t="str">
        <f>VLOOKUP(Tabla15[[#This Row],[N° 
Evento]],'Eventos de riesgos'!B:D,3,0)</f>
        <v xml:space="preserve">Feb </v>
      </c>
      <c r="Q329" s="60">
        <f>VLOOKUP(Tabla15[[#This Row],[N° 
Evento]],'Eventos de riesgos'!B:E,4,0)</f>
        <v>46099.695833333331</v>
      </c>
      <c r="R329" s="60">
        <f>VLOOKUP(Tabla15[[#This Row],[N° 
Evento]],'Eventos de riesgos'!B:F,5,0)</f>
        <v>46115.695833333331</v>
      </c>
      <c r="S329" s="60">
        <f>VLOOKUP(Tabla15[[#This Row],[N° 
Evento]],'Eventos de riesgos'!B:G,6,0)</f>
        <v>46100.696527777778</v>
      </c>
      <c r="T329"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9" s="49">
        <f>VLOOKUP(Tabla15[[#This Row],[N° 
Evento]],'Eventos de riesgos'!B:I,8,0)</f>
        <v>1572000</v>
      </c>
      <c r="V329" s="49">
        <f>VLOOKUP(Tabla15[[#This Row],[N° 
Evento]],'Eventos de riesgos'!B:J,9,0)</f>
        <v>0</v>
      </c>
      <c r="W329" s="49">
        <f>VLOOKUP(Tabla15[[#This Row],[N° 
Evento]],'Eventos de riesgos'!B:K,10,0)</f>
        <v>0</v>
      </c>
      <c r="X329" s="44" t="str">
        <f>VLOOKUP(Tabla15[[#This Row],[N° 
Evento]],'Eventos de riesgos'!B:L,11,0)</f>
        <v>7 - Ejecución y Administración de Procesos</v>
      </c>
      <c r="Y329" s="44" t="str">
        <f>VLOOKUP(Tabla15[[#This Row],[N° 
Evento]],'Eventos de riesgos'!B:M,12,0)</f>
        <v>72 - Seguimiento y Presentación de Informes</v>
      </c>
      <c r="Z329" s="44" t="str">
        <f>VLOOKUP(Tabla15[[#This Row],[N° 
Evento]],'Eventos de riesgos'!B:N,13,0)</f>
        <v>721 - Incumplimiento de la Obligación de Informar</v>
      </c>
      <c r="AA329" s="44" t="e">
        <f>+VLOOKUP(Tabla15[[#This Row],[N° 
Evento]],'Eventos de riesgos'!$B$1:$AA$87,23,0)</f>
        <v>#N/A</v>
      </c>
      <c r="AB329" s="43" t="str">
        <f>VLOOKUP(Tabla15[[#This Row],[N° 
Evento]],'Eventos de riesgos'!B:O,14,0)</f>
        <v>Ninguna</v>
      </c>
      <c r="AC329" s="48">
        <f>VLOOKUP(Tabla15[[#This Row],[N° 
Evento]],'Eventos de riesgos'!B:P,15,0)</f>
        <v>46081.695833333331</v>
      </c>
      <c r="AD329" s="43" t="str">
        <f>VLOOKUP(Tabla15[[#This Row],[N° 
Evento]],'Eventos de riesgos'!B:Q,16,0)</f>
        <v>Ninguno</v>
      </c>
      <c r="AE329" s="43" t="str">
        <f>VLOOKUP(Tabla15[[#This Row],[N° 
Evento]],'Eventos de riesgos'!B:R,17,0)</f>
        <v>Ninguno</v>
      </c>
      <c r="AF329" s="45" t="str">
        <f>VLOOKUP(Tabla15[[#This Row],[N° 
Evento]],'Eventos de riesgos'!B:V,21,0)</f>
        <v>Aprobado</v>
      </c>
      <c r="AG329" s="44" t="str">
        <f>VLOOKUP(Tabla15[[#This Row],[N° 
Evento]],'Eventos de riesgos'!B:W,22,0)</f>
        <v>20/03/2026 16:46:26: Creado</v>
      </c>
    </row>
    <row r="330" spans="3:33" ht="46.5" customHeight="1" x14ac:dyDescent="0.55000000000000004">
      <c r="C330" s="43" t="str">
        <f>+Tabla15[[#This Row],[N° 
Evento]]&amp;"-"&amp;Tabla15[[#This Row],[N° Tarea]]</f>
        <v>88-6</v>
      </c>
      <c r="D330" s="54">
        <v>88</v>
      </c>
      <c r="E330" s="54">
        <v>6</v>
      </c>
      <c r="F330" s="51" t="s">
        <v>1065</v>
      </c>
      <c r="G330" s="44" t="s">
        <v>1052</v>
      </c>
      <c r="H330" s="96" t="s">
        <v>1071</v>
      </c>
      <c r="I330" s="45" t="s">
        <v>1079</v>
      </c>
      <c r="J330" s="57">
        <v>46071</v>
      </c>
      <c r="K330" s="46">
        <v>46083</v>
      </c>
      <c r="L330" s="72" t="str">
        <f>IF(Tabla15[[#This Row],[Fecha de Finalización]]&gt;0,"Cerrada","En Proceso")</f>
        <v>Cerrada</v>
      </c>
      <c r="M330" s="52">
        <f t="shared" si="18"/>
        <v>12</v>
      </c>
      <c r="N330" s="44"/>
      <c r="O330" s="54">
        <f>VLOOKUP(Tabla15[[#This Row],[N° 
Evento]],'Eventos de riesgos'!B:C,2,0)</f>
        <v>2026</v>
      </c>
      <c r="P330" s="54" t="str">
        <f>VLOOKUP(Tabla15[[#This Row],[N° 
Evento]],'Eventos de riesgos'!B:D,3,0)</f>
        <v xml:space="preserve">Feb </v>
      </c>
      <c r="Q330" s="60">
        <f>VLOOKUP(Tabla15[[#This Row],[N° 
Evento]],'Eventos de riesgos'!B:E,4,0)</f>
        <v>46099.695833333331</v>
      </c>
      <c r="R330" s="60">
        <f>VLOOKUP(Tabla15[[#This Row],[N° 
Evento]],'Eventos de riesgos'!B:F,5,0)</f>
        <v>46115.695833333331</v>
      </c>
      <c r="S330" s="60">
        <f>VLOOKUP(Tabla15[[#This Row],[N° 
Evento]],'Eventos de riesgos'!B:G,6,0)</f>
        <v>46100.696527777778</v>
      </c>
      <c r="T330"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0" s="49">
        <f>VLOOKUP(Tabla15[[#This Row],[N° 
Evento]],'Eventos de riesgos'!B:I,8,0)</f>
        <v>1572000</v>
      </c>
      <c r="V330" s="49">
        <f>VLOOKUP(Tabla15[[#This Row],[N° 
Evento]],'Eventos de riesgos'!B:J,9,0)</f>
        <v>0</v>
      </c>
      <c r="W330" s="49">
        <f>VLOOKUP(Tabla15[[#This Row],[N° 
Evento]],'Eventos de riesgos'!B:K,10,0)</f>
        <v>0</v>
      </c>
      <c r="X330" s="44" t="str">
        <f>VLOOKUP(Tabla15[[#This Row],[N° 
Evento]],'Eventos de riesgos'!B:L,11,0)</f>
        <v>7 - Ejecución y Administración de Procesos</v>
      </c>
      <c r="Y330" s="44" t="str">
        <f>VLOOKUP(Tabla15[[#This Row],[N° 
Evento]],'Eventos de riesgos'!B:M,12,0)</f>
        <v>72 - Seguimiento y Presentación de Informes</v>
      </c>
      <c r="Z330" s="44" t="str">
        <f>VLOOKUP(Tabla15[[#This Row],[N° 
Evento]],'Eventos de riesgos'!B:N,13,0)</f>
        <v>721 - Incumplimiento de la Obligación de Informar</v>
      </c>
      <c r="AA330" s="44" t="e">
        <f>+VLOOKUP(Tabla15[[#This Row],[N° 
Evento]],'Eventos de riesgos'!$B$1:$AA$87,23,0)</f>
        <v>#N/A</v>
      </c>
      <c r="AB330" s="43" t="str">
        <f>VLOOKUP(Tabla15[[#This Row],[N° 
Evento]],'Eventos de riesgos'!B:O,14,0)</f>
        <v>Ninguna</v>
      </c>
      <c r="AC330" s="48">
        <f>VLOOKUP(Tabla15[[#This Row],[N° 
Evento]],'Eventos de riesgos'!B:P,15,0)</f>
        <v>46081.695833333331</v>
      </c>
      <c r="AD330" s="43" t="str">
        <f>VLOOKUP(Tabla15[[#This Row],[N° 
Evento]],'Eventos de riesgos'!B:Q,16,0)</f>
        <v>Ninguno</v>
      </c>
      <c r="AE330" s="43" t="str">
        <f>VLOOKUP(Tabla15[[#This Row],[N° 
Evento]],'Eventos de riesgos'!B:R,17,0)</f>
        <v>Ninguno</v>
      </c>
      <c r="AF330" s="45" t="str">
        <f>VLOOKUP(Tabla15[[#This Row],[N° 
Evento]],'Eventos de riesgos'!B:V,21,0)</f>
        <v>Aprobado</v>
      </c>
      <c r="AG330" s="44" t="str">
        <f>VLOOKUP(Tabla15[[#This Row],[N° 
Evento]],'Eventos de riesgos'!B:W,22,0)</f>
        <v>20/03/2026 16:46:26: Creado</v>
      </c>
    </row>
    <row r="331" spans="3:33" ht="46.5" customHeight="1" x14ac:dyDescent="0.55000000000000004">
      <c r="C331" s="43" t="str">
        <f>+Tabla15[[#This Row],[N° 
Evento]]&amp;"-"&amp;Tabla15[[#This Row],[N° Tarea]]</f>
        <v>88-7</v>
      </c>
      <c r="D331" s="54">
        <v>88</v>
      </c>
      <c r="E331" s="54">
        <v>7</v>
      </c>
      <c r="F331" s="51" t="s">
        <v>1066</v>
      </c>
      <c r="G331" s="44" t="s">
        <v>1052</v>
      </c>
      <c r="H331" s="44" t="s">
        <v>1077</v>
      </c>
      <c r="I331" s="44" t="s">
        <v>1080</v>
      </c>
      <c r="J331" s="57">
        <v>46071</v>
      </c>
      <c r="K331" s="46">
        <v>46083</v>
      </c>
      <c r="L331" s="72" t="str">
        <f>IF(Tabla15[[#This Row],[Fecha de Finalización]]&gt;0,"Cerrada","En Proceso")</f>
        <v>Cerrada</v>
      </c>
      <c r="M331" s="52">
        <f t="shared" si="18"/>
        <v>12</v>
      </c>
      <c r="N331" s="44" t="s">
        <v>1107</v>
      </c>
      <c r="O331" s="54">
        <f>VLOOKUP(Tabla15[[#This Row],[N° 
Evento]],'Eventos de riesgos'!B:C,2,0)</f>
        <v>2026</v>
      </c>
      <c r="P331" s="54" t="str">
        <f>VLOOKUP(Tabla15[[#This Row],[N° 
Evento]],'Eventos de riesgos'!B:D,3,0)</f>
        <v xml:space="preserve">Feb </v>
      </c>
      <c r="Q331" s="60">
        <f>VLOOKUP(Tabla15[[#This Row],[N° 
Evento]],'Eventos de riesgos'!B:E,4,0)</f>
        <v>46099.695833333331</v>
      </c>
      <c r="R331" s="60">
        <f>VLOOKUP(Tabla15[[#This Row],[N° 
Evento]],'Eventos de riesgos'!B:F,5,0)</f>
        <v>46115.695833333331</v>
      </c>
      <c r="S331" s="60">
        <f>VLOOKUP(Tabla15[[#This Row],[N° 
Evento]],'Eventos de riesgos'!B:G,6,0)</f>
        <v>46100.696527777778</v>
      </c>
      <c r="T331"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1" s="49">
        <f>VLOOKUP(Tabla15[[#This Row],[N° 
Evento]],'Eventos de riesgos'!B:I,8,0)</f>
        <v>1572000</v>
      </c>
      <c r="V331" s="49">
        <f>VLOOKUP(Tabla15[[#This Row],[N° 
Evento]],'Eventos de riesgos'!B:J,9,0)</f>
        <v>0</v>
      </c>
      <c r="W331" s="49">
        <f>VLOOKUP(Tabla15[[#This Row],[N° 
Evento]],'Eventos de riesgos'!B:K,10,0)</f>
        <v>0</v>
      </c>
      <c r="X331" s="44" t="str">
        <f>VLOOKUP(Tabla15[[#This Row],[N° 
Evento]],'Eventos de riesgos'!B:L,11,0)</f>
        <v>7 - Ejecución y Administración de Procesos</v>
      </c>
      <c r="Y331" s="44" t="str">
        <f>VLOOKUP(Tabla15[[#This Row],[N° 
Evento]],'Eventos de riesgos'!B:M,12,0)</f>
        <v>72 - Seguimiento y Presentación de Informes</v>
      </c>
      <c r="Z331" s="44" t="str">
        <f>VLOOKUP(Tabla15[[#This Row],[N° 
Evento]],'Eventos de riesgos'!B:N,13,0)</f>
        <v>721 - Incumplimiento de la Obligación de Informar</v>
      </c>
      <c r="AA331" s="44" t="e">
        <f>+VLOOKUP(Tabla15[[#This Row],[N° 
Evento]],'Eventos de riesgos'!$B$1:$AA$87,23,0)</f>
        <v>#N/A</v>
      </c>
      <c r="AB331" s="43" t="str">
        <f>VLOOKUP(Tabla15[[#This Row],[N° 
Evento]],'Eventos de riesgos'!B:O,14,0)</f>
        <v>Ninguna</v>
      </c>
      <c r="AC331" s="48">
        <f>VLOOKUP(Tabla15[[#This Row],[N° 
Evento]],'Eventos de riesgos'!B:P,15,0)</f>
        <v>46081.695833333331</v>
      </c>
      <c r="AD331" s="43" t="str">
        <f>VLOOKUP(Tabla15[[#This Row],[N° 
Evento]],'Eventos de riesgos'!B:Q,16,0)</f>
        <v>Ninguno</v>
      </c>
      <c r="AE331" s="43" t="str">
        <f>VLOOKUP(Tabla15[[#This Row],[N° 
Evento]],'Eventos de riesgos'!B:R,17,0)</f>
        <v>Ninguno</v>
      </c>
      <c r="AF331" s="45" t="str">
        <f>VLOOKUP(Tabla15[[#This Row],[N° 
Evento]],'Eventos de riesgos'!B:V,21,0)</f>
        <v>Aprobado</v>
      </c>
      <c r="AG331" s="44" t="str">
        <f>VLOOKUP(Tabla15[[#This Row],[N° 
Evento]],'Eventos de riesgos'!B:W,22,0)</f>
        <v>20/03/2026 16:46:26: Creado</v>
      </c>
    </row>
    <row r="332" spans="3:33" ht="46.5" customHeight="1" x14ac:dyDescent="0.55000000000000004">
      <c r="C332" s="43" t="str">
        <f>+Tabla15[[#This Row],[N° 
Evento]]&amp;"-"&amp;Tabla15[[#This Row],[N° Tarea]]</f>
        <v>88-8</v>
      </c>
      <c r="D332" s="54">
        <v>88</v>
      </c>
      <c r="E332" s="54">
        <v>8</v>
      </c>
      <c r="F332" s="51" t="s">
        <v>1067</v>
      </c>
      <c r="G332" s="44" t="s">
        <v>1053</v>
      </c>
      <c r="H332" s="44" t="s">
        <v>1078</v>
      </c>
      <c r="I332" s="44" t="s">
        <v>1081</v>
      </c>
      <c r="J332" s="57">
        <v>46071</v>
      </c>
      <c r="K332" s="46">
        <v>46083</v>
      </c>
      <c r="L332" s="72" t="str">
        <f>IF(Tabla15[[#This Row],[Fecha de Finalización]]&gt;0,"Cerrada","En Proceso")</f>
        <v>Cerrada</v>
      </c>
      <c r="M332" s="52">
        <f t="shared" si="18"/>
        <v>12</v>
      </c>
      <c r="N332" s="44" t="s">
        <v>1107</v>
      </c>
      <c r="O332" s="54">
        <f>VLOOKUP(Tabla15[[#This Row],[N° 
Evento]],'Eventos de riesgos'!B:C,2,0)</f>
        <v>2026</v>
      </c>
      <c r="P332" s="54" t="str">
        <f>VLOOKUP(Tabla15[[#This Row],[N° 
Evento]],'Eventos de riesgos'!B:D,3,0)</f>
        <v xml:space="preserve">Feb </v>
      </c>
      <c r="Q332" s="60">
        <f>VLOOKUP(Tabla15[[#This Row],[N° 
Evento]],'Eventos de riesgos'!B:E,4,0)</f>
        <v>46099.695833333331</v>
      </c>
      <c r="R332" s="60">
        <f>VLOOKUP(Tabla15[[#This Row],[N° 
Evento]],'Eventos de riesgos'!B:F,5,0)</f>
        <v>46115.695833333331</v>
      </c>
      <c r="S332" s="60">
        <f>VLOOKUP(Tabla15[[#This Row],[N° 
Evento]],'Eventos de riesgos'!B:G,6,0)</f>
        <v>46100.696527777778</v>
      </c>
      <c r="T332"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2" s="49">
        <f>VLOOKUP(Tabla15[[#This Row],[N° 
Evento]],'Eventos de riesgos'!B:I,8,0)</f>
        <v>1572000</v>
      </c>
      <c r="V332" s="49">
        <f>VLOOKUP(Tabla15[[#This Row],[N° 
Evento]],'Eventos de riesgos'!B:J,9,0)</f>
        <v>0</v>
      </c>
      <c r="W332" s="49">
        <f>VLOOKUP(Tabla15[[#This Row],[N° 
Evento]],'Eventos de riesgos'!B:K,10,0)</f>
        <v>0</v>
      </c>
      <c r="X332" s="44" t="str">
        <f>VLOOKUP(Tabla15[[#This Row],[N° 
Evento]],'Eventos de riesgos'!B:L,11,0)</f>
        <v>7 - Ejecución y Administración de Procesos</v>
      </c>
      <c r="Y332" s="44" t="str">
        <f>VLOOKUP(Tabla15[[#This Row],[N° 
Evento]],'Eventos de riesgos'!B:M,12,0)</f>
        <v>72 - Seguimiento y Presentación de Informes</v>
      </c>
      <c r="Z332" s="44" t="str">
        <f>VLOOKUP(Tabla15[[#This Row],[N° 
Evento]],'Eventos de riesgos'!B:N,13,0)</f>
        <v>721 - Incumplimiento de la Obligación de Informar</v>
      </c>
      <c r="AA332" s="44" t="e">
        <f>+VLOOKUP(Tabla15[[#This Row],[N° 
Evento]],'Eventos de riesgos'!$B$1:$AA$87,23,0)</f>
        <v>#N/A</v>
      </c>
      <c r="AB332" s="43" t="str">
        <f>VLOOKUP(Tabla15[[#This Row],[N° 
Evento]],'Eventos de riesgos'!B:O,14,0)</f>
        <v>Ninguna</v>
      </c>
      <c r="AC332" s="48">
        <f>VLOOKUP(Tabla15[[#This Row],[N° 
Evento]],'Eventos de riesgos'!B:P,15,0)</f>
        <v>46081.695833333331</v>
      </c>
      <c r="AD332" s="43" t="str">
        <f>VLOOKUP(Tabla15[[#This Row],[N° 
Evento]],'Eventos de riesgos'!B:Q,16,0)</f>
        <v>Ninguno</v>
      </c>
      <c r="AE332" s="43" t="str">
        <f>VLOOKUP(Tabla15[[#This Row],[N° 
Evento]],'Eventos de riesgos'!B:R,17,0)</f>
        <v>Ninguno</v>
      </c>
      <c r="AF332" s="45" t="str">
        <f>VLOOKUP(Tabla15[[#This Row],[N° 
Evento]],'Eventos de riesgos'!B:V,21,0)</f>
        <v>Aprobado</v>
      </c>
      <c r="AG332" s="44" t="str">
        <f>VLOOKUP(Tabla15[[#This Row],[N° 
Evento]],'Eventos de riesgos'!B:W,22,0)</f>
        <v>20/03/2026 16:46:26: Creado</v>
      </c>
    </row>
    <row r="333" spans="3:33" ht="46.5" customHeight="1" x14ac:dyDescent="0.55000000000000004">
      <c r="C333" s="43" t="str">
        <f>+Tabla15[[#This Row],[N° 
Evento]]&amp;"-"&amp;Tabla15[[#This Row],[N° Tarea]]</f>
        <v>88-9</v>
      </c>
      <c r="D333" s="54">
        <v>88</v>
      </c>
      <c r="E333" s="54">
        <v>9</v>
      </c>
      <c r="F333" s="51" t="s">
        <v>1068</v>
      </c>
      <c r="G333" s="44" t="s">
        <v>1052</v>
      </c>
      <c r="H333" s="44" t="s">
        <v>1071</v>
      </c>
      <c r="I333" s="45" t="s">
        <v>1079</v>
      </c>
      <c r="J333" s="57">
        <v>46071</v>
      </c>
      <c r="K333" s="46">
        <v>46083</v>
      </c>
      <c r="L333" s="72" t="str">
        <f>IF(Tabla15[[#This Row],[Fecha de Finalización]]&gt;0,"Cerrada","En Proceso")</f>
        <v>Cerrada</v>
      </c>
      <c r="M333" s="52">
        <f t="shared" si="18"/>
        <v>12</v>
      </c>
      <c r="N333" s="44" t="s">
        <v>1107</v>
      </c>
      <c r="O333" s="54">
        <f>VLOOKUP(Tabla15[[#This Row],[N° 
Evento]],'Eventos de riesgos'!B:C,2,0)</f>
        <v>2026</v>
      </c>
      <c r="P333" s="54" t="str">
        <f>VLOOKUP(Tabla15[[#This Row],[N° 
Evento]],'Eventos de riesgos'!B:D,3,0)</f>
        <v xml:space="preserve">Feb </v>
      </c>
      <c r="Q333" s="60">
        <f>VLOOKUP(Tabla15[[#This Row],[N° 
Evento]],'Eventos de riesgos'!B:E,4,0)</f>
        <v>46099.695833333331</v>
      </c>
      <c r="R333" s="60">
        <f>VLOOKUP(Tabla15[[#This Row],[N° 
Evento]],'Eventos de riesgos'!B:F,5,0)</f>
        <v>46115.695833333331</v>
      </c>
      <c r="S333" s="60">
        <f>VLOOKUP(Tabla15[[#This Row],[N° 
Evento]],'Eventos de riesgos'!B:G,6,0)</f>
        <v>46100.696527777778</v>
      </c>
      <c r="T333"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3" s="49">
        <f>VLOOKUP(Tabla15[[#This Row],[N° 
Evento]],'Eventos de riesgos'!B:I,8,0)</f>
        <v>1572000</v>
      </c>
      <c r="V333" s="49">
        <f>VLOOKUP(Tabla15[[#This Row],[N° 
Evento]],'Eventos de riesgos'!B:J,9,0)</f>
        <v>0</v>
      </c>
      <c r="W333" s="49">
        <f>VLOOKUP(Tabla15[[#This Row],[N° 
Evento]],'Eventos de riesgos'!B:K,10,0)</f>
        <v>0</v>
      </c>
      <c r="X333" s="44" t="str">
        <f>VLOOKUP(Tabla15[[#This Row],[N° 
Evento]],'Eventos de riesgos'!B:L,11,0)</f>
        <v>7 - Ejecución y Administración de Procesos</v>
      </c>
      <c r="Y333" s="44" t="str">
        <f>VLOOKUP(Tabla15[[#This Row],[N° 
Evento]],'Eventos de riesgos'!B:M,12,0)</f>
        <v>72 - Seguimiento y Presentación de Informes</v>
      </c>
      <c r="Z333" s="44" t="str">
        <f>VLOOKUP(Tabla15[[#This Row],[N° 
Evento]],'Eventos de riesgos'!B:N,13,0)</f>
        <v>721 - Incumplimiento de la Obligación de Informar</v>
      </c>
      <c r="AA333" s="44" t="e">
        <f>+VLOOKUP(Tabla15[[#This Row],[N° 
Evento]],'Eventos de riesgos'!$B$1:$AA$87,23,0)</f>
        <v>#N/A</v>
      </c>
      <c r="AB333" s="43" t="str">
        <f>VLOOKUP(Tabla15[[#This Row],[N° 
Evento]],'Eventos de riesgos'!B:O,14,0)</f>
        <v>Ninguna</v>
      </c>
      <c r="AC333" s="48">
        <f>VLOOKUP(Tabla15[[#This Row],[N° 
Evento]],'Eventos de riesgos'!B:P,15,0)</f>
        <v>46081.695833333331</v>
      </c>
      <c r="AD333" s="43" t="str">
        <f>VLOOKUP(Tabla15[[#This Row],[N° 
Evento]],'Eventos de riesgos'!B:Q,16,0)</f>
        <v>Ninguno</v>
      </c>
      <c r="AE333" s="43" t="str">
        <f>VLOOKUP(Tabla15[[#This Row],[N° 
Evento]],'Eventos de riesgos'!B:R,17,0)</f>
        <v>Ninguno</v>
      </c>
      <c r="AF333" s="45" t="str">
        <f>VLOOKUP(Tabla15[[#This Row],[N° 
Evento]],'Eventos de riesgos'!B:V,21,0)</f>
        <v>Aprobado</v>
      </c>
      <c r="AG333" s="44" t="str">
        <f>VLOOKUP(Tabla15[[#This Row],[N° 
Evento]],'Eventos de riesgos'!B:W,22,0)</f>
        <v>20/03/2026 16:46:26: Creado</v>
      </c>
    </row>
    <row r="334" spans="3:33" ht="46.5" customHeight="1" thickBot="1" x14ac:dyDescent="0.6">
      <c r="C334" s="43" t="str">
        <f>+Tabla15[[#This Row],[N° 
Evento]]&amp;"-"&amp;Tabla15[[#This Row],[N° Tarea]]</f>
        <v>88-10</v>
      </c>
      <c r="D334" s="54">
        <v>88</v>
      </c>
      <c r="E334" s="54">
        <v>10</v>
      </c>
      <c r="F334" s="51" t="s">
        <v>1069</v>
      </c>
      <c r="G334" s="44" t="s">
        <v>1053</v>
      </c>
      <c r="H334" s="44" t="s">
        <v>1074</v>
      </c>
      <c r="I334" s="44" t="s">
        <v>1082</v>
      </c>
      <c r="J334" s="57">
        <v>46071</v>
      </c>
      <c r="K334" s="46"/>
      <c r="L334" s="72" t="str">
        <f>IF(Tabla15[[#This Row],[Fecha de Finalización]]&gt;0,"Cerrada","En Proceso")</f>
        <v>En Proceso</v>
      </c>
      <c r="M334" s="52">
        <f t="shared" si="18"/>
        <v>-46071</v>
      </c>
      <c r="N334" s="44"/>
      <c r="O334" s="54">
        <f>VLOOKUP(Tabla15[[#This Row],[N° 
Evento]],'Eventos de riesgos'!B:C,2,0)</f>
        <v>2026</v>
      </c>
      <c r="P334" s="54" t="str">
        <f>VLOOKUP(Tabla15[[#This Row],[N° 
Evento]],'Eventos de riesgos'!B:D,3,0)</f>
        <v xml:space="preserve">Feb </v>
      </c>
      <c r="Q334" s="60">
        <f>VLOOKUP(Tabla15[[#This Row],[N° 
Evento]],'Eventos de riesgos'!B:E,4,0)</f>
        <v>46099.695833333331</v>
      </c>
      <c r="R334" s="60">
        <f>VLOOKUP(Tabla15[[#This Row],[N° 
Evento]],'Eventos de riesgos'!B:F,5,0)</f>
        <v>46115.695833333331</v>
      </c>
      <c r="S334" s="60">
        <f>VLOOKUP(Tabla15[[#This Row],[N° 
Evento]],'Eventos de riesgos'!B:G,6,0)</f>
        <v>46100.696527777778</v>
      </c>
      <c r="T334"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Imactos
*Impacto económico. Se materializó la imposición de una multa mínima de $524.000 por cada año no reportado, para un total de $1.572.000 correspondiente a las vigencias 2022, 2023 y 2024.Impacto de cumplimiento. Se configuró un incumplimiento formal ante la DIAN por no registrar oportunamente la responsabilidad aplicable en el RUT y no presentar dentro de plazo los reportes CRS requeridos.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4" s="49">
        <f>VLOOKUP(Tabla15[[#This Row],[N° 
Evento]],'Eventos de riesgos'!B:I,8,0)</f>
        <v>1572000</v>
      </c>
      <c r="V334" s="49">
        <f>VLOOKUP(Tabla15[[#This Row],[N° 
Evento]],'Eventos de riesgos'!B:J,9,0)</f>
        <v>0</v>
      </c>
      <c r="W334" s="49">
        <f>VLOOKUP(Tabla15[[#This Row],[N° 
Evento]],'Eventos de riesgos'!B:K,10,0)</f>
        <v>0</v>
      </c>
      <c r="X334" s="44" t="str">
        <f>VLOOKUP(Tabla15[[#This Row],[N° 
Evento]],'Eventos de riesgos'!B:L,11,0)</f>
        <v>7 - Ejecución y Administración de Procesos</v>
      </c>
      <c r="Y334" s="44" t="str">
        <f>VLOOKUP(Tabla15[[#This Row],[N° 
Evento]],'Eventos de riesgos'!B:M,12,0)</f>
        <v>72 - Seguimiento y Presentación de Informes</v>
      </c>
      <c r="Z334" s="44" t="str">
        <f>VLOOKUP(Tabla15[[#This Row],[N° 
Evento]],'Eventos de riesgos'!B:N,13,0)</f>
        <v>721 - Incumplimiento de la Obligación de Informar</v>
      </c>
      <c r="AA334" s="44" t="e">
        <f>+VLOOKUP(Tabla15[[#This Row],[N° 
Evento]],'Eventos de riesgos'!$B$1:$AA$87,23,0)</f>
        <v>#N/A</v>
      </c>
      <c r="AB334" s="43" t="str">
        <f>VLOOKUP(Tabla15[[#This Row],[N° 
Evento]],'Eventos de riesgos'!B:O,14,0)</f>
        <v>Ninguna</v>
      </c>
      <c r="AC334" s="48">
        <f>VLOOKUP(Tabla15[[#This Row],[N° 
Evento]],'Eventos de riesgos'!B:P,15,0)</f>
        <v>46081.695833333331</v>
      </c>
      <c r="AD334" s="43" t="str">
        <f>VLOOKUP(Tabla15[[#This Row],[N° 
Evento]],'Eventos de riesgos'!B:Q,16,0)</f>
        <v>Ninguno</v>
      </c>
      <c r="AE334" s="43" t="str">
        <f>VLOOKUP(Tabla15[[#This Row],[N° 
Evento]],'Eventos de riesgos'!B:R,17,0)</f>
        <v>Ninguno</v>
      </c>
      <c r="AF334" s="45" t="str">
        <f>VLOOKUP(Tabla15[[#This Row],[N° 
Evento]],'Eventos de riesgos'!B:V,21,0)</f>
        <v>Aprobado</v>
      </c>
      <c r="AG334" s="44" t="str">
        <f>VLOOKUP(Tabla15[[#This Row],[N° 
Evento]],'Eventos de riesgos'!B:W,22,0)</f>
        <v>20/03/2026 16:46:26: Creado</v>
      </c>
    </row>
    <row r="335" spans="3:33" ht="46.5" customHeight="1" thickBot="1" x14ac:dyDescent="0.6">
      <c r="C335" s="54" t="str">
        <f>+Tabla15[[#This Row],[N° 
Evento]]&amp;"-"&amp;Tabla15[[#This Row],[N° Tarea]]</f>
        <v>89-1</v>
      </c>
      <c r="D335" s="54">
        <v>89</v>
      </c>
      <c r="E335" s="54">
        <v>1</v>
      </c>
      <c r="F335" s="70" t="s">
        <v>1098</v>
      </c>
      <c r="G335" s="44" t="s">
        <v>1052</v>
      </c>
      <c r="H335" s="59" t="s">
        <v>1071</v>
      </c>
      <c r="I335" s="56" t="s">
        <v>1079</v>
      </c>
      <c r="J335" s="57">
        <v>46054</v>
      </c>
      <c r="K335" s="57">
        <v>46063</v>
      </c>
      <c r="L335" s="73" t="str">
        <f>IF(Tabla15[[#This Row],[Fecha de Finalización]]&gt;0,"Cerrada","En Proceso")</f>
        <v>Cerrada</v>
      </c>
      <c r="M335" s="52">
        <f t="shared" si="18"/>
        <v>9</v>
      </c>
      <c r="N335" s="59"/>
      <c r="O335" s="54">
        <f>VLOOKUP(Tabla15[[#This Row],[N° 
Evento]],'Eventos de riesgos'!B:C,2,0)</f>
        <v>2026</v>
      </c>
      <c r="P335" s="54" t="str">
        <f>VLOOKUP(Tabla15[[#This Row],[N° 
Evento]],'Eventos de riesgos'!B:D,3,0)</f>
        <v xml:space="preserve">Feb </v>
      </c>
      <c r="Q335" s="60">
        <f>VLOOKUP(Tabla15[[#This Row],[N° 
Evento]],'Eventos de riesgos'!B:E,4,0)</f>
        <v>46054</v>
      </c>
      <c r="R335" s="60">
        <f>VLOOKUP(Tabla15[[#This Row],[N° 
Evento]],'Eventos de riesgos'!B:F,5,0)</f>
        <v>46097.750694444447</v>
      </c>
      <c r="S335" s="60">
        <f>VLOOKUP(Tabla15[[#This Row],[N° 
Evento]],'Eventos de riesgos'!B:G,6,0)</f>
        <v>46081.75</v>
      </c>
      <c r="T335" s="63"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5" s="61">
        <f>VLOOKUP(Tabla15[[#This Row],[N° 
Evento]],'Eventos de riesgos'!B:I,8,0)</f>
        <v>5075108</v>
      </c>
      <c r="V335" s="61">
        <f>VLOOKUP(Tabla15[[#This Row],[N° 
Evento]],'Eventos de riesgos'!B:J,9,0)</f>
        <v>5075108</v>
      </c>
      <c r="W335" s="61">
        <f>VLOOKUP(Tabla15[[#This Row],[N° 
Evento]],'Eventos de riesgos'!B:K,10,0)</f>
        <v>0</v>
      </c>
      <c r="X335" s="59" t="str">
        <f>VLOOKUP(Tabla15[[#This Row],[N° 
Evento]],'Eventos de riesgos'!B:L,11,0)</f>
        <v>7 - Ejecución y Administración de Procesos</v>
      </c>
      <c r="Y335" s="59" t="str">
        <f>VLOOKUP(Tabla15[[#This Row],[N° 
Evento]],'Eventos de riesgos'!B:M,12,0)</f>
        <v>71 - Recepción, Ejecución y Mantenimiento de Operaciones</v>
      </c>
      <c r="Z335" s="59" t="str">
        <f>VLOOKUP(Tabla15[[#This Row],[N° 
Evento]],'Eventos de riesgos'!B:N,13,0)</f>
        <v>713 - Incumplimiento de Plazos o Responsabilidades</v>
      </c>
      <c r="AA335" s="59" t="e">
        <f>+VLOOKUP(Tabla15[[#This Row],[N° 
Evento]],'Eventos de riesgos'!$B$1:$AA$87,23,0)</f>
        <v>#N/A</v>
      </c>
      <c r="AB335" s="54" t="str">
        <f>VLOOKUP(Tabla15[[#This Row],[N° 
Evento]],'Eventos de riesgos'!B:O,14,0)</f>
        <v>Ninguna</v>
      </c>
      <c r="AC335" s="60">
        <f>VLOOKUP(Tabla15[[#This Row],[N° 
Evento]],'Eventos de riesgos'!B:P,15,0)</f>
        <v>46081.754166666666</v>
      </c>
      <c r="AD335" s="54" t="str">
        <f>VLOOKUP(Tabla15[[#This Row],[N° 
Evento]],'Eventos de riesgos'!B:Q,16,0)</f>
        <v>Convenio de servicio de telefonía</v>
      </c>
      <c r="AE335" s="54" t="str">
        <f>VLOOKUP(Tabla15[[#This Row],[N° 
Evento]],'Eventos de riesgos'!B:R,17,0)</f>
        <v>Ninguno</v>
      </c>
      <c r="AF335" s="56" t="str">
        <f>VLOOKUP(Tabla15[[#This Row],[N° 
Evento]],'Eventos de riesgos'!B:V,21,0)</f>
        <v>Aprobado</v>
      </c>
      <c r="AG335" s="59" t="str">
        <f>VLOOKUP(Tabla15[[#This Row],[N° 
Evento]],'Eventos de riesgos'!B:W,22,0)</f>
        <v>20/03/2026 18:08:14: creado
21/03/2026 23:15:58: Actualizado</v>
      </c>
    </row>
    <row r="336" spans="3:33" ht="46.5" customHeight="1" thickBot="1" x14ac:dyDescent="0.6">
      <c r="C336" s="54" t="str">
        <f>+Tabla15[[#This Row],[N° 
Evento]]&amp;"-"&amp;Tabla15[[#This Row],[N° Tarea]]</f>
        <v>89-2</v>
      </c>
      <c r="D336" s="54">
        <v>89</v>
      </c>
      <c r="E336" s="54">
        <v>2</v>
      </c>
      <c r="F336" s="71" t="s">
        <v>1099</v>
      </c>
      <c r="G336" s="44" t="s">
        <v>1052</v>
      </c>
      <c r="H336" s="59" t="s">
        <v>1103</v>
      </c>
      <c r="I336" s="56" t="s">
        <v>91</v>
      </c>
      <c r="J336" s="57">
        <v>46054</v>
      </c>
      <c r="K336" s="57">
        <v>46063</v>
      </c>
      <c r="L336" s="73" t="str">
        <f>IF(Tabla15[[#This Row],[Fecha de Finalización]]&gt;0,"Cerrada","En Proceso")</f>
        <v>Cerrada</v>
      </c>
      <c r="M336" s="52">
        <f t="shared" si="18"/>
        <v>9</v>
      </c>
      <c r="N336" s="59"/>
      <c r="O336" s="54">
        <f>VLOOKUP(Tabla15[[#This Row],[N° 
Evento]],'Eventos de riesgos'!B:C,2,0)</f>
        <v>2026</v>
      </c>
      <c r="P336" s="54" t="str">
        <f>VLOOKUP(Tabla15[[#This Row],[N° 
Evento]],'Eventos de riesgos'!B:D,3,0)</f>
        <v xml:space="preserve">Feb </v>
      </c>
      <c r="Q336" s="60">
        <f>VLOOKUP(Tabla15[[#This Row],[N° 
Evento]],'Eventos de riesgos'!B:E,4,0)</f>
        <v>46054</v>
      </c>
      <c r="R336" s="60">
        <f>VLOOKUP(Tabla15[[#This Row],[N° 
Evento]],'Eventos de riesgos'!B:F,5,0)</f>
        <v>46097.750694444447</v>
      </c>
      <c r="S336" s="60">
        <f>VLOOKUP(Tabla15[[#This Row],[N° 
Evento]],'Eventos de riesgos'!B:G,6,0)</f>
        <v>46081.75</v>
      </c>
      <c r="T336" s="63"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6" s="61">
        <f>VLOOKUP(Tabla15[[#This Row],[N° 
Evento]],'Eventos de riesgos'!B:I,8,0)</f>
        <v>5075108</v>
      </c>
      <c r="V336" s="61">
        <f>VLOOKUP(Tabla15[[#This Row],[N° 
Evento]],'Eventos de riesgos'!B:J,9,0)</f>
        <v>5075108</v>
      </c>
      <c r="W336" s="61">
        <f>VLOOKUP(Tabla15[[#This Row],[N° 
Evento]],'Eventos de riesgos'!B:K,10,0)</f>
        <v>0</v>
      </c>
      <c r="X336" s="59" t="str">
        <f>VLOOKUP(Tabla15[[#This Row],[N° 
Evento]],'Eventos de riesgos'!B:L,11,0)</f>
        <v>7 - Ejecución y Administración de Procesos</v>
      </c>
      <c r="Y336" s="59" t="str">
        <f>VLOOKUP(Tabla15[[#This Row],[N° 
Evento]],'Eventos de riesgos'!B:M,12,0)</f>
        <v>71 - Recepción, Ejecución y Mantenimiento de Operaciones</v>
      </c>
      <c r="Z336" s="59" t="str">
        <f>VLOOKUP(Tabla15[[#This Row],[N° 
Evento]],'Eventos de riesgos'!B:N,13,0)</f>
        <v>713 - Incumplimiento de Plazos o Responsabilidades</v>
      </c>
      <c r="AA336" s="59" t="e">
        <f>+VLOOKUP(Tabla15[[#This Row],[N° 
Evento]],'Eventos de riesgos'!$B$1:$AA$87,23,0)</f>
        <v>#N/A</v>
      </c>
      <c r="AB336" s="54" t="str">
        <f>VLOOKUP(Tabla15[[#This Row],[N° 
Evento]],'Eventos de riesgos'!B:O,14,0)</f>
        <v>Ninguna</v>
      </c>
      <c r="AC336" s="60">
        <f>VLOOKUP(Tabla15[[#This Row],[N° 
Evento]],'Eventos de riesgos'!B:P,15,0)</f>
        <v>46081.754166666666</v>
      </c>
      <c r="AD336" s="54" t="str">
        <f>VLOOKUP(Tabla15[[#This Row],[N° 
Evento]],'Eventos de riesgos'!B:Q,16,0)</f>
        <v>Convenio de servicio de telefonía</v>
      </c>
      <c r="AE336" s="54" t="str">
        <f>VLOOKUP(Tabla15[[#This Row],[N° 
Evento]],'Eventos de riesgos'!B:R,17,0)</f>
        <v>Ninguno</v>
      </c>
      <c r="AF336" s="56" t="str">
        <f>VLOOKUP(Tabla15[[#This Row],[N° 
Evento]],'Eventos de riesgos'!B:V,21,0)</f>
        <v>Aprobado</v>
      </c>
      <c r="AG336" s="59" t="str">
        <f>VLOOKUP(Tabla15[[#This Row],[N° 
Evento]],'Eventos de riesgos'!B:W,22,0)</f>
        <v>20/03/2026 18:08:14: creado
21/03/2026 23:15:58: Actualizado</v>
      </c>
    </row>
    <row r="337" spans="3:33" ht="46.5" customHeight="1" thickBot="1" x14ac:dyDescent="0.6">
      <c r="C337" s="54" t="str">
        <f>+Tabla15[[#This Row],[N° 
Evento]]&amp;"-"&amp;Tabla15[[#This Row],[N° Tarea]]</f>
        <v>89-3</v>
      </c>
      <c r="D337" s="54">
        <v>89</v>
      </c>
      <c r="E337" s="54">
        <v>3</v>
      </c>
      <c r="F337" s="71" t="s">
        <v>1100</v>
      </c>
      <c r="G337" s="44" t="s">
        <v>1052</v>
      </c>
      <c r="H337" s="59" t="s">
        <v>215</v>
      </c>
      <c r="I337" s="56" t="s">
        <v>511</v>
      </c>
      <c r="J337" s="57">
        <v>46054</v>
      </c>
      <c r="K337" s="57">
        <v>46063</v>
      </c>
      <c r="L337" s="73" t="str">
        <f>IF(Tabla15[[#This Row],[Fecha de Finalización]]&gt;0,"Cerrada","En Proceso")</f>
        <v>Cerrada</v>
      </c>
      <c r="M337" s="52">
        <f t="shared" si="18"/>
        <v>9</v>
      </c>
      <c r="N337" s="59"/>
      <c r="O337" s="54">
        <f>VLOOKUP(Tabla15[[#This Row],[N° 
Evento]],'Eventos de riesgos'!B:C,2,0)</f>
        <v>2026</v>
      </c>
      <c r="P337" s="54" t="str">
        <f>VLOOKUP(Tabla15[[#This Row],[N° 
Evento]],'Eventos de riesgos'!B:D,3,0)</f>
        <v xml:space="preserve">Feb </v>
      </c>
      <c r="Q337" s="60">
        <f>VLOOKUP(Tabla15[[#This Row],[N° 
Evento]],'Eventos de riesgos'!B:E,4,0)</f>
        <v>46054</v>
      </c>
      <c r="R337" s="60">
        <f>VLOOKUP(Tabla15[[#This Row],[N° 
Evento]],'Eventos de riesgos'!B:F,5,0)</f>
        <v>46097.750694444447</v>
      </c>
      <c r="S337" s="60">
        <f>VLOOKUP(Tabla15[[#This Row],[N° 
Evento]],'Eventos de riesgos'!B:G,6,0)</f>
        <v>46081.75</v>
      </c>
      <c r="T337" s="63"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7" s="61">
        <f>VLOOKUP(Tabla15[[#This Row],[N° 
Evento]],'Eventos de riesgos'!B:I,8,0)</f>
        <v>5075108</v>
      </c>
      <c r="V337" s="61">
        <f>VLOOKUP(Tabla15[[#This Row],[N° 
Evento]],'Eventos de riesgos'!B:J,9,0)</f>
        <v>5075108</v>
      </c>
      <c r="W337" s="61">
        <f>VLOOKUP(Tabla15[[#This Row],[N° 
Evento]],'Eventos de riesgos'!B:K,10,0)</f>
        <v>0</v>
      </c>
      <c r="X337" s="59" t="str">
        <f>VLOOKUP(Tabla15[[#This Row],[N° 
Evento]],'Eventos de riesgos'!B:L,11,0)</f>
        <v>7 - Ejecución y Administración de Procesos</v>
      </c>
      <c r="Y337" s="59" t="str">
        <f>VLOOKUP(Tabla15[[#This Row],[N° 
Evento]],'Eventos de riesgos'!B:M,12,0)</f>
        <v>71 - Recepción, Ejecución y Mantenimiento de Operaciones</v>
      </c>
      <c r="Z337" s="59" t="str">
        <f>VLOOKUP(Tabla15[[#This Row],[N° 
Evento]],'Eventos de riesgos'!B:N,13,0)</f>
        <v>713 - Incumplimiento de Plazos o Responsabilidades</v>
      </c>
      <c r="AA337" s="59" t="e">
        <f>+VLOOKUP(Tabla15[[#This Row],[N° 
Evento]],'Eventos de riesgos'!$B$1:$AA$87,23,0)</f>
        <v>#N/A</v>
      </c>
      <c r="AB337" s="54" t="str">
        <f>VLOOKUP(Tabla15[[#This Row],[N° 
Evento]],'Eventos de riesgos'!B:O,14,0)</f>
        <v>Ninguna</v>
      </c>
      <c r="AC337" s="60">
        <f>VLOOKUP(Tabla15[[#This Row],[N° 
Evento]],'Eventos de riesgos'!B:P,15,0)</f>
        <v>46081.754166666666</v>
      </c>
      <c r="AD337" s="54" t="str">
        <f>VLOOKUP(Tabla15[[#This Row],[N° 
Evento]],'Eventos de riesgos'!B:Q,16,0)</f>
        <v>Convenio de servicio de telefonía</v>
      </c>
      <c r="AE337" s="54" t="str">
        <f>VLOOKUP(Tabla15[[#This Row],[N° 
Evento]],'Eventos de riesgos'!B:R,17,0)</f>
        <v>Ninguno</v>
      </c>
      <c r="AF337" s="56" t="str">
        <f>VLOOKUP(Tabla15[[#This Row],[N° 
Evento]],'Eventos de riesgos'!B:V,21,0)</f>
        <v>Aprobado</v>
      </c>
      <c r="AG337" s="59" t="str">
        <f>VLOOKUP(Tabla15[[#This Row],[N° 
Evento]],'Eventos de riesgos'!B:W,22,0)</f>
        <v>20/03/2026 18:08:14: creado
21/03/2026 23:15:58: Actualizado</v>
      </c>
    </row>
    <row r="338" spans="3:33" ht="46.5" customHeight="1" x14ac:dyDescent="0.55000000000000004">
      <c r="C338" s="43" t="str">
        <f>+Tabla15[[#This Row],[N° 
Evento]]&amp;"-"&amp;Tabla15[[#This Row],[N° Tarea]]</f>
        <v>89-4</v>
      </c>
      <c r="D338" s="54">
        <v>89</v>
      </c>
      <c r="E338" s="54">
        <v>4</v>
      </c>
      <c r="F338" s="51" t="s">
        <v>1101</v>
      </c>
      <c r="G338" s="44" t="s">
        <v>1052</v>
      </c>
      <c r="H338" s="59" t="s">
        <v>1071</v>
      </c>
      <c r="I338" s="56" t="s">
        <v>1079</v>
      </c>
      <c r="J338" s="57">
        <v>46054</v>
      </c>
      <c r="K338" s="57">
        <v>46066</v>
      </c>
      <c r="L338" s="72" t="str">
        <f>IF(Tabla15[[#This Row],[Fecha de Finalización]]&gt;0,"Cerrada","En Proceso")</f>
        <v>Cerrada</v>
      </c>
      <c r="M338" s="52">
        <f t="shared" si="18"/>
        <v>12</v>
      </c>
      <c r="N338" s="44"/>
      <c r="O338" s="43">
        <f>VLOOKUP(Tabla15[[#This Row],[N° 
Evento]],'Eventos de riesgos'!B:C,2,0)</f>
        <v>2026</v>
      </c>
      <c r="P338" s="43" t="str">
        <f>VLOOKUP(Tabla15[[#This Row],[N° 
Evento]],'Eventos de riesgos'!B:D,3,0)</f>
        <v xml:space="preserve">Feb </v>
      </c>
      <c r="Q338" s="48">
        <f>VLOOKUP(Tabla15[[#This Row],[N° 
Evento]],'Eventos de riesgos'!B:E,4,0)</f>
        <v>46054</v>
      </c>
      <c r="R338" s="48">
        <f>VLOOKUP(Tabla15[[#This Row],[N° 
Evento]],'Eventos de riesgos'!B:F,5,0)</f>
        <v>46097.750694444447</v>
      </c>
      <c r="S338" s="48">
        <f>VLOOKUP(Tabla15[[#This Row],[N° 
Evento]],'Eventos de riesgos'!B:G,6,0)</f>
        <v>46081.75</v>
      </c>
      <c r="T338" s="62"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8" s="49">
        <f>VLOOKUP(Tabla15[[#This Row],[N° 
Evento]],'Eventos de riesgos'!B:I,8,0)</f>
        <v>5075108</v>
      </c>
      <c r="V338" s="49">
        <f>VLOOKUP(Tabla15[[#This Row],[N° 
Evento]],'Eventos de riesgos'!B:J,9,0)</f>
        <v>5075108</v>
      </c>
      <c r="W338" s="49">
        <f>VLOOKUP(Tabla15[[#This Row],[N° 
Evento]],'Eventos de riesgos'!B:K,10,0)</f>
        <v>0</v>
      </c>
      <c r="X338" s="44" t="str">
        <f>VLOOKUP(Tabla15[[#This Row],[N° 
Evento]],'Eventos de riesgos'!B:L,11,0)</f>
        <v>7 - Ejecución y Administración de Procesos</v>
      </c>
      <c r="Y338" s="44" t="str">
        <f>VLOOKUP(Tabla15[[#This Row],[N° 
Evento]],'Eventos de riesgos'!B:M,12,0)</f>
        <v>71 - Recepción, Ejecución y Mantenimiento de Operaciones</v>
      </c>
      <c r="Z338" s="44" t="str">
        <f>VLOOKUP(Tabla15[[#This Row],[N° 
Evento]],'Eventos de riesgos'!B:N,13,0)</f>
        <v>713 - Incumplimiento de Plazos o Responsabilidades</v>
      </c>
      <c r="AA338" s="44" t="e">
        <f>+VLOOKUP(Tabla15[[#This Row],[N° 
Evento]],'Eventos de riesgos'!$B$1:$AA$87,23,0)</f>
        <v>#N/A</v>
      </c>
      <c r="AB338" s="43" t="str">
        <f>VLOOKUP(Tabla15[[#This Row],[N° 
Evento]],'Eventos de riesgos'!B:O,14,0)</f>
        <v>Ninguna</v>
      </c>
      <c r="AC338" s="48">
        <f>VLOOKUP(Tabla15[[#This Row],[N° 
Evento]],'Eventos de riesgos'!B:P,15,0)</f>
        <v>46081.754166666666</v>
      </c>
      <c r="AD338" s="43" t="str">
        <f>VLOOKUP(Tabla15[[#This Row],[N° 
Evento]],'Eventos de riesgos'!B:Q,16,0)</f>
        <v>Convenio de servicio de telefonía</v>
      </c>
      <c r="AE338" s="43" t="str">
        <f>VLOOKUP(Tabla15[[#This Row],[N° 
Evento]],'Eventos de riesgos'!B:R,17,0)</f>
        <v>Ninguno</v>
      </c>
      <c r="AF338" s="45" t="str">
        <f>VLOOKUP(Tabla15[[#This Row],[N° 
Evento]],'Eventos de riesgos'!B:V,21,0)</f>
        <v>Aprobado</v>
      </c>
      <c r="AG338" s="44" t="str">
        <f>VLOOKUP(Tabla15[[#This Row],[N° 
Evento]],'Eventos de riesgos'!B:W,22,0)</f>
        <v>20/03/2026 18:08:14: creado
21/03/2026 23:15:58: Actualizado</v>
      </c>
    </row>
    <row r="339" spans="3:33" ht="60" customHeight="1" x14ac:dyDescent="0.55000000000000004">
      <c r="C339" s="43" t="str">
        <f>+Tabla15[[#This Row],[N° 
Evento]]&amp;"-"&amp;Tabla15[[#This Row],[N° Tarea]]</f>
        <v>89-6</v>
      </c>
      <c r="D339" s="54">
        <v>89</v>
      </c>
      <c r="E339" s="54">
        <v>6</v>
      </c>
      <c r="F339" s="51" t="s">
        <v>1106</v>
      </c>
      <c r="G339" s="44" t="s">
        <v>1053</v>
      </c>
      <c r="H339" s="44" t="s">
        <v>1104</v>
      </c>
      <c r="I339" s="44" t="s">
        <v>1105</v>
      </c>
      <c r="J339" s="57">
        <v>46054</v>
      </c>
      <c r="K339" s="46"/>
      <c r="L339" s="72" t="str">
        <f>IF(Tabla15[[#This Row],[Fecha de Finalización]]&gt;0,"Cerrada","En Proceso")</f>
        <v>En Proceso</v>
      </c>
      <c r="M339" s="52">
        <f t="shared" si="18"/>
        <v>-46054</v>
      </c>
      <c r="N339" s="44"/>
      <c r="O339" s="43">
        <f>VLOOKUP(Tabla15[[#This Row],[N° 
Evento]],'Eventos de riesgos'!B:C,2,0)</f>
        <v>2026</v>
      </c>
      <c r="P339" s="43" t="str">
        <f>VLOOKUP(Tabla15[[#This Row],[N° 
Evento]],'Eventos de riesgos'!B:D,3,0)</f>
        <v xml:space="preserve">Feb </v>
      </c>
      <c r="Q339" s="48">
        <f>VLOOKUP(Tabla15[[#This Row],[N° 
Evento]],'Eventos de riesgos'!B:E,4,0)</f>
        <v>46054</v>
      </c>
      <c r="R339" s="48">
        <f>VLOOKUP(Tabla15[[#This Row],[N° 
Evento]],'Eventos de riesgos'!B:F,5,0)</f>
        <v>46097.750694444447</v>
      </c>
      <c r="S339" s="48">
        <f>VLOOKUP(Tabla15[[#This Row],[N° 
Evento]],'Eventos de riesgos'!B:G,6,0)</f>
        <v>46081.75</v>
      </c>
      <c r="T339" s="62"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9" s="49">
        <f>VLOOKUP(Tabla15[[#This Row],[N° 
Evento]],'Eventos de riesgos'!B:I,8,0)</f>
        <v>5075108</v>
      </c>
      <c r="V339" s="49">
        <f>VLOOKUP(Tabla15[[#This Row],[N° 
Evento]],'Eventos de riesgos'!B:J,9,0)</f>
        <v>5075108</v>
      </c>
      <c r="W339" s="49">
        <f>VLOOKUP(Tabla15[[#This Row],[N° 
Evento]],'Eventos de riesgos'!B:K,10,0)</f>
        <v>0</v>
      </c>
      <c r="X339" s="44" t="str">
        <f>VLOOKUP(Tabla15[[#This Row],[N° 
Evento]],'Eventos de riesgos'!B:L,11,0)</f>
        <v>7 - Ejecución y Administración de Procesos</v>
      </c>
      <c r="Y339" s="44" t="str">
        <f>VLOOKUP(Tabla15[[#This Row],[N° 
Evento]],'Eventos de riesgos'!B:M,12,0)</f>
        <v>71 - Recepción, Ejecución y Mantenimiento de Operaciones</v>
      </c>
      <c r="Z339" s="44" t="str">
        <f>VLOOKUP(Tabla15[[#This Row],[N° 
Evento]],'Eventos de riesgos'!B:N,13,0)</f>
        <v>713 - Incumplimiento de Plazos o Responsabilidades</v>
      </c>
      <c r="AA339" s="44" t="e">
        <f>+VLOOKUP(Tabla15[[#This Row],[N° 
Evento]],'Eventos de riesgos'!$B$1:$AA$87,23,0)</f>
        <v>#N/A</v>
      </c>
      <c r="AB339" s="43" t="str">
        <f>VLOOKUP(Tabla15[[#This Row],[N° 
Evento]],'Eventos de riesgos'!B:O,14,0)</f>
        <v>Ninguna</v>
      </c>
      <c r="AC339" s="48">
        <f>VLOOKUP(Tabla15[[#This Row],[N° 
Evento]],'Eventos de riesgos'!B:P,15,0)</f>
        <v>46081.754166666666</v>
      </c>
      <c r="AD339" s="43" t="str">
        <f>VLOOKUP(Tabla15[[#This Row],[N° 
Evento]],'Eventos de riesgos'!B:Q,16,0)</f>
        <v>Convenio de servicio de telefonía</v>
      </c>
      <c r="AE339" s="43" t="str">
        <f>VLOOKUP(Tabla15[[#This Row],[N° 
Evento]],'Eventos de riesgos'!B:R,17,0)</f>
        <v>Ninguno</v>
      </c>
      <c r="AF339" s="45" t="str">
        <f>VLOOKUP(Tabla15[[#This Row],[N° 
Evento]],'Eventos de riesgos'!B:V,21,0)</f>
        <v>Aprobado</v>
      </c>
      <c r="AG339" s="44" t="str">
        <f>VLOOKUP(Tabla15[[#This Row],[N° 
Evento]],'Eventos de riesgos'!B:W,22,0)</f>
        <v>20/03/2026 18:08:14: creado
21/03/2026 23:15:58: Actualizado</v>
      </c>
    </row>
    <row r="342" spans="3:33" ht="46.5" customHeight="1" thickBot="1" x14ac:dyDescent="0.6">
      <c r="F342" s="149" t="s">
        <v>1087</v>
      </c>
      <c r="G342" s="150" t="s">
        <v>1053</v>
      </c>
      <c r="H342" s="151" t="s">
        <v>1070</v>
      </c>
      <c r="I342" s="151" t="s">
        <v>91</v>
      </c>
      <c r="J342" s="152">
        <v>46024</v>
      </c>
    </row>
  </sheetData>
  <mergeCells count="14">
    <mergeCell ref="E1:M4"/>
    <mergeCell ref="C8:C9"/>
    <mergeCell ref="C6:E6"/>
    <mergeCell ref="C21:N21"/>
    <mergeCell ref="O21:AG21"/>
    <mergeCell ref="J8:J9"/>
    <mergeCell ref="K8:K9"/>
    <mergeCell ref="E8:H9"/>
    <mergeCell ref="E15:H15"/>
    <mergeCell ref="E14:H14"/>
    <mergeCell ref="E13:H13"/>
    <mergeCell ref="E12:H12"/>
    <mergeCell ref="E11:H11"/>
    <mergeCell ref="E10:H10"/>
  </mergeCells>
  <phoneticPr fontId="1" type="noConversion"/>
  <conditionalFormatting sqref="L23:L339">
    <cfRule type="containsText" dxfId="1" priority="4" operator="containsText" text="En Proceso">
      <formula>NOT(ISERROR(SEARCH("En Proceso",L23)))</formula>
    </cfRule>
    <cfRule type="containsText" dxfId="0" priority="32" operator="containsText" text="Cerrada">
      <formula>NOT(ISERROR(SEARCH("Cerrada",L23)))</formula>
    </cfRule>
  </conditionalFormatting>
  <dataValidations count="1">
    <dataValidation type="date" errorStyle="information" operator="greaterThan" allowBlank="1" showInputMessage="1" showErrorMessage="1" errorTitle="Sólo formato de fecha corta" error="La celda sólo permite formato de fecha corta, así:_x000a__x000a_DD/MM/AAAA ejemplo: 01/02/2023" promptTitle="Formato fecha corta" prompt="DD/MM/AAAA" sqref="F23:F74" xr:uid="{4A73A7AA-4776-4797-9D77-477492F6F749}">
      <formula1>1</formula1>
    </dataValidation>
  </dataValidations>
  <pageMargins left="0.25" right="0.25" top="0.75" bottom="0.75" header="0.3" footer="0.3"/>
  <pageSetup paperSize="5" orientation="landscape" r:id="rId1"/>
  <ignoredErrors>
    <ignoredError sqref="F23:F109 F266 F111:F112 F114:F115 F117:F118 F120:F127 F129:F133 F135:F154 F156:F161 F163:F168 F170:F181 F183:F189 F193 F196:F197 F199:F202 F206:F209 F213:F222 F224:F265" listDataValidatio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Eventos de riesgos</vt:lpstr>
      <vt:lpstr>Eventos-Tareas</vt:lpstr>
      <vt:lpstr>'Eventos de riesgos'!Área_de_impresión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Giovana Milena VELASQUEZ MONTEALEGRE</dc:creator>
  <cp:lastModifiedBy>Diana Maribel Fonseca Gómez</cp:lastModifiedBy>
  <cp:lastPrinted>2024-03-06T20:28:24Z</cp:lastPrinted>
  <dcterms:created xsi:type="dcterms:W3CDTF">2023-06-18T14:00:01Z</dcterms:created>
  <dcterms:modified xsi:type="dcterms:W3CDTF">2026-03-24T03:52:11Z</dcterms:modified>
</cp:coreProperties>
</file>