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ing with IF() functions" sheetId="1" r:id="rId4"/>
    <sheet state="visible" name="SWITCH with baseball" sheetId="2" r:id="rId5"/>
    <sheet state="visible" name="School grades with IFS()" sheetId="3" r:id="rId6"/>
    <sheet state="visible" name="IF() formulas for monthly or bi" sheetId="4" r:id="rId7"/>
    <sheet state="visible" name="IF() formulas to calculate semi" sheetId="5" r:id="rId8"/>
    <sheet state="visible" name="IFS() formula for all payment t" sheetId="6" r:id="rId9"/>
    <sheet state="visible" name="Adding data to the chart." sheetId="7" r:id="rId10"/>
    <sheet state="visible" name="Adding the x-axis" sheetId="8" r:id="rId11"/>
    <sheet state="visible" name="Adding the title" sheetId="9" r:id="rId12"/>
    <sheet state="visible" name="Using FILTER to create a new ta" sheetId="10" r:id="rId13"/>
    <sheet state="visible" name="Fixing visualizations after usi" sheetId="11" r:id="rId14"/>
    <sheet state="visible" name="Hiding unused values using IFS" sheetId="12" r:id="rId15"/>
  </sheets>
  <definedNames/>
  <calcPr/>
</workbook>
</file>

<file path=xl/sharedStrings.xml><?xml version="1.0" encoding="utf-8"?>
<sst xmlns="http://schemas.openxmlformats.org/spreadsheetml/2006/main" count="264" uniqueCount="79">
  <si>
    <t>Refresh of IF values</t>
  </si>
  <si>
    <t>Statement</t>
  </si>
  <si>
    <t>Test Value</t>
  </si>
  <si>
    <t>IF Formula</t>
  </si>
  <si>
    <t>Expected Value</t>
  </si>
  <si>
    <t>If the test value equals "BMW", then "German" otherwise "Not German"</t>
  </si>
  <si>
    <t>Honda</t>
  </si>
  <si>
    <t>Not German</t>
  </si>
  <si>
    <t>BMW</t>
  </si>
  <si>
    <t>German</t>
  </si>
  <si>
    <t>If the test value equals 7, then "Lucky" otherwise "Unlucky"</t>
  </si>
  <si>
    <t>Unlucky</t>
  </si>
  <si>
    <t>Lucky</t>
  </si>
  <si>
    <t>If the test value is over 999,999, then "Millionaire", otherwise, "Not Millionaire"</t>
  </si>
  <si>
    <t>Not Millionaire</t>
  </si>
  <si>
    <t>Millionaire</t>
  </si>
  <si>
    <t>SWITCH with Baseball</t>
  </si>
  <si>
    <t>Vlookup Reference</t>
  </si>
  <si>
    <t>Position</t>
  </si>
  <si>
    <t>VLOOKUP</t>
  </si>
  <si>
    <t>SWITCH</t>
  </si>
  <si>
    <t>Number</t>
  </si>
  <si>
    <t>Left Fielder</t>
  </si>
  <si>
    <t>Pitcher</t>
  </si>
  <si>
    <t>Center Fielder</t>
  </si>
  <si>
    <t>Catcher</t>
  </si>
  <si>
    <t>Right Fielder</t>
  </si>
  <si>
    <t>First Base</t>
  </si>
  <si>
    <t>Third Base</t>
  </si>
  <si>
    <t>Second Base</t>
  </si>
  <si>
    <t>Shortstop</t>
  </si>
  <si>
    <t>School Grades with IFS()</t>
  </si>
  <si>
    <t>Percentage</t>
  </si>
  <si>
    <t>IFS</t>
  </si>
  <si>
    <t>Score</t>
  </si>
  <si>
    <t>Grade</t>
  </si>
  <si>
    <t>F</t>
  </si>
  <si>
    <t>D</t>
  </si>
  <si>
    <t>C</t>
  </si>
  <si>
    <t>B</t>
  </si>
  <si>
    <t>A</t>
  </si>
  <si>
    <t>A+</t>
  </si>
  <si>
    <t>Using the =IF() function to determine the payment date.</t>
  </si>
  <si>
    <t>Start Date</t>
  </si>
  <si>
    <t>Period Frequency</t>
  </si>
  <si>
    <t>Periods Offset</t>
  </si>
  <si>
    <t>EOMONTH Function</t>
  </si>
  <si>
    <t>Add Weeks</t>
  </si>
  <si>
    <t>End Date</t>
  </si>
  <si>
    <t>Expected Date</t>
  </si>
  <si>
    <t>Bi-Weekly</t>
  </si>
  <si>
    <t>Monthly</t>
  </si>
  <si>
    <t>Add Dates</t>
  </si>
  <si>
    <t>Using the =IF() function to determine the next semi-monthly date</t>
  </si>
  <si>
    <t>Add 15 Days</t>
  </si>
  <si>
    <t>Using the =IFS() function to determine the next date for bi-weekly, semi-monthly or monthly frequencies.</t>
  </si>
  <si>
    <t>Frequency</t>
  </si>
  <si>
    <t>Semi-Monthly Formula</t>
  </si>
  <si>
    <t>Add 14 Days</t>
  </si>
  <si>
    <t>Semi-Monthly</t>
  </si>
  <si>
    <t>Annual Periods</t>
  </si>
  <si>
    <t>Amortization Dashboard</t>
  </si>
  <si>
    <t>Principal</t>
  </si>
  <si>
    <t>Asset Value</t>
  </si>
  <si>
    <t>Annual Interest Rate</t>
  </si>
  <si>
    <t>Years</t>
  </si>
  <si>
    <t>Payment Frequency</t>
  </si>
  <si>
    <t># of Periods</t>
  </si>
  <si>
    <t>Loan Date</t>
  </si>
  <si>
    <t>Cumulative Interest Paid</t>
  </si>
  <si>
    <t>Period</t>
  </si>
  <si>
    <t>Date</t>
  </si>
  <si>
    <t>Opening Balance</t>
  </si>
  <si>
    <t>Payment</t>
  </si>
  <si>
    <t>Interest</t>
  </si>
  <si>
    <t>Closing Balance</t>
  </si>
  <si>
    <t>LTV</t>
  </si>
  <si>
    <t>Cumulative Interest</t>
  </si>
  <si>
    <t>Cumulative Principal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</si>
</sst>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.00"/>
    <numFmt numFmtId="166" formatCode="M/d/yyyy"/>
    <numFmt numFmtId="167" formatCode="&quot;$&quot;#,##0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4.0"/>
      <color theme="1"/>
      <name val="Arial"/>
    </font>
    <font>
      <color rgb="FFFFFFFF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10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2" fontId="2" numFmtId="14" xfId="0" applyAlignment="1" applyFont="1" applyNumberFormat="1">
      <alignment horizontal="right" vertical="bottom"/>
    </xf>
    <xf borderId="0" fillId="2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14" xfId="0" applyAlignment="1" applyFont="1" applyNumberFormat="1">
      <alignment horizontal="right" vertical="bottom"/>
    </xf>
    <xf borderId="0" fillId="0" fontId="2" numFmtId="165" xfId="0" applyAlignment="1" applyFont="1" applyNumberFormat="1">
      <alignment vertical="bottom"/>
    </xf>
    <xf borderId="0" fillId="0" fontId="2" numFmtId="14" xfId="0" applyAlignment="1" applyFont="1" applyNumberFormat="1">
      <alignment vertical="bottom"/>
    </xf>
    <xf borderId="0" fillId="2" fontId="2" numFmtId="164" xfId="0" applyAlignment="1" applyFont="1" applyNumberFormat="1">
      <alignment horizontal="right" vertical="bottom"/>
    </xf>
    <xf borderId="0" fillId="2" fontId="2" numFmtId="14" xfId="0" applyAlignment="1" applyFont="1" applyNumberFormat="1">
      <alignment vertical="bottom"/>
    </xf>
    <xf borderId="0" fillId="2" fontId="2" numFmtId="164" xfId="0" applyAlignment="1" applyFont="1" applyNumberFormat="1">
      <alignment vertical="bottom"/>
    </xf>
    <xf borderId="0" fillId="0" fontId="2" numFmtId="166" xfId="0" applyAlignment="1" applyFont="1" applyNumberFormat="1">
      <alignment vertical="bottom"/>
    </xf>
    <xf borderId="0" fillId="0" fontId="2" numFmtId="14" xfId="0" applyAlignment="1" applyFont="1" applyNumberFormat="1">
      <alignment vertical="bottom"/>
    </xf>
    <xf borderId="0" fillId="0" fontId="3" numFmtId="0" xfId="0" applyAlignment="1" applyFont="1">
      <alignment shrinkToFit="0" vertical="bottom" wrapText="0"/>
    </xf>
    <xf borderId="0" fillId="0" fontId="2" numFmtId="167" xfId="0" applyAlignment="1" applyFont="1" applyNumberFormat="1">
      <alignment horizontal="right" vertical="bottom"/>
    </xf>
    <xf borderId="0" fillId="0" fontId="2" numFmtId="9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  <xf borderId="0" fillId="0" fontId="2" numFmtId="167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center" vertical="bottom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10" xfId="0" applyAlignment="1" applyFont="1" applyNumberFormat="1">
      <alignment horizontal="center" vertical="bottom"/>
    </xf>
    <xf borderId="0" fillId="2" fontId="2" numFmtId="166" xfId="0" applyAlignment="1" applyFont="1" applyNumberFormat="1">
      <alignment horizontal="right" vertical="bottom"/>
    </xf>
    <xf borderId="0" fillId="2" fontId="2" numFmtId="165" xfId="0" applyAlignment="1" applyFont="1" applyNumberFormat="1">
      <alignment horizontal="right" vertical="bottom"/>
    </xf>
    <xf borderId="0" fillId="2" fontId="2" numFmtId="166" xfId="0" applyAlignment="1" applyFont="1" applyNumberFormat="1">
      <alignment vertical="bottom"/>
    </xf>
    <xf borderId="0" fillId="2" fontId="2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Chart3.png"/><Relationship Id="rId2" Type="http://schemas.openxmlformats.org/officeDocument/2006/relationships/image" Target="../media/Chart4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Chart5.png"/><Relationship Id="rId2" Type="http://schemas.openxmlformats.org/officeDocument/2006/relationships/image" Target="../media/Chart6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Chart7.png"/><Relationship Id="rId2" Type="http://schemas.openxmlformats.org/officeDocument/2006/relationships/image" Target="../media/Chart8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Chart9.png"/><Relationship Id="rId2" Type="http://schemas.openxmlformats.org/officeDocument/2006/relationships/image" Target="../media/Chart10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Chart11.png"/><Relationship Id="rId2" Type="http://schemas.openxmlformats.org/officeDocument/2006/relationships/image" Target="../media/Chart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923925</xdr:colOff>
      <xdr:row>0</xdr:row>
      <xdr:rowOff>0</xdr:rowOff>
    </xdr:from>
    <xdr:ext cx="3733800" cy="2305050"/>
    <xdr:pic>
      <xdr:nvPicPr>
        <xdr:cNvPr id="351145145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904875</xdr:colOff>
      <xdr:row>0</xdr:row>
      <xdr:rowOff>0</xdr:rowOff>
    </xdr:from>
    <xdr:ext cx="3667125" cy="2266950"/>
    <xdr:pic>
      <xdr:nvPicPr>
        <xdr:cNvPr id="429887874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0</xdr:row>
      <xdr:rowOff>28575</xdr:rowOff>
    </xdr:from>
    <xdr:ext cx="3733800" cy="2305050"/>
    <xdr:pic>
      <xdr:nvPicPr>
        <xdr:cNvPr id="1570546491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9525</xdr:rowOff>
    </xdr:from>
    <xdr:ext cx="3667125" cy="2266950"/>
    <xdr:pic>
      <xdr:nvPicPr>
        <xdr:cNvPr id="1000234256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933450</xdr:colOff>
      <xdr:row>0</xdr:row>
      <xdr:rowOff>0</xdr:rowOff>
    </xdr:from>
    <xdr:ext cx="3733800" cy="2305050"/>
    <xdr:pic>
      <xdr:nvPicPr>
        <xdr:cNvPr id="609493889" name="Chart5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952500</xdr:colOff>
      <xdr:row>0</xdr:row>
      <xdr:rowOff>19050</xdr:rowOff>
    </xdr:from>
    <xdr:ext cx="3667125" cy="2266950"/>
    <xdr:pic>
      <xdr:nvPicPr>
        <xdr:cNvPr id="958149879" name="Chart6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28575</xdr:colOff>
      <xdr:row>0</xdr:row>
      <xdr:rowOff>28575</xdr:rowOff>
    </xdr:from>
    <xdr:ext cx="3971925" cy="1847850"/>
    <xdr:pic>
      <xdr:nvPicPr>
        <xdr:cNvPr id="1857539310" name="Chart7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323850</xdr:colOff>
      <xdr:row>0</xdr:row>
      <xdr:rowOff>9525</xdr:rowOff>
    </xdr:from>
    <xdr:ext cx="4295775" cy="1847850"/>
    <xdr:pic>
      <xdr:nvPicPr>
        <xdr:cNvPr id="1691488698" name="Chart8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0</xdr:row>
      <xdr:rowOff>19050</xdr:rowOff>
    </xdr:from>
    <xdr:ext cx="3971925" cy="1847850"/>
    <xdr:pic>
      <xdr:nvPicPr>
        <xdr:cNvPr id="421306824" name="Chart9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247650</xdr:colOff>
      <xdr:row>0</xdr:row>
      <xdr:rowOff>19050</xdr:rowOff>
    </xdr:from>
    <xdr:ext cx="4295775" cy="1847850"/>
    <xdr:pic>
      <xdr:nvPicPr>
        <xdr:cNvPr id="1912659004" name="Chart10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76200</xdr:colOff>
      <xdr:row>0</xdr:row>
      <xdr:rowOff>47625</xdr:rowOff>
    </xdr:from>
    <xdr:ext cx="4352925" cy="2057400"/>
    <xdr:pic>
      <xdr:nvPicPr>
        <xdr:cNvPr id="2128116307" name="Chart1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9525</xdr:colOff>
      <xdr:row>0</xdr:row>
      <xdr:rowOff>47625</xdr:rowOff>
    </xdr:from>
    <xdr:ext cx="4295775" cy="2057400"/>
    <xdr:pic>
      <xdr:nvPicPr>
        <xdr:cNvPr id="1641677201" name="Chart1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</v>
      </c>
      <c r="B3" s="2" t="s">
        <v>2</v>
      </c>
      <c r="C3" s="2" t="s">
        <v>3</v>
      </c>
      <c r="D3" s="2" t="s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5</v>
      </c>
      <c r="B4" s="2" t="s">
        <v>6</v>
      </c>
      <c r="C4" s="3" t="str">
        <f t="shared" ref="C4:C5" si="1">IF(B4="BMW","German","Not German")</f>
        <v>Not German</v>
      </c>
      <c r="D4" s="2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5</v>
      </c>
      <c r="B5" s="2" t="s">
        <v>8</v>
      </c>
      <c r="C5" s="3" t="str">
        <f t="shared" si="1"/>
        <v>German</v>
      </c>
      <c r="D5" s="2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10</v>
      </c>
      <c r="B6" s="4">
        <v>4.0</v>
      </c>
      <c r="C6" s="3" t="str">
        <f t="shared" ref="C6:C8" si="2">IF(B6=7,"Lucky","Unlucky")</f>
        <v>Unlucky</v>
      </c>
      <c r="D6" s="2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10</v>
      </c>
      <c r="B7" s="4">
        <v>7.0</v>
      </c>
      <c r="C7" s="3" t="str">
        <f t="shared" si="2"/>
        <v>Lucky</v>
      </c>
      <c r="D7" s="2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10</v>
      </c>
      <c r="B8" s="4">
        <v>11.0</v>
      </c>
      <c r="C8" s="3" t="str">
        <f t="shared" si="2"/>
        <v>Unlucky</v>
      </c>
      <c r="D8" s="2" t="s">
        <v>11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13</v>
      </c>
      <c r="B9" s="2">
        <v>500000.0</v>
      </c>
      <c r="C9" s="5" t="str">
        <f t="shared" ref="C9:C10" si="3">IF(B9&gt;999999,"Millionaire","Not Millionaire")</f>
        <v>Not Millionaire</v>
      </c>
      <c r="D9" s="2" t="s">
        <v>14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13</v>
      </c>
      <c r="B10" s="2">
        <v>1200000.0</v>
      </c>
      <c r="C10" s="5" t="str">
        <f t="shared" si="3"/>
        <v>Millionaire</v>
      </c>
      <c r="D10" s="2" t="s">
        <v>15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2"/>
      <c r="C1" s="2"/>
      <c r="D1" s="2"/>
      <c r="E1" s="4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18</v>
      </c>
      <c r="B3" s="4" t="s">
        <v>19</v>
      </c>
      <c r="C3" s="4" t="s">
        <v>20</v>
      </c>
      <c r="D3" s="4"/>
      <c r="E3" s="4" t="s">
        <v>18</v>
      </c>
      <c r="F3" s="4" t="s">
        <v>21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22</v>
      </c>
      <c r="B4" s="4">
        <f t="shared" ref="B4:B12" si="1">VLOOKUP(A4,$E$4:$F$12,2,0)</f>
        <v>7</v>
      </c>
      <c r="C4" s="3">
        <f t="shared" ref="C4:C12" si="2">SWITCH(A4,"Pitcher",1,"Catcher",2,"First Base",3,"Second Base",4,"Third Base",5,"Shortstop",6,"Left Fielder",7,"Center Fielder",8,"Right Fielder",9)</f>
        <v>7</v>
      </c>
      <c r="D4" s="4"/>
      <c r="E4" s="4" t="s">
        <v>23</v>
      </c>
      <c r="F4" s="4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24</v>
      </c>
      <c r="B5" s="4">
        <f t="shared" si="1"/>
        <v>8</v>
      </c>
      <c r="C5" s="3">
        <f t="shared" si="2"/>
        <v>8</v>
      </c>
      <c r="D5" s="4"/>
      <c r="E5" s="4" t="s">
        <v>25</v>
      </c>
      <c r="F5" s="4">
        <v>2.0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26</v>
      </c>
      <c r="B6" s="4">
        <f t="shared" si="1"/>
        <v>9</v>
      </c>
      <c r="C6" s="3">
        <f t="shared" si="2"/>
        <v>9</v>
      </c>
      <c r="D6" s="4"/>
      <c r="E6" s="4" t="s">
        <v>27</v>
      </c>
      <c r="F6" s="4">
        <v>3.0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28</v>
      </c>
      <c r="B7" s="4">
        <f t="shared" si="1"/>
        <v>5</v>
      </c>
      <c r="C7" s="3">
        <f t="shared" si="2"/>
        <v>5</v>
      </c>
      <c r="D7" s="4"/>
      <c r="E7" s="4" t="s">
        <v>29</v>
      </c>
      <c r="F7" s="4">
        <v>4.0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25</v>
      </c>
      <c r="B8" s="4">
        <f t="shared" si="1"/>
        <v>2</v>
      </c>
      <c r="C8" s="3">
        <f t="shared" si="2"/>
        <v>2</v>
      </c>
      <c r="D8" s="4"/>
      <c r="E8" s="4" t="s">
        <v>28</v>
      </c>
      <c r="F8" s="4">
        <v>5.0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27</v>
      </c>
      <c r="B9" s="2">
        <f t="shared" si="1"/>
        <v>3</v>
      </c>
      <c r="C9" s="5">
        <f t="shared" si="2"/>
        <v>3</v>
      </c>
      <c r="D9" s="2"/>
      <c r="E9" s="2" t="s">
        <v>30</v>
      </c>
      <c r="F9" s="2">
        <v>6.0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29</v>
      </c>
      <c r="B10" s="2">
        <f t="shared" si="1"/>
        <v>4</v>
      </c>
      <c r="C10" s="5">
        <f t="shared" si="2"/>
        <v>4</v>
      </c>
      <c r="D10" s="2"/>
      <c r="E10" s="2" t="s">
        <v>22</v>
      </c>
      <c r="F10" s="2">
        <v>7.0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30</v>
      </c>
      <c r="B11" s="2">
        <f t="shared" si="1"/>
        <v>6</v>
      </c>
      <c r="C11" s="5">
        <f t="shared" si="2"/>
        <v>6</v>
      </c>
      <c r="D11" s="2"/>
      <c r="E11" s="2" t="s">
        <v>24</v>
      </c>
      <c r="F11" s="2">
        <v>8.0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23</v>
      </c>
      <c r="B12" s="2">
        <f t="shared" si="1"/>
        <v>1</v>
      </c>
      <c r="C12" s="5">
        <f t="shared" si="2"/>
        <v>1</v>
      </c>
      <c r="D12" s="2"/>
      <c r="E12" s="2" t="s">
        <v>26</v>
      </c>
      <c r="F12" s="2">
        <v>9.0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</v>
      </c>
      <c r="B1" s="2"/>
      <c r="C1" s="2"/>
      <c r="D1" s="2"/>
      <c r="E1" s="4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32</v>
      </c>
      <c r="B3" s="4" t="s">
        <v>19</v>
      </c>
      <c r="C3" s="4" t="s">
        <v>33</v>
      </c>
      <c r="D3" s="4"/>
      <c r="E3" s="4" t="s">
        <v>34</v>
      </c>
      <c r="F3" s="4" t="s">
        <v>35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95.0</v>
      </c>
      <c r="B4" s="4" t="str">
        <f t="shared" ref="B4:B12" si="1">VLOOKUP(A4,$E$4:$F$10,2,-1)</f>
        <v>A+</v>
      </c>
      <c r="C4" s="3" t="str">
        <f t="shared" ref="C4:C12" si="2">IFS(A4&gt;89,"A+",A4&gt;79,"A",A4&gt;69,"B",A4&gt;59,"C",A4&gt;49,"D",1=1,"F")</f>
        <v>A+</v>
      </c>
      <c r="D4" s="4"/>
      <c r="E4" s="4">
        <v>0.0</v>
      </c>
      <c r="F4" s="4" t="s">
        <v>36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87.0</v>
      </c>
      <c r="B5" s="4" t="str">
        <f t="shared" si="1"/>
        <v>A</v>
      </c>
      <c r="C5" s="3" t="str">
        <f t="shared" si="2"/>
        <v>A</v>
      </c>
      <c r="D5" s="4"/>
      <c r="E5" s="4">
        <v>49.0</v>
      </c>
      <c r="F5" s="4" t="s">
        <v>37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57.0</v>
      </c>
      <c r="B6" s="4" t="str">
        <f t="shared" si="1"/>
        <v>D</v>
      </c>
      <c r="C6" s="3" t="str">
        <f t="shared" si="2"/>
        <v>D</v>
      </c>
      <c r="D6" s="4"/>
      <c r="E6" s="4">
        <v>59.0</v>
      </c>
      <c r="F6" s="4" t="s">
        <v>38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94.0</v>
      </c>
      <c r="B7" s="4" t="str">
        <f t="shared" si="1"/>
        <v>A+</v>
      </c>
      <c r="C7" s="3" t="str">
        <f t="shared" si="2"/>
        <v>A+</v>
      </c>
      <c r="D7" s="4"/>
      <c r="E7" s="4">
        <v>69.0</v>
      </c>
      <c r="F7" s="4" t="s">
        <v>39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74.0</v>
      </c>
      <c r="B8" s="4" t="str">
        <f t="shared" si="1"/>
        <v>B</v>
      </c>
      <c r="C8" s="3" t="str">
        <f t="shared" si="2"/>
        <v>B</v>
      </c>
      <c r="D8" s="4"/>
      <c r="E8" s="4">
        <v>79.0</v>
      </c>
      <c r="F8" s="4" t="s">
        <v>40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>
        <v>63.0</v>
      </c>
      <c r="B9" s="2" t="str">
        <f t="shared" si="1"/>
        <v>C</v>
      </c>
      <c r="C9" s="5" t="str">
        <f t="shared" si="2"/>
        <v>C</v>
      </c>
      <c r="D9" s="2"/>
      <c r="E9" s="2">
        <v>89.0</v>
      </c>
      <c r="F9" s="2" t="s">
        <v>41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>
        <v>46.0</v>
      </c>
      <c r="B10" s="2" t="str">
        <f t="shared" si="1"/>
        <v>F</v>
      </c>
      <c r="C10" s="5" t="str">
        <f t="shared" si="2"/>
        <v>F</v>
      </c>
      <c r="D10" s="2"/>
      <c r="E10" s="2">
        <v>100.0</v>
      </c>
      <c r="F10" s="2" t="s">
        <v>41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>
        <v>80.0</v>
      </c>
      <c r="B11" s="2" t="str">
        <f t="shared" si="1"/>
        <v>A</v>
      </c>
      <c r="C11" s="5" t="str">
        <f t="shared" si="2"/>
        <v>A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>
        <v>47.0</v>
      </c>
      <c r="B12" s="2" t="str">
        <f t="shared" si="1"/>
        <v>F</v>
      </c>
      <c r="C12" s="5" t="str">
        <f t="shared" si="2"/>
        <v>F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43</v>
      </c>
      <c r="B3" s="4" t="s">
        <v>44</v>
      </c>
      <c r="C3" s="7" t="s">
        <v>45</v>
      </c>
      <c r="D3" s="7" t="s">
        <v>46</v>
      </c>
      <c r="E3" s="7" t="s">
        <v>47</v>
      </c>
      <c r="F3" s="7" t="s">
        <v>48</v>
      </c>
      <c r="G3" s="7" t="s">
        <v>49</v>
      </c>
      <c r="H3" s="2"/>
      <c r="I3" s="2"/>
      <c r="J3" s="8"/>
      <c r="K3" s="2"/>
      <c r="L3" s="2"/>
      <c r="M3" s="2"/>
      <c r="N3" s="2"/>
      <c r="O3" s="2"/>
      <c r="P3" s="9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>
        <v>41090.0</v>
      </c>
      <c r="B4" s="3" t="s">
        <v>50</v>
      </c>
      <c r="C4" s="7">
        <v>6.0</v>
      </c>
      <c r="D4" s="11">
        <f t="shared" ref="D4:D7" si="1">EOMONTH(A4,C4)</f>
        <v>41274</v>
      </c>
      <c r="E4" s="12">
        <f t="shared" ref="E4:E7" si="2">A4+C4*14</f>
        <v>41174</v>
      </c>
      <c r="F4" s="12">
        <f t="shared" ref="F4:F7" si="3">IF(B4="Monthly",D4,E4)</f>
        <v>41174</v>
      </c>
      <c r="G4" s="12">
        <v>41174.0</v>
      </c>
      <c r="H4" s="2"/>
      <c r="I4" s="2"/>
      <c r="J4" s="2"/>
      <c r="K4" s="2"/>
      <c r="L4" s="2"/>
      <c r="M4" s="2"/>
      <c r="N4" s="2"/>
      <c r="O4" s="2"/>
      <c r="P4" s="9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>
        <v>43343.0</v>
      </c>
      <c r="B5" s="3" t="s">
        <v>51</v>
      </c>
      <c r="C5" s="7">
        <v>8.0</v>
      </c>
      <c r="D5" s="11">
        <f t="shared" si="1"/>
        <v>43585</v>
      </c>
      <c r="E5" s="12">
        <f t="shared" si="2"/>
        <v>43455</v>
      </c>
      <c r="F5" s="12">
        <f t="shared" si="3"/>
        <v>43585</v>
      </c>
      <c r="G5" s="12">
        <v>43585.0</v>
      </c>
      <c r="H5" s="2"/>
      <c r="I5" s="2"/>
      <c r="J5" s="2"/>
      <c r="K5" s="2"/>
      <c r="L5" s="2"/>
      <c r="M5" s="2"/>
      <c r="N5" s="2"/>
      <c r="O5" s="2"/>
      <c r="P5" s="9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>
        <v>44562.0</v>
      </c>
      <c r="B6" s="3" t="s">
        <v>50</v>
      </c>
      <c r="C6" s="7">
        <v>6.0</v>
      </c>
      <c r="D6" s="11">
        <f t="shared" si="1"/>
        <v>44773</v>
      </c>
      <c r="E6" s="12">
        <f t="shared" si="2"/>
        <v>44646</v>
      </c>
      <c r="F6" s="12">
        <f t="shared" si="3"/>
        <v>44646</v>
      </c>
      <c r="G6" s="12">
        <v>44646.0</v>
      </c>
      <c r="H6" s="2"/>
      <c r="I6" s="2"/>
      <c r="J6" s="2"/>
      <c r="K6" s="2"/>
      <c r="L6" s="2"/>
      <c r="M6" s="2"/>
      <c r="N6" s="2"/>
      <c r="O6" s="2"/>
      <c r="P6" s="9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>
        <v>43524.0</v>
      </c>
      <c r="B7" s="3" t="s">
        <v>51</v>
      </c>
      <c r="C7" s="7">
        <v>12.0</v>
      </c>
      <c r="D7" s="11">
        <f t="shared" si="1"/>
        <v>43890</v>
      </c>
      <c r="E7" s="12">
        <f t="shared" si="2"/>
        <v>43692</v>
      </c>
      <c r="F7" s="12">
        <f t="shared" si="3"/>
        <v>43890</v>
      </c>
      <c r="G7" s="12">
        <v>40482.0</v>
      </c>
      <c r="H7" s="2"/>
      <c r="I7" s="2"/>
      <c r="J7" s="2"/>
      <c r="K7" s="2"/>
      <c r="L7" s="2"/>
      <c r="M7" s="2"/>
      <c r="N7" s="2"/>
      <c r="O7" s="2"/>
      <c r="P7" s="9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9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43</v>
      </c>
      <c r="B9" s="2" t="s">
        <v>44</v>
      </c>
      <c r="C9" s="2" t="s">
        <v>45</v>
      </c>
      <c r="D9" s="2" t="s">
        <v>46</v>
      </c>
      <c r="E9" s="2" t="s">
        <v>52</v>
      </c>
      <c r="F9" s="2" t="s">
        <v>48</v>
      </c>
      <c r="G9" s="2" t="s">
        <v>49</v>
      </c>
      <c r="H9" s="2"/>
      <c r="I9" s="2"/>
      <c r="J9" s="2"/>
      <c r="K9" s="2"/>
      <c r="L9" s="2"/>
      <c r="M9" s="2"/>
      <c r="N9" s="2"/>
      <c r="O9" s="2"/>
      <c r="P9" s="9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>
        <v>42889.0</v>
      </c>
      <c r="B10" s="5" t="s">
        <v>50</v>
      </c>
      <c r="C10" s="13">
        <v>4.0</v>
      </c>
      <c r="D10" s="14">
        <f t="shared" ref="D10:D14" si="4">EOMONTH(A10,C10)</f>
        <v>43039</v>
      </c>
      <c r="E10" s="15">
        <f t="shared" ref="E10:E14" si="5">A10+C10*14</f>
        <v>42945</v>
      </c>
      <c r="F10" s="16">
        <f t="shared" ref="F10:F14" si="6">IF(B10="Monthly",D10,E10)</f>
        <v>42945</v>
      </c>
      <c r="G10" s="17">
        <v>42945.0</v>
      </c>
      <c r="H10" s="2"/>
      <c r="I10" s="2"/>
      <c r="J10" s="2"/>
      <c r="K10" s="2"/>
      <c r="L10" s="2"/>
      <c r="M10" s="2"/>
      <c r="N10" s="2"/>
      <c r="O10" s="2"/>
      <c r="P10" s="9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>
        <v>44286.0</v>
      </c>
      <c r="B11" s="5" t="s">
        <v>50</v>
      </c>
      <c r="C11" s="13">
        <v>6.0</v>
      </c>
      <c r="D11" s="14">
        <f t="shared" si="4"/>
        <v>44469</v>
      </c>
      <c r="E11" s="15">
        <f t="shared" si="5"/>
        <v>44370</v>
      </c>
      <c r="F11" s="16">
        <f t="shared" si="6"/>
        <v>44370</v>
      </c>
      <c r="G11" s="17">
        <v>44370.0</v>
      </c>
      <c r="H11" s="2"/>
      <c r="I11" s="2"/>
      <c r="J11" s="2"/>
      <c r="K11" s="2"/>
      <c r="L11" s="2"/>
      <c r="M11" s="2"/>
      <c r="N11" s="2"/>
      <c r="O11" s="2"/>
      <c r="P11" s="9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>
        <v>44286.0</v>
      </c>
      <c r="B12" s="5" t="s">
        <v>51</v>
      </c>
      <c r="C12" s="13">
        <v>6.0</v>
      </c>
      <c r="D12" s="14">
        <f t="shared" si="4"/>
        <v>44469</v>
      </c>
      <c r="E12" s="15">
        <f t="shared" si="5"/>
        <v>44370</v>
      </c>
      <c r="F12" s="16">
        <f t="shared" si="6"/>
        <v>44469</v>
      </c>
      <c r="G12" s="17">
        <v>44469.0</v>
      </c>
      <c r="H12" s="2"/>
      <c r="I12" s="2"/>
      <c r="J12" s="2"/>
      <c r="K12" s="2"/>
      <c r="L12" s="2"/>
      <c r="M12" s="2"/>
      <c r="N12" s="2"/>
      <c r="O12" s="2"/>
      <c r="P12" s="9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>
        <v>43889.0</v>
      </c>
      <c r="B13" s="5" t="s">
        <v>51</v>
      </c>
      <c r="C13" s="13">
        <v>1.0</v>
      </c>
      <c r="D13" s="14">
        <f t="shared" si="4"/>
        <v>43921</v>
      </c>
      <c r="E13" s="15">
        <f t="shared" si="5"/>
        <v>43903</v>
      </c>
      <c r="F13" s="16">
        <f t="shared" si="6"/>
        <v>43921</v>
      </c>
      <c r="G13" s="17">
        <v>43921.0</v>
      </c>
      <c r="H13" s="2"/>
      <c r="I13" s="2"/>
      <c r="J13" s="2"/>
      <c r="K13" s="2"/>
      <c r="L13" s="2"/>
      <c r="M13" s="2"/>
      <c r="N13" s="2"/>
      <c r="O13" s="2"/>
      <c r="P13" s="9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>
        <v>40909.0</v>
      </c>
      <c r="B14" s="5" t="s">
        <v>51</v>
      </c>
      <c r="C14" s="13">
        <v>12.0</v>
      </c>
      <c r="D14" s="14">
        <f t="shared" si="4"/>
        <v>41305</v>
      </c>
      <c r="E14" s="15">
        <f t="shared" si="5"/>
        <v>41077</v>
      </c>
      <c r="F14" s="16">
        <f t="shared" si="6"/>
        <v>41305</v>
      </c>
      <c r="G14" s="16">
        <v>41305.0</v>
      </c>
      <c r="H14" s="2"/>
      <c r="I14" s="2"/>
      <c r="J14" s="2"/>
      <c r="K14" s="2"/>
      <c r="L14" s="2"/>
      <c r="M14" s="2"/>
      <c r="N14" s="2"/>
      <c r="O14" s="2"/>
      <c r="P14" s="9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9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9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9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9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9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9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9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9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9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9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9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9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9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9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9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9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9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9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9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9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9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9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9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9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9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9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9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9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9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9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9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9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9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9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9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9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9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9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9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9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9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9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9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9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9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9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9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9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9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9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9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9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18"/>
      <c r="L88" s="18"/>
      <c r="M88" s="18"/>
      <c r="N88" s="18"/>
      <c r="O88" s="18"/>
      <c r="P88" s="9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18"/>
      <c r="L89" s="18"/>
      <c r="M89" s="18"/>
      <c r="N89" s="18"/>
      <c r="O89" s="18"/>
      <c r="P89" s="9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18"/>
      <c r="L90" s="18"/>
      <c r="M90" s="18"/>
      <c r="N90" s="18"/>
      <c r="O90" s="18"/>
      <c r="P90" s="9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18"/>
      <c r="L91" s="18"/>
      <c r="M91" s="18"/>
      <c r="N91" s="18"/>
      <c r="O91" s="18"/>
      <c r="P91" s="9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18"/>
      <c r="L92" s="18"/>
      <c r="M92" s="18"/>
      <c r="N92" s="18"/>
      <c r="O92" s="18"/>
      <c r="P92" s="9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18"/>
      <c r="L93" s="18"/>
      <c r="M93" s="18"/>
      <c r="N93" s="18"/>
      <c r="O93" s="18"/>
      <c r="P93" s="9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18"/>
      <c r="L94" s="18"/>
      <c r="M94" s="18"/>
      <c r="N94" s="18"/>
      <c r="O94" s="18"/>
      <c r="P94" s="9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18"/>
      <c r="L95" s="18"/>
      <c r="M95" s="18"/>
      <c r="N95" s="18"/>
      <c r="O95" s="18"/>
      <c r="P95" s="9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18"/>
      <c r="L96" s="18"/>
      <c r="M96" s="18"/>
      <c r="N96" s="18"/>
      <c r="O96" s="18"/>
      <c r="P96" s="9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18"/>
      <c r="L97" s="18"/>
      <c r="M97" s="18"/>
      <c r="N97" s="18"/>
      <c r="O97" s="18"/>
      <c r="P97" s="9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18"/>
      <c r="L98" s="18"/>
      <c r="M98" s="18"/>
      <c r="N98" s="18"/>
      <c r="O98" s="18"/>
      <c r="P98" s="9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18"/>
      <c r="L99" s="18"/>
      <c r="M99" s="18"/>
      <c r="N99" s="18"/>
      <c r="O99" s="18"/>
      <c r="P99" s="9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18"/>
      <c r="L100" s="18"/>
      <c r="M100" s="18"/>
      <c r="N100" s="18"/>
      <c r="O100" s="18"/>
      <c r="P100" s="9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18"/>
      <c r="L101" s="18"/>
      <c r="M101" s="18"/>
      <c r="N101" s="18"/>
      <c r="O101" s="18"/>
      <c r="P101" s="9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18"/>
      <c r="L102" s="18"/>
      <c r="M102" s="18"/>
      <c r="N102" s="18"/>
      <c r="O102" s="18"/>
      <c r="P102" s="9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18"/>
      <c r="L103" s="18"/>
      <c r="M103" s="18"/>
      <c r="N103" s="18"/>
      <c r="O103" s="18"/>
      <c r="P103" s="9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18"/>
      <c r="L104" s="18"/>
      <c r="M104" s="18"/>
      <c r="N104" s="18"/>
      <c r="O104" s="18"/>
      <c r="P104" s="9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18"/>
      <c r="L105" s="18"/>
      <c r="M105" s="18"/>
      <c r="N105" s="18"/>
      <c r="O105" s="18"/>
      <c r="P105" s="9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18"/>
      <c r="L106" s="18"/>
      <c r="M106" s="18"/>
      <c r="N106" s="18"/>
      <c r="O106" s="18"/>
      <c r="P106" s="9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18"/>
      <c r="L107" s="18"/>
      <c r="M107" s="18"/>
      <c r="N107" s="18"/>
      <c r="O107" s="18"/>
      <c r="P107" s="9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18"/>
      <c r="L108" s="18"/>
      <c r="M108" s="18"/>
      <c r="N108" s="18"/>
      <c r="O108" s="18"/>
      <c r="P108" s="9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18"/>
      <c r="L109" s="18"/>
      <c r="M109" s="18"/>
      <c r="N109" s="18"/>
      <c r="O109" s="18"/>
      <c r="P109" s="9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18"/>
      <c r="L110" s="18"/>
      <c r="M110" s="18"/>
      <c r="N110" s="18"/>
      <c r="O110" s="18"/>
      <c r="P110" s="9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18"/>
      <c r="L111" s="18"/>
      <c r="M111" s="18"/>
      <c r="N111" s="18"/>
      <c r="O111" s="18"/>
      <c r="P111" s="9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18"/>
      <c r="L112" s="18"/>
      <c r="M112" s="18"/>
      <c r="N112" s="18"/>
      <c r="O112" s="18"/>
      <c r="P112" s="9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18"/>
      <c r="L113" s="18"/>
      <c r="M113" s="18"/>
      <c r="N113" s="18"/>
      <c r="O113" s="18"/>
      <c r="P113" s="9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18"/>
      <c r="L114" s="18"/>
      <c r="M114" s="18"/>
      <c r="N114" s="18"/>
      <c r="O114" s="18"/>
      <c r="P114" s="9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18"/>
      <c r="L115" s="18"/>
      <c r="M115" s="18"/>
      <c r="N115" s="18"/>
      <c r="O115" s="18"/>
      <c r="P115" s="9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18"/>
      <c r="L116" s="18"/>
      <c r="M116" s="18"/>
      <c r="N116" s="18"/>
      <c r="O116" s="18"/>
      <c r="P116" s="9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18"/>
      <c r="L117" s="18"/>
      <c r="M117" s="18"/>
      <c r="N117" s="18"/>
      <c r="O117" s="18"/>
      <c r="P117" s="9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18"/>
      <c r="L118" s="18"/>
      <c r="M118" s="18"/>
      <c r="N118" s="18"/>
      <c r="O118" s="18"/>
      <c r="P118" s="9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18"/>
      <c r="L119" s="18"/>
      <c r="M119" s="18"/>
      <c r="N119" s="18"/>
      <c r="O119" s="18"/>
      <c r="P119" s="9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18"/>
      <c r="L120" s="18"/>
      <c r="M120" s="18"/>
      <c r="N120" s="18"/>
      <c r="O120" s="18"/>
      <c r="P120" s="9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18"/>
      <c r="L121" s="18"/>
      <c r="M121" s="18"/>
      <c r="N121" s="18"/>
      <c r="O121" s="18"/>
      <c r="P121" s="9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18"/>
      <c r="L122" s="18"/>
      <c r="M122" s="18"/>
      <c r="N122" s="18"/>
      <c r="O122" s="18"/>
      <c r="P122" s="9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18"/>
      <c r="L123" s="18"/>
      <c r="M123" s="18"/>
      <c r="N123" s="18"/>
      <c r="O123" s="18"/>
      <c r="P123" s="9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18"/>
      <c r="L124" s="18"/>
      <c r="M124" s="18"/>
      <c r="N124" s="18"/>
      <c r="O124" s="18"/>
      <c r="P124" s="9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18"/>
      <c r="L125" s="18"/>
      <c r="M125" s="18"/>
      <c r="N125" s="18"/>
      <c r="O125" s="18"/>
      <c r="P125" s="9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18"/>
      <c r="L126" s="18"/>
      <c r="M126" s="18"/>
      <c r="N126" s="18"/>
      <c r="O126" s="18"/>
      <c r="P126" s="9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18"/>
      <c r="L127" s="18"/>
      <c r="M127" s="18"/>
      <c r="N127" s="18"/>
      <c r="O127" s="18"/>
      <c r="P127" s="9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18"/>
      <c r="L128" s="18"/>
      <c r="M128" s="18"/>
      <c r="N128" s="18"/>
      <c r="O128" s="18"/>
      <c r="P128" s="9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18"/>
      <c r="L129" s="18"/>
      <c r="M129" s="18"/>
      <c r="N129" s="18"/>
      <c r="O129" s="18"/>
      <c r="P129" s="9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18"/>
      <c r="L130" s="18"/>
      <c r="M130" s="18"/>
      <c r="N130" s="18"/>
      <c r="O130" s="18"/>
      <c r="P130" s="9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18"/>
      <c r="L131" s="18"/>
      <c r="M131" s="18"/>
      <c r="N131" s="18"/>
      <c r="O131" s="18"/>
      <c r="P131" s="9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18"/>
      <c r="L132" s="18"/>
      <c r="M132" s="18"/>
      <c r="N132" s="18"/>
      <c r="O132" s="18"/>
      <c r="P132" s="9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18"/>
      <c r="L133" s="18"/>
      <c r="M133" s="18"/>
      <c r="N133" s="18"/>
      <c r="O133" s="18"/>
      <c r="P133" s="9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18"/>
      <c r="L134" s="18"/>
      <c r="M134" s="18"/>
      <c r="N134" s="18"/>
      <c r="O134" s="18"/>
      <c r="P134" s="9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18"/>
      <c r="L135" s="18"/>
      <c r="M135" s="18"/>
      <c r="N135" s="18"/>
      <c r="O135" s="18"/>
      <c r="P135" s="9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18"/>
      <c r="L136" s="18"/>
      <c r="M136" s="18"/>
      <c r="N136" s="18"/>
      <c r="O136" s="18"/>
      <c r="P136" s="9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18"/>
      <c r="L137" s="18"/>
      <c r="M137" s="18"/>
      <c r="N137" s="18"/>
      <c r="O137" s="18"/>
      <c r="P137" s="9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18"/>
      <c r="L138" s="18"/>
      <c r="M138" s="18"/>
      <c r="N138" s="18"/>
      <c r="O138" s="18"/>
      <c r="P138" s="9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18"/>
      <c r="L139" s="18"/>
      <c r="M139" s="18"/>
      <c r="N139" s="18"/>
      <c r="O139" s="18"/>
      <c r="P139" s="9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18"/>
      <c r="L140" s="18"/>
      <c r="M140" s="18"/>
      <c r="N140" s="18"/>
      <c r="O140" s="18"/>
      <c r="P140" s="9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18"/>
      <c r="L141" s="18"/>
      <c r="M141" s="18"/>
      <c r="N141" s="18"/>
      <c r="O141" s="18"/>
      <c r="P141" s="9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18"/>
      <c r="L142" s="18"/>
      <c r="M142" s="18"/>
      <c r="N142" s="18"/>
      <c r="O142" s="18"/>
      <c r="P142" s="9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18"/>
      <c r="L143" s="18"/>
      <c r="M143" s="18"/>
      <c r="N143" s="18"/>
      <c r="O143" s="18"/>
      <c r="P143" s="9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18"/>
      <c r="L144" s="18"/>
      <c r="M144" s="18"/>
      <c r="N144" s="18"/>
      <c r="O144" s="18"/>
      <c r="P144" s="9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18"/>
      <c r="L145" s="18"/>
      <c r="M145" s="18"/>
      <c r="N145" s="18"/>
      <c r="O145" s="18"/>
      <c r="P145" s="9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18"/>
      <c r="L146" s="18"/>
      <c r="M146" s="18"/>
      <c r="N146" s="18"/>
      <c r="O146" s="18"/>
      <c r="P146" s="9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18"/>
      <c r="L147" s="18"/>
      <c r="M147" s="18"/>
      <c r="N147" s="18"/>
      <c r="O147" s="18"/>
      <c r="P147" s="9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18"/>
      <c r="L148" s="18"/>
      <c r="M148" s="18"/>
      <c r="N148" s="18"/>
      <c r="O148" s="18"/>
      <c r="P148" s="9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18"/>
      <c r="L149" s="18"/>
      <c r="M149" s="18"/>
      <c r="N149" s="18"/>
      <c r="O149" s="18"/>
      <c r="P149" s="9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18"/>
      <c r="L150" s="18"/>
      <c r="M150" s="18"/>
      <c r="N150" s="18"/>
      <c r="O150" s="18"/>
      <c r="P150" s="9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18"/>
      <c r="L151" s="18"/>
      <c r="M151" s="18"/>
      <c r="N151" s="18"/>
      <c r="O151" s="18"/>
      <c r="P151" s="9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18"/>
      <c r="L152" s="18"/>
      <c r="M152" s="18"/>
      <c r="N152" s="18"/>
      <c r="O152" s="18"/>
      <c r="P152" s="9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18"/>
      <c r="L153" s="18"/>
      <c r="M153" s="18"/>
      <c r="N153" s="18"/>
      <c r="O153" s="18"/>
      <c r="P153" s="9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18"/>
      <c r="L154" s="18"/>
      <c r="M154" s="18"/>
      <c r="N154" s="18"/>
      <c r="O154" s="18"/>
      <c r="P154" s="9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18"/>
      <c r="L155" s="18"/>
      <c r="M155" s="18"/>
      <c r="N155" s="18"/>
      <c r="O155" s="18"/>
      <c r="P155" s="9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18"/>
      <c r="L156" s="18"/>
      <c r="M156" s="18"/>
      <c r="N156" s="18"/>
      <c r="O156" s="18"/>
      <c r="P156" s="9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18"/>
      <c r="L157" s="18"/>
      <c r="M157" s="18"/>
      <c r="N157" s="18"/>
      <c r="O157" s="18"/>
      <c r="P157" s="9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18"/>
      <c r="L158" s="18"/>
      <c r="M158" s="18"/>
      <c r="N158" s="18"/>
      <c r="O158" s="18"/>
      <c r="P158" s="9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18"/>
      <c r="L159" s="18"/>
      <c r="M159" s="18"/>
      <c r="N159" s="18"/>
      <c r="O159" s="18"/>
      <c r="P159" s="9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18"/>
      <c r="L160" s="18"/>
      <c r="M160" s="18"/>
      <c r="N160" s="18"/>
      <c r="O160" s="18"/>
      <c r="P160" s="9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18"/>
      <c r="L161" s="18"/>
      <c r="M161" s="18"/>
      <c r="N161" s="18"/>
      <c r="O161" s="18"/>
      <c r="P161" s="9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18"/>
      <c r="L162" s="18"/>
      <c r="M162" s="18"/>
      <c r="N162" s="18"/>
      <c r="O162" s="18"/>
      <c r="P162" s="9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18"/>
      <c r="L163" s="18"/>
      <c r="M163" s="18"/>
      <c r="N163" s="18"/>
      <c r="O163" s="18"/>
      <c r="P163" s="9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18"/>
      <c r="L164" s="18"/>
      <c r="M164" s="18"/>
      <c r="N164" s="18"/>
      <c r="O164" s="18"/>
      <c r="P164" s="9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18"/>
      <c r="L165" s="18"/>
      <c r="M165" s="18"/>
      <c r="N165" s="18"/>
      <c r="O165" s="18"/>
      <c r="P165" s="9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18"/>
      <c r="L166" s="18"/>
      <c r="M166" s="18"/>
      <c r="N166" s="18"/>
      <c r="O166" s="18"/>
      <c r="P166" s="9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18"/>
      <c r="L167" s="18"/>
      <c r="M167" s="18"/>
      <c r="N167" s="18"/>
      <c r="O167" s="18"/>
      <c r="P167" s="9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18"/>
      <c r="L168" s="18"/>
      <c r="M168" s="18"/>
      <c r="N168" s="18"/>
      <c r="O168" s="18"/>
      <c r="P168" s="9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18"/>
      <c r="L169" s="18"/>
      <c r="M169" s="18"/>
      <c r="N169" s="18"/>
      <c r="O169" s="18"/>
      <c r="P169" s="9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18"/>
      <c r="L170" s="18"/>
      <c r="M170" s="18"/>
      <c r="N170" s="18"/>
      <c r="O170" s="18"/>
      <c r="P170" s="9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18"/>
      <c r="L171" s="18"/>
      <c r="M171" s="18"/>
      <c r="N171" s="18"/>
      <c r="O171" s="18"/>
      <c r="P171" s="9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18"/>
      <c r="L172" s="18"/>
      <c r="M172" s="18"/>
      <c r="N172" s="18"/>
      <c r="O172" s="18"/>
      <c r="P172" s="9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18"/>
      <c r="L173" s="18"/>
      <c r="M173" s="18"/>
      <c r="N173" s="18"/>
      <c r="O173" s="18"/>
      <c r="P173" s="9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18"/>
      <c r="L174" s="18"/>
      <c r="M174" s="18"/>
      <c r="N174" s="18"/>
      <c r="O174" s="18"/>
      <c r="P174" s="9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18"/>
      <c r="L175" s="18"/>
      <c r="M175" s="18"/>
      <c r="N175" s="18"/>
      <c r="O175" s="18"/>
      <c r="P175" s="9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18"/>
      <c r="L176" s="18"/>
      <c r="M176" s="18"/>
      <c r="N176" s="18"/>
      <c r="O176" s="18"/>
      <c r="P176" s="9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18"/>
      <c r="L177" s="18"/>
      <c r="M177" s="18"/>
      <c r="N177" s="18"/>
      <c r="O177" s="18"/>
      <c r="P177" s="9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18"/>
      <c r="L178" s="18"/>
      <c r="M178" s="18"/>
      <c r="N178" s="18"/>
      <c r="O178" s="18"/>
      <c r="P178" s="9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18"/>
      <c r="L179" s="18"/>
      <c r="M179" s="18"/>
      <c r="N179" s="18"/>
      <c r="O179" s="18"/>
      <c r="P179" s="9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18"/>
      <c r="L180" s="18"/>
      <c r="M180" s="18"/>
      <c r="N180" s="18"/>
      <c r="O180" s="18"/>
      <c r="P180" s="9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18"/>
      <c r="L181" s="18"/>
      <c r="M181" s="18"/>
      <c r="N181" s="18"/>
      <c r="O181" s="18"/>
      <c r="P181" s="9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18"/>
      <c r="L182" s="18"/>
      <c r="M182" s="18"/>
      <c r="N182" s="18"/>
      <c r="O182" s="18"/>
      <c r="P182" s="9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18"/>
      <c r="L183" s="18"/>
      <c r="M183" s="18"/>
      <c r="N183" s="18"/>
      <c r="O183" s="18"/>
      <c r="P183" s="9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18"/>
      <c r="L184" s="18"/>
      <c r="M184" s="18"/>
      <c r="N184" s="18"/>
      <c r="O184" s="18"/>
      <c r="P184" s="9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18"/>
      <c r="L185" s="18"/>
      <c r="M185" s="18"/>
      <c r="N185" s="18"/>
      <c r="O185" s="18"/>
      <c r="P185" s="9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18"/>
      <c r="L186" s="18"/>
      <c r="M186" s="18"/>
      <c r="N186" s="18"/>
      <c r="O186" s="18"/>
      <c r="P186" s="9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18"/>
      <c r="L187" s="18"/>
      <c r="M187" s="18"/>
      <c r="N187" s="18"/>
      <c r="O187" s="18"/>
      <c r="P187" s="9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43</v>
      </c>
      <c r="B3" s="4" t="s">
        <v>46</v>
      </c>
      <c r="C3" s="7" t="s">
        <v>54</v>
      </c>
      <c r="D3" s="7" t="s">
        <v>48</v>
      </c>
      <c r="E3" s="7" t="s">
        <v>49</v>
      </c>
      <c r="F3" s="7"/>
      <c r="G3" s="7"/>
      <c r="H3" s="2"/>
      <c r="I3" s="2"/>
      <c r="J3" s="2"/>
      <c r="K3" s="2"/>
      <c r="L3" s="2"/>
      <c r="M3" s="2"/>
      <c r="N3" s="9"/>
      <c r="O3" s="2"/>
      <c r="P3" s="9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>
        <v>41090.0</v>
      </c>
      <c r="B4" s="19">
        <f t="shared" ref="B4:B7" si="1">EOMONTH(A4,0)</f>
        <v>41090</v>
      </c>
      <c r="C4" s="12">
        <f t="shared" ref="C4:C7" si="2">A4+15</f>
        <v>41105</v>
      </c>
      <c r="D4" s="20">
        <f t="shared" ref="D4:D7" si="3">IF(A4=B4,C4,B4)</f>
        <v>41105</v>
      </c>
      <c r="E4" s="12">
        <v>41105.0</v>
      </c>
      <c r="F4" s="2"/>
      <c r="G4" s="7"/>
      <c r="H4" s="2"/>
      <c r="I4" s="2"/>
      <c r="J4" s="2"/>
      <c r="K4" s="2"/>
      <c r="L4" s="2"/>
      <c r="M4" s="2"/>
      <c r="N4" s="9"/>
      <c r="O4" s="2"/>
      <c r="P4" s="9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>
        <v>43343.0</v>
      </c>
      <c r="B5" s="19">
        <f t="shared" si="1"/>
        <v>43343</v>
      </c>
      <c r="C5" s="12">
        <f t="shared" si="2"/>
        <v>43358</v>
      </c>
      <c r="D5" s="20">
        <f t="shared" si="3"/>
        <v>43358</v>
      </c>
      <c r="E5" s="12">
        <v>43358.0</v>
      </c>
      <c r="F5" s="2"/>
      <c r="G5" s="7"/>
      <c r="H5" s="2"/>
      <c r="I5" s="2"/>
      <c r="J5" s="2"/>
      <c r="K5" s="2"/>
      <c r="L5" s="2"/>
      <c r="M5" s="2"/>
      <c r="N5" s="9"/>
      <c r="O5" s="2"/>
      <c r="P5" s="9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>
        <v>44576.0</v>
      </c>
      <c r="B6" s="19">
        <f t="shared" si="1"/>
        <v>44592</v>
      </c>
      <c r="C6" s="12">
        <f t="shared" si="2"/>
        <v>44591</v>
      </c>
      <c r="D6" s="20">
        <f t="shared" si="3"/>
        <v>44592</v>
      </c>
      <c r="E6" s="12">
        <v>44592.0</v>
      </c>
      <c r="F6" s="2"/>
      <c r="G6" s="7"/>
      <c r="H6" s="2"/>
      <c r="I6" s="2"/>
      <c r="J6" s="2"/>
      <c r="K6" s="2"/>
      <c r="L6" s="2"/>
      <c r="M6" s="2"/>
      <c r="N6" s="9"/>
      <c r="O6" s="2"/>
      <c r="P6" s="9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>
        <v>44592.0</v>
      </c>
      <c r="B7" s="19">
        <f t="shared" si="1"/>
        <v>44592</v>
      </c>
      <c r="C7" s="12">
        <f t="shared" si="2"/>
        <v>44607</v>
      </c>
      <c r="D7" s="20">
        <f t="shared" si="3"/>
        <v>44607</v>
      </c>
      <c r="E7" s="12">
        <v>44607.0</v>
      </c>
      <c r="F7" s="2"/>
      <c r="G7" s="7"/>
      <c r="H7" s="2"/>
      <c r="I7" s="2"/>
      <c r="J7" s="2"/>
      <c r="K7" s="2"/>
      <c r="L7" s="2"/>
      <c r="M7" s="2"/>
      <c r="N7" s="9"/>
      <c r="O7" s="2"/>
      <c r="P7" s="9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9"/>
      <c r="O8" s="2"/>
      <c r="P8" s="9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43</v>
      </c>
      <c r="B9" s="2" t="s">
        <v>46</v>
      </c>
      <c r="C9" s="2" t="s">
        <v>54</v>
      </c>
      <c r="D9" s="2" t="s">
        <v>48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9"/>
      <c r="O9" s="2"/>
      <c r="P9" s="9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>
        <v>41759.0</v>
      </c>
      <c r="B10" s="21">
        <f t="shared" ref="B10:B14" si="4">EOMONTH(A10,0)</f>
        <v>41759</v>
      </c>
      <c r="C10" s="15">
        <f t="shared" ref="C10:C14" si="5">A10+15</f>
        <v>41774</v>
      </c>
      <c r="D10" s="15">
        <f t="shared" ref="D10:D14" si="6">IF(A10=B10,C10,B10)</f>
        <v>41774</v>
      </c>
      <c r="E10" s="17">
        <v>41774.0</v>
      </c>
      <c r="F10" s="2"/>
      <c r="G10" s="2"/>
      <c r="H10" s="2"/>
      <c r="I10" s="2"/>
      <c r="J10" s="2"/>
      <c r="K10" s="2"/>
      <c r="L10" s="2"/>
      <c r="M10" s="2"/>
      <c r="N10" s="9"/>
      <c r="O10" s="2"/>
      <c r="P10" s="9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>
        <v>43876.0</v>
      </c>
      <c r="B11" s="21">
        <f t="shared" si="4"/>
        <v>43890</v>
      </c>
      <c r="C11" s="15">
        <f t="shared" si="5"/>
        <v>43891</v>
      </c>
      <c r="D11" s="15">
        <f t="shared" si="6"/>
        <v>43890</v>
      </c>
      <c r="E11" s="17">
        <v>43890.0</v>
      </c>
      <c r="F11" s="2"/>
      <c r="G11" s="2"/>
      <c r="H11" s="2"/>
      <c r="I11" s="2"/>
      <c r="J11" s="2"/>
      <c r="K11" s="2"/>
      <c r="L11" s="2"/>
      <c r="M11" s="2"/>
      <c r="N11" s="9"/>
      <c r="O11" s="2"/>
      <c r="P11" s="9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>
        <v>45260.0</v>
      </c>
      <c r="B12" s="21">
        <f t="shared" si="4"/>
        <v>45260</v>
      </c>
      <c r="C12" s="15">
        <f t="shared" si="5"/>
        <v>45275</v>
      </c>
      <c r="D12" s="15">
        <f t="shared" si="6"/>
        <v>45275</v>
      </c>
      <c r="E12" s="17">
        <v>45275.0</v>
      </c>
      <c r="F12" s="2"/>
      <c r="G12" s="2"/>
      <c r="H12" s="2"/>
      <c r="I12" s="2"/>
      <c r="J12" s="2"/>
      <c r="K12" s="2"/>
      <c r="L12" s="2"/>
      <c r="M12" s="2"/>
      <c r="N12" s="9"/>
      <c r="O12" s="2"/>
      <c r="P12" s="9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>
        <v>45657.0</v>
      </c>
      <c r="B13" s="21">
        <f t="shared" si="4"/>
        <v>45657</v>
      </c>
      <c r="C13" s="15">
        <f t="shared" si="5"/>
        <v>45672</v>
      </c>
      <c r="D13" s="15">
        <f t="shared" si="6"/>
        <v>45672</v>
      </c>
      <c r="E13" s="17">
        <v>45672.0</v>
      </c>
      <c r="F13" s="2"/>
      <c r="G13" s="2"/>
      <c r="H13" s="2"/>
      <c r="I13" s="2"/>
      <c r="J13" s="2"/>
      <c r="K13" s="2"/>
      <c r="L13" s="2"/>
      <c r="M13" s="2"/>
      <c r="N13" s="9"/>
      <c r="O13" s="2"/>
      <c r="P13" s="9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>
        <v>46037.0</v>
      </c>
      <c r="B14" s="21">
        <f t="shared" si="4"/>
        <v>46053</v>
      </c>
      <c r="C14" s="15">
        <f t="shared" si="5"/>
        <v>46052</v>
      </c>
      <c r="D14" s="15">
        <f t="shared" si="6"/>
        <v>46053</v>
      </c>
      <c r="E14" s="16">
        <v>46053.0</v>
      </c>
      <c r="F14" s="2"/>
      <c r="G14" s="2"/>
      <c r="H14" s="2"/>
      <c r="I14" s="2"/>
      <c r="J14" s="2"/>
      <c r="K14" s="2"/>
      <c r="L14" s="2"/>
      <c r="M14" s="2"/>
      <c r="N14" s="9"/>
      <c r="O14" s="2"/>
      <c r="P14" s="9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9"/>
      <c r="O15" s="2"/>
      <c r="P15" s="9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43</v>
      </c>
      <c r="B16" s="2" t="s">
        <v>48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9"/>
      <c r="O16" s="2"/>
      <c r="P16" s="9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>
        <v>42613.0</v>
      </c>
      <c r="B17" s="22">
        <f t="shared" ref="B17:B19" si="7">IF(EOMONTH(A17,0)=A17,A17+15,EOMONTH(A17,0))</f>
        <v>42628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9"/>
      <c r="O17" s="2"/>
      <c r="P17" s="9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>
        <v>37361.0</v>
      </c>
      <c r="B18" s="21">
        <f t="shared" si="7"/>
        <v>37376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9"/>
      <c r="O18" s="2"/>
      <c r="P18" s="9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>
        <v>45838.0</v>
      </c>
      <c r="B19" s="22">
        <f t="shared" si="7"/>
        <v>45853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9"/>
      <c r="O19" s="2"/>
      <c r="P19" s="9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9"/>
      <c r="O20" s="2"/>
      <c r="P20" s="9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9"/>
      <c r="O21" s="2"/>
      <c r="P21" s="9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9"/>
      <c r="O22" s="2"/>
      <c r="P22" s="9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9"/>
      <c r="O23" s="2"/>
      <c r="P23" s="9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9"/>
      <c r="O24" s="2"/>
      <c r="P24" s="9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9"/>
      <c r="O25" s="2"/>
      <c r="P25" s="9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9"/>
      <c r="O26" s="2"/>
      <c r="P26" s="9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9"/>
      <c r="O27" s="2"/>
      <c r="P27" s="9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9"/>
      <c r="O28" s="2"/>
      <c r="P28" s="9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9"/>
      <c r="O29" s="2"/>
      <c r="P29" s="9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9"/>
      <c r="O30" s="2"/>
      <c r="P30" s="9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9"/>
      <c r="O31" s="2"/>
      <c r="P31" s="9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9"/>
      <c r="O32" s="2"/>
      <c r="P32" s="9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9"/>
      <c r="O33" s="2"/>
      <c r="P33" s="9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9"/>
      <c r="O34" s="2"/>
      <c r="P34" s="9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9"/>
      <c r="O35" s="2"/>
      <c r="P35" s="9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9"/>
      <c r="O36" s="2"/>
      <c r="P36" s="9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9"/>
      <c r="O37" s="2"/>
      <c r="P37" s="9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9"/>
      <c r="O38" s="2"/>
      <c r="P38" s="9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9"/>
      <c r="O39" s="2"/>
      <c r="P39" s="9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9"/>
      <c r="O40" s="2"/>
      <c r="P40" s="9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9"/>
      <c r="O41" s="2"/>
      <c r="P41" s="9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9"/>
      <c r="O42" s="2"/>
      <c r="P42" s="9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9"/>
      <c r="O43" s="2"/>
      <c r="P43" s="9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9"/>
      <c r="O44" s="2"/>
      <c r="P44" s="9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9"/>
      <c r="O45" s="2"/>
      <c r="P45" s="9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9"/>
      <c r="O46" s="2"/>
      <c r="P46" s="9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9"/>
      <c r="O47" s="2"/>
      <c r="P47" s="9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9"/>
      <c r="O48" s="2"/>
      <c r="P48" s="9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9"/>
      <c r="O49" s="2"/>
      <c r="P49" s="9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9"/>
      <c r="O50" s="2"/>
      <c r="P50" s="9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9"/>
      <c r="O51" s="2"/>
      <c r="P51" s="9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9"/>
      <c r="O52" s="2"/>
      <c r="P52" s="9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9"/>
      <c r="O53" s="2"/>
      <c r="P53" s="9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9"/>
      <c r="O54" s="2"/>
      <c r="P54" s="9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9"/>
      <c r="O55" s="2"/>
      <c r="P55" s="9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9"/>
      <c r="O56" s="2"/>
      <c r="P56" s="9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9"/>
      <c r="O57" s="2"/>
      <c r="P57" s="9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9"/>
      <c r="O58" s="2"/>
      <c r="P58" s="9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9"/>
      <c r="O59" s="2"/>
      <c r="P59" s="9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9"/>
      <c r="O60" s="2"/>
      <c r="P60" s="9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9"/>
      <c r="O61" s="2"/>
      <c r="P61" s="9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9"/>
      <c r="O62" s="2"/>
      <c r="P62" s="9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9"/>
      <c r="O63" s="2"/>
      <c r="P63" s="9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9"/>
      <c r="O64" s="2"/>
      <c r="P64" s="9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9"/>
      <c r="O65" s="2"/>
      <c r="P65" s="9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9"/>
      <c r="O66" s="2"/>
      <c r="P66" s="9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9"/>
      <c r="O67" s="2"/>
      <c r="P67" s="9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9"/>
      <c r="O68" s="2"/>
      <c r="P68" s="9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9"/>
      <c r="O69" s="2"/>
      <c r="P69" s="9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9"/>
      <c r="O70" s="2"/>
      <c r="P70" s="9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9"/>
      <c r="O71" s="2"/>
      <c r="P71" s="9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9"/>
      <c r="O72" s="2"/>
      <c r="P72" s="9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9"/>
      <c r="O73" s="2"/>
      <c r="P73" s="9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9"/>
      <c r="O74" s="2"/>
      <c r="P74" s="9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9"/>
      <c r="O75" s="2"/>
      <c r="P75" s="9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9"/>
      <c r="O76" s="2"/>
      <c r="P76" s="9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9"/>
      <c r="O77" s="2"/>
      <c r="P77" s="9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9"/>
      <c r="O78" s="2"/>
      <c r="P78" s="9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9"/>
      <c r="O79" s="2"/>
      <c r="P79" s="9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9"/>
      <c r="O80" s="2"/>
      <c r="P80" s="9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9"/>
      <c r="O81" s="2"/>
      <c r="P81" s="9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9"/>
      <c r="O82" s="2"/>
      <c r="P82" s="9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9"/>
      <c r="O83" s="2"/>
      <c r="P83" s="9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9"/>
      <c r="O84" s="2"/>
      <c r="P84" s="9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9"/>
      <c r="O85" s="2"/>
      <c r="P85" s="9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9"/>
      <c r="O86" s="2"/>
      <c r="P86" s="9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9"/>
      <c r="O87" s="2"/>
      <c r="P87" s="9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18"/>
      <c r="J88" s="18"/>
      <c r="K88" s="18"/>
      <c r="L88" s="18"/>
      <c r="M88" s="18"/>
      <c r="N88" s="9"/>
      <c r="O88" s="18"/>
      <c r="P88" s="9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18"/>
      <c r="J89" s="18"/>
      <c r="K89" s="18"/>
      <c r="L89" s="18"/>
      <c r="M89" s="18"/>
      <c r="N89" s="9"/>
      <c r="O89" s="18"/>
      <c r="P89" s="9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18"/>
      <c r="J90" s="18"/>
      <c r="K90" s="18"/>
      <c r="L90" s="18"/>
      <c r="M90" s="18"/>
      <c r="N90" s="9"/>
      <c r="O90" s="18"/>
      <c r="P90" s="9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18"/>
      <c r="J91" s="18"/>
      <c r="K91" s="18"/>
      <c r="L91" s="18"/>
      <c r="M91" s="18"/>
      <c r="N91" s="9"/>
      <c r="O91" s="18"/>
      <c r="P91" s="9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18"/>
      <c r="J92" s="18"/>
      <c r="K92" s="18"/>
      <c r="L92" s="18"/>
      <c r="M92" s="18"/>
      <c r="N92" s="9"/>
      <c r="O92" s="18"/>
      <c r="P92" s="9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18"/>
      <c r="J93" s="18"/>
      <c r="K93" s="18"/>
      <c r="L93" s="18"/>
      <c r="M93" s="18"/>
      <c r="N93" s="9"/>
      <c r="O93" s="18"/>
      <c r="P93" s="9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18"/>
      <c r="J94" s="18"/>
      <c r="K94" s="18"/>
      <c r="L94" s="18"/>
      <c r="M94" s="18"/>
      <c r="N94" s="9"/>
      <c r="O94" s="18"/>
      <c r="P94" s="9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18"/>
      <c r="J95" s="18"/>
      <c r="K95" s="18"/>
      <c r="L95" s="18"/>
      <c r="M95" s="18"/>
      <c r="N95" s="9"/>
      <c r="O95" s="18"/>
      <c r="P95" s="9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18"/>
      <c r="J96" s="18"/>
      <c r="K96" s="18"/>
      <c r="L96" s="18"/>
      <c r="M96" s="18"/>
      <c r="N96" s="9"/>
      <c r="O96" s="18"/>
      <c r="P96" s="9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18"/>
      <c r="J97" s="18"/>
      <c r="K97" s="18"/>
      <c r="L97" s="18"/>
      <c r="M97" s="18"/>
      <c r="N97" s="9"/>
      <c r="O97" s="18"/>
      <c r="P97" s="9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18"/>
      <c r="J98" s="18"/>
      <c r="K98" s="18"/>
      <c r="L98" s="18"/>
      <c r="M98" s="18"/>
      <c r="N98" s="9"/>
      <c r="O98" s="18"/>
      <c r="P98" s="9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18"/>
      <c r="J99" s="18"/>
      <c r="K99" s="18"/>
      <c r="L99" s="18"/>
      <c r="M99" s="18"/>
      <c r="N99" s="9"/>
      <c r="O99" s="18"/>
      <c r="P99" s="9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18"/>
      <c r="J100" s="18"/>
      <c r="K100" s="18"/>
      <c r="L100" s="18"/>
      <c r="M100" s="18"/>
      <c r="N100" s="9"/>
      <c r="O100" s="18"/>
      <c r="P100" s="9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18"/>
      <c r="J101" s="18"/>
      <c r="K101" s="18"/>
      <c r="L101" s="18"/>
      <c r="M101" s="18"/>
      <c r="N101" s="9"/>
      <c r="O101" s="18"/>
      <c r="P101" s="9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18"/>
      <c r="J102" s="18"/>
      <c r="K102" s="18"/>
      <c r="L102" s="18"/>
      <c r="M102" s="18"/>
      <c r="N102" s="9"/>
      <c r="O102" s="18"/>
      <c r="P102" s="9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18"/>
      <c r="J103" s="18"/>
      <c r="K103" s="18"/>
      <c r="L103" s="18"/>
      <c r="M103" s="18"/>
      <c r="N103" s="9"/>
      <c r="O103" s="18"/>
      <c r="P103" s="9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18"/>
      <c r="J104" s="18"/>
      <c r="K104" s="18"/>
      <c r="L104" s="18"/>
      <c r="M104" s="18"/>
      <c r="N104" s="9"/>
      <c r="O104" s="18"/>
      <c r="P104" s="9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18"/>
      <c r="J105" s="18"/>
      <c r="K105" s="18"/>
      <c r="L105" s="18"/>
      <c r="M105" s="18"/>
      <c r="N105" s="9"/>
      <c r="O105" s="18"/>
      <c r="P105" s="9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18"/>
      <c r="J106" s="18"/>
      <c r="K106" s="18"/>
      <c r="L106" s="18"/>
      <c r="M106" s="18"/>
      <c r="N106" s="9"/>
      <c r="O106" s="18"/>
      <c r="P106" s="9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18"/>
      <c r="J107" s="18"/>
      <c r="K107" s="18"/>
      <c r="L107" s="18"/>
      <c r="M107" s="18"/>
      <c r="N107" s="9"/>
      <c r="O107" s="18"/>
      <c r="P107" s="9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18"/>
      <c r="J108" s="18"/>
      <c r="K108" s="18"/>
      <c r="L108" s="18"/>
      <c r="M108" s="18"/>
      <c r="N108" s="9"/>
      <c r="O108" s="18"/>
      <c r="P108" s="9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18"/>
      <c r="J109" s="18"/>
      <c r="K109" s="18"/>
      <c r="L109" s="18"/>
      <c r="M109" s="18"/>
      <c r="N109" s="9"/>
      <c r="O109" s="18"/>
      <c r="P109" s="9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18"/>
      <c r="J110" s="18"/>
      <c r="K110" s="18"/>
      <c r="L110" s="18"/>
      <c r="M110" s="18"/>
      <c r="N110" s="9"/>
      <c r="O110" s="18"/>
      <c r="P110" s="9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18"/>
      <c r="J111" s="18"/>
      <c r="K111" s="18"/>
      <c r="L111" s="18"/>
      <c r="M111" s="18"/>
      <c r="N111" s="9"/>
      <c r="O111" s="18"/>
      <c r="P111" s="9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18"/>
      <c r="J112" s="18"/>
      <c r="K112" s="18"/>
      <c r="L112" s="18"/>
      <c r="M112" s="18"/>
      <c r="N112" s="9"/>
      <c r="O112" s="18"/>
      <c r="P112" s="9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18"/>
      <c r="J113" s="18"/>
      <c r="K113" s="18"/>
      <c r="L113" s="18"/>
      <c r="M113" s="18"/>
      <c r="N113" s="9"/>
      <c r="O113" s="18"/>
      <c r="P113" s="9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18"/>
      <c r="J114" s="18"/>
      <c r="K114" s="18"/>
      <c r="L114" s="18"/>
      <c r="M114" s="18"/>
      <c r="N114" s="9"/>
      <c r="O114" s="18"/>
      <c r="P114" s="9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18"/>
      <c r="J115" s="18"/>
      <c r="K115" s="18"/>
      <c r="L115" s="18"/>
      <c r="M115" s="18"/>
      <c r="N115" s="9"/>
      <c r="O115" s="18"/>
      <c r="P115" s="9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18"/>
      <c r="J116" s="18"/>
      <c r="K116" s="18"/>
      <c r="L116" s="18"/>
      <c r="M116" s="18"/>
      <c r="N116" s="9"/>
      <c r="O116" s="18"/>
      <c r="P116" s="9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18"/>
      <c r="J117" s="18"/>
      <c r="K117" s="18"/>
      <c r="L117" s="18"/>
      <c r="M117" s="18"/>
      <c r="N117" s="9"/>
      <c r="O117" s="18"/>
      <c r="P117" s="9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18"/>
      <c r="J118" s="18"/>
      <c r="K118" s="18"/>
      <c r="L118" s="18"/>
      <c r="M118" s="18"/>
      <c r="N118" s="9"/>
      <c r="O118" s="18"/>
      <c r="P118" s="9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18"/>
      <c r="J119" s="18"/>
      <c r="K119" s="18"/>
      <c r="L119" s="18"/>
      <c r="M119" s="18"/>
      <c r="N119" s="9"/>
      <c r="O119" s="18"/>
      <c r="P119" s="9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18"/>
      <c r="J120" s="18"/>
      <c r="K120" s="18"/>
      <c r="L120" s="18"/>
      <c r="M120" s="18"/>
      <c r="N120" s="9"/>
      <c r="O120" s="18"/>
      <c r="P120" s="9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18"/>
      <c r="J121" s="18"/>
      <c r="K121" s="18"/>
      <c r="L121" s="18"/>
      <c r="M121" s="18"/>
      <c r="N121" s="9"/>
      <c r="O121" s="18"/>
      <c r="P121" s="9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18"/>
      <c r="J122" s="18"/>
      <c r="K122" s="18"/>
      <c r="L122" s="18"/>
      <c r="M122" s="18"/>
      <c r="N122" s="9"/>
      <c r="O122" s="18"/>
      <c r="P122" s="9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18"/>
      <c r="J123" s="18"/>
      <c r="K123" s="18"/>
      <c r="L123" s="18"/>
      <c r="M123" s="18"/>
      <c r="N123" s="9"/>
      <c r="O123" s="18"/>
      <c r="P123" s="9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18"/>
      <c r="J124" s="18"/>
      <c r="K124" s="18"/>
      <c r="L124" s="18"/>
      <c r="M124" s="18"/>
      <c r="N124" s="9"/>
      <c r="O124" s="18"/>
      <c r="P124" s="9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18"/>
      <c r="J125" s="18"/>
      <c r="K125" s="18"/>
      <c r="L125" s="18"/>
      <c r="M125" s="18"/>
      <c r="N125" s="9"/>
      <c r="O125" s="18"/>
      <c r="P125" s="9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18"/>
      <c r="J126" s="18"/>
      <c r="K126" s="18"/>
      <c r="L126" s="18"/>
      <c r="M126" s="18"/>
      <c r="N126" s="9"/>
      <c r="O126" s="18"/>
      <c r="P126" s="9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18"/>
      <c r="J127" s="18"/>
      <c r="K127" s="18"/>
      <c r="L127" s="18"/>
      <c r="M127" s="18"/>
      <c r="N127" s="9"/>
      <c r="O127" s="18"/>
      <c r="P127" s="9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18"/>
      <c r="J128" s="18"/>
      <c r="K128" s="18"/>
      <c r="L128" s="18"/>
      <c r="M128" s="18"/>
      <c r="N128" s="9"/>
      <c r="O128" s="18"/>
      <c r="P128" s="9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18"/>
      <c r="J129" s="18"/>
      <c r="K129" s="18"/>
      <c r="L129" s="18"/>
      <c r="M129" s="18"/>
      <c r="N129" s="9"/>
      <c r="O129" s="18"/>
      <c r="P129" s="9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18"/>
      <c r="J130" s="18"/>
      <c r="K130" s="18"/>
      <c r="L130" s="18"/>
      <c r="M130" s="18"/>
      <c r="N130" s="9"/>
      <c r="O130" s="18"/>
      <c r="P130" s="9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18"/>
      <c r="J131" s="18"/>
      <c r="K131" s="18"/>
      <c r="L131" s="18"/>
      <c r="M131" s="18"/>
      <c r="N131" s="9"/>
      <c r="O131" s="18"/>
      <c r="P131" s="9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18"/>
      <c r="J132" s="18"/>
      <c r="K132" s="18"/>
      <c r="L132" s="18"/>
      <c r="M132" s="18"/>
      <c r="N132" s="9"/>
      <c r="O132" s="18"/>
      <c r="P132" s="9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18"/>
      <c r="J133" s="18"/>
      <c r="K133" s="18"/>
      <c r="L133" s="18"/>
      <c r="M133" s="18"/>
      <c r="N133" s="9"/>
      <c r="O133" s="18"/>
      <c r="P133" s="9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18"/>
      <c r="J134" s="18"/>
      <c r="K134" s="18"/>
      <c r="L134" s="18"/>
      <c r="M134" s="18"/>
      <c r="N134" s="9"/>
      <c r="O134" s="18"/>
      <c r="P134" s="9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18"/>
      <c r="J135" s="18"/>
      <c r="K135" s="18"/>
      <c r="L135" s="18"/>
      <c r="M135" s="18"/>
      <c r="N135" s="9"/>
      <c r="O135" s="18"/>
      <c r="P135" s="9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18"/>
      <c r="J136" s="18"/>
      <c r="K136" s="18"/>
      <c r="L136" s="18"/>
      <c r="M136" s="18"/>
      <c r="N136" s="9"/>
      <c r="O136" s="18"/>
      <c r="P136" s="9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18"/>
      <c r="J137" s="18"/>
      <c r="K137" s="18"/>
      <c r="L137" s="18"/>
      <c r="M137" s="18"/>
      <c r="N137" s="9"/>
      <c r="O137" s="18"/>
      <c r="P137" s="9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18"/>
      <c r="J138" s="18"/>
      <c r="K138" s="18"/>
      <c r="L138" s="18"/>
      <c r="M138" s="18"/>
      <c r="N138" s="9"/>
      <c r="O138" s="18"/>
      <c r="P138" s="9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18"/>
      <c r="J139" s="18"/>
      <c r="K139" s="18"/>
      <c r="L139" s="18"/>
      <c r="M139" s="18"/>
      <c r="N139" s="9"/>
      <c r="O139" s="18"/>
      <c r="P139" s="9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18"/>
      <c r="J140" s="18"/>
      <c r="K140" s="18"/>
      <c r="L140" s="18"/>
      <c r="M140" s="18"/>
      <c r="N140" s="9"/>
      <c r="O140" s="18"/>
      <c r="P140" s="9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18"/>
      <c r="J141" s="18"/>
      <c r="K141" s="18"/>
      <c r="L141" s="18"/>
      <c r="M141" s="18"/>
      <c r="N141" s="9"/>
      <c r="O141" s="18"/>
      <c r="P141" s="9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18"/>
      <c r="J142" s="18"/>
      <c r="K142" s="18"/>
      <c r="L142" s="18"/>
      <c r="M142" s="18"/>
      <c r="N142" s="9"/>
      <c r="O142" s="18"/>
      <c r="P142" s="9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18"/>
      <c r="J143" s="18"/>
      <c r="K143" s="18"/>
      <c r="L143" s="18"/>
      <c r="M143" s="18"/>
      <c r="N143" s="9"/>
      <c r="O143" s="18"/>
      <c r="P143" s="9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18"/>
      <c r="J144" s="18"/>
      <c r="K144" s="18"/>
      <c r="L144" s="18"/>
      <c r="M144" s="18"/>
      <c r="N144" s="9"/>
      <c r="O144" s="18"/>
      <c r="P144" s="9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18"/>
      <c r="J145" s="18"/>
      <c r="K145" s="18"/>
      <c r="L145" s="18"/>
      <c r="M145" s="18"/>
      <c r="N145" s="9"/>
      <c r="O145" s="18"/>
      <c r="P145" s="9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18"/>
      <c r="J146" s="18"/>
      <c r="K146" s="18"/>
      <c r="L146" s="18"/>
      <c r="M146" s="18"/>
      <c r="N146" s="9"/>
      <c r="O146" s="18"/>
      <c r="P146" s="9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18"/>
      <c r="J147" s="18"/>
      <c r="K147" s="18"/>
      <c r="L147" s="18"/>
      <c r="M147" s="18"/>
      <c r="N147" s="9"/>
      <c r="O147" s="18"/>
      <c r="P147" s="9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18"/>
      <c r="J148" s="18"/>
      <c r="K148" s="18"/>
      <c r="L148" s="18"/>
      <c r="M148" s="18"/>
      <c r="N148" s="9"/>
      <c r="O148" s="18"/>
      <c r="P148" s="9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18"/>
      <c r="J149" s="18"/>
      <c r="K149" s="18"/>
      <c r="L149" s="18"/>
      <c r="M149" s="18"/>
      <c r="N149" s="9"/>
      <c r="O149" s="18"/>
      <c r="P149" s="9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18"/>
      <c r="J150" s="18"/>
      <c r="K150" s="18"/>
      <c r="L150" s="18"/>
      <c r="M150" s="18"/>
      <c r="N150" s="9"/>
      <c r="O150" s="18"/>
      <c r="P150" s="9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18"/>
      <c r="J151" s="18"/>
      <c r="K151" s="18"/>
      <c r="L151" s="18"/>
      <c r="M151" s="18"/>
      <c r="N151" s="9"/>
      <c r="O151" s="18"/>
      <c r="P151" s="9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18"/>
      <c r="J152" s="18"/>
      <c r="K152" s="18"/>
      <c r="L152" s="18"/>
      <c r="M152" s="18"/>
      <c r="N152" s="9"/>
      <c r="O152" s="18"/>
      <c r="P152" s="9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18"/>
      <c r="J153" s="18"/>
      <c r="K153" s="18"/>
      <c r="L153" s="18"/>
      <c r="M153" s="18"/>
      <c r="N153" s="9"/>
      <c r="O153" s="18"/>
      <c r="P153" s="9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18"/>
      <c r="J154" s="18"/>
      <c r="K154" s="18"/>
      <c r="L154" s="18"/>
      <c r="M154" s="18"/>
      <c r="N154" s="9"/>
      <c r="O154" s="18"/>
      <c r="P154" s="9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18"/>
      <c r="J155" s="18"/>
      <c r="K155" s="18"/>
      <c r="L155" s="18"/>
      <c r="M155" s="18"/>
      <c r="N155" s="9"/>
      <c r="O155" s="18"/>
      <c r="P155" s="9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18"/>
      <c r="J156" s="18"/>
      <c r="K156" s="18"/>
      <c r="L156" s="18"/>
      <c r="M156" s="18"/>
      <c r="N156" s="9"/>
      <c r="O156" s="18"/>
      <c r="P156" s="9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18"/>
      <c r="J157" s="18"/>
      <c r="K157" s="18"/>
      <c r="L157" s="18"/>
      <c r="M157" s="18"/>
      <c r="N157" s="9"/>
      <c r="O157" s="18"/>
      <c r="P157" s="9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18"/>
      <c r="J158" s="18"/>
      <c r="K158" s="18"/>
      <c r="L158" s="18"/>
      <c r="M158" s="18"/>
      <c r="N158" s="9"/>
      <c r="O158" s="18"/>
      <c r="P158" s="9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18"/>
      <c r="J159" s="18"/>
      <c r="K159" s="18"/>
      <c r="L159" s="18"/>
      <c r="M159" s="18"/>
      <c r="N159" s="9"/>
      <c r="O159" s="18"/>
      <c r="P159" s="9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18"/>
      <c r="J160" s="18"/>
      <c r="K160" s="18"/>
      <c r="L160" s="18"/>
      <c r="M160" s="18"/>
      <c r="N160" s="9"/>
      <c r="O160" s="18"/>
      <c r="P160" s="9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18"/>
      <c r="J161" s="18"/>
      <c r="K161" s="18"/>
      <c r="L161" s="18"/>
      <c r="M161" s="18"/>
      <c r="N161" s="9"/>
      <c r="O161" s="18"/>
      <c r="P161" s="9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18"/>
      <c r="J162" s="18"/>
      <c r="K162" s="18"/>
      <c r="L162" s="18"/>
      <c r="M162" s="18"/>
      <c r="N162" s="9"/>
      <c r="O162" s="18"/>
      <c r="P162" s="9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18"/>
      <c r="J163" s="18"/>
      <c r="K163" s="18"/>
      <c r="L163" s="18"/>
      <c r="M163" s="18"/>
      <c r="N163" s="9"/>
      <c r="O163" s="18"/>
      <c r="P163" s="9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18"/>
      <c r="J164" s="18"/>
      <c r="K164" s="18"/>
      <c r="L164" s="18"/>
      <c r="M164" s="18"/>
      <c r="N164" s="9"/>
      <c r="O164" s="18"/>
      <c r="P164" s="9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18"/>
      <c r="J165" s="18"/>
      <c r="K165" s="18"/>
      <c r="L165" s="18"/>
      <c r="M165" s="18"/>
      <c r="N165" s="9"/>
      <c r="O165" s="18"/>
      <c r="P165" s="9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18"/>
      <c r="J166" s="18"/>
      <c r="K166" s="18"/>
      <c r="L166" s="18"/>
      <c r="M166" s="18"/>
      <c r="N166" s="9"/>
      <c r="O166" s="18"/>
      <c r="P166" s="9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18"/>
      <c r="J167" s="18"/>
      <c r="K167" s="18"/>
      <c r="L167" s="18"/>
      <c r="M167" s="18"/>
      <c r="N167" s="9"/>
      <c r="O167" s="18"/>
      <c r="P167" s="9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18"/>
      <c r="J168" s="18"/>
      <c r="K168" s="18"/>
      <c r="L168" s="18"/>
      <c r="M168" s="18"/>
      <c r="N168" s="9"/>
      <c r="O168" s="18"/>
      <c r="P168" s="9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18"/>
      <c r="J169" s="18"/>
      <c r="K169" s="18"/>
      <c r="L169" s="18"/>
      <c r="M169" s="18"/>
      <c r="N169" s="9"/>
      <c r="O169" s="18"/>
      <c r="P169" s="9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18"/>
      <c r="J170" s="18"/>
      <c r="K170" s="18"/>
      <c r="L170" s="18"/>
      <c r="M170" s="18"/>
      <c r="N170" s="9"/>
      <c r="O170" s="18"/>
      <c r="P170" s="9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18"/>
      <c r="J171" s="18"/>
      <c r="K171" s="18"/>
      <c r="L171" s="18"/>
      <c r="M171" s="18"/>
      <c r="N171" s="9"/>
      <c r="O171" s="18"/>
      <c r="P171" s="9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18"/>
      <c r="J172" s="18"/>
      <c r="K172" s="18"/>
      <c r="L172" s="18"/>
      <c r="M172" s="18"/>
      <c r="N172" s="9"/>
      <c r="O172" s="18"/>
      <c r="P172" s="9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18"/>
      <c r="J173" s="18"/>
      <c r="K173" s="18"/>
      <c r="L173" s="18"/>
      <c r="M173" s="18"/>
      <c r="N173" s="9"/>
      <c r="O173" s="18"/>
      <c r="P173" s="9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18"/>
      <c r="J174" s="18"/>
      <c r="K174" s="18"/>
      <c r="L174" s="18"/>
      <c r="M174" s="18"/>
      <c r="N174" s="9"/>
      <c r="O174" s="18"/>
      <c r="P174" s="9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18"/>
      <c r="J175" s="18"/>
      <c r="K175" s="18"/>
      <c r="L175" s="18"/>
      <c r="M175" s="18"/>
      <c r="N175" s="9"/>
      <c r="O175" s="18"/>
      <c r="P175" s="9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18"/>
      <c r="J176" s="18"/>
      <c r="K176" s="18"/>
      <c r="L176" s="18"/>
      <c r="M176" s="18"/>
      <c r="N176" s="9"/>
      <c r="O176" s="18"/>
      <c r="P176" s="9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18"/>
      <c r="J177" s="18"/>
      <c r="K177" s="18"/>
      <c r="L177" s="18"/>
      <c r="M177" s="18"/>
      <c r="N177" s="9"/>
      <c r="O177" s="18"/>
      <c r="P177" s="9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18"/>
      <c r="J178" s="18"/>
      <c r="K178" s="18"/>
      <c r="L178" s="18"/>
      <c r="M178" s="18"/>
      <c r="N178" s="9"/>
      <c r="O178" s="18"/>
      <c r="P178" s="9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18"/>
      <c r="J179" s="18"/>
      <c r="K179" s="18"/>
      <c r="L179" s="18"/>
      <c r="M179" s="18"/>
      <c r="N179" s="9"/>
      <c r="O179" s="18"/>
      <c r="P179" s="9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18"/>
      <c r="J180" s="18"/>
      <c r="K180" s="18"/>
      <c r="L180" s="18"/>
      <c r="M180" s="18"/>
      <c r="N180" s="9"/>
      <c r="O180" s="18"/>
      <c r="P180" s="9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18"/>
      <c r="J181" s="18"/>
      <c r="K181" s="18"/>
      <c r="L181" s="18"/>
      <c r="M181" s="18"/>
      <c r="N181" s="9"/>
      <c r="O181" s="18"/>
      <c r="P181" s="9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18"/>
      <c r="J182" s="18"/>
      <c r="K182" s="18"/>
      <c r="L182" s="18"/>
      <c r="M182" s="18"/>
      <c r="N182" s="9"/>
      <c r="O182" s="18"/>
      <c r="P182" s="9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18"/>
      <c r="J183" s="18"/>
      <c r="K183" s="18"/>
      <c r="L183" s="18"/>
      <c r="M183" s="18"/>
      <c r="N183" s="9"/>
      <c r="O183" s="18"/>
      <c r="P183" s="9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18"/>
      <c r="J184" s="18"/>
      <c r="K184" s="18"/>
      <c r="L184" s="18"/>
      <c r="M184" s="18"/>
      <c r="N184" s="9"/>
      <c r="O184" s="18"/>
      <c r="P184" s="9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18"/>
      <c r="J185" s="18"/>
      <c r="K185" s="18"/>
      <c r="L185" s="18"/>
      <c r="M185" s="18"/>
      <c r="N185" s="9"/>
      <c r="O185" s="18"/>
      <c r="P185" s="9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18"/>
      <c r="J186" s="18"/>
      <c r="K186" s="18"/>
      <c r="L186" s="18"/>
      <c r="M186" s="18"/>
      <c r="N186" s="9"/>
      <c r="O186" s="18"/>
      <c r="P186" s="9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18"/>
      <c r="J187" s="18"/>
      <c r="K187" s="18"/>
      <c r="L187" s="18"/>
      <c r="M187" s="18"/>
      <c r="N187" s="9"/>
      <c r="O187" s="18"/>
      <c r="P187" s="9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43</v>
      </c>
      <c r="B3" s="4" t="s">
        <v>56</v>
      </c>
      <c r="C3" s="7" t="s">
        <v>46</v>
      </c>
      <c r="D3" s="7" t="s">
        <v>57</v>
      </c>
      <c r="E3" s="7" t="s">
        <v>58</v>
      </c>
      <c r="F3" s="7" t="s">
        <v>48</v>
      </c>
      <c r="G3" s="7" t="s">
        <v>49</v>
      </c>
      <c r="H3" s="2"/>
      <c r="I3" s="2"/>
      <c r="J3" s="2"/>
      <c r="K3" s="2"/>
      <c r="L3" s="2"/>
      <c r="M3" s="2"/>
      <c r="N3" s="9"/>
      <c r="O3" s="2"/>
      <c r="P3" s="9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0">
        <v>45016.0</v>
      </c>
      <c r="B4" s="4" t="s">
        <v>51</v>
      </c>
      <c r="C4" s="11">
        <f t="shared" ref="C4:C7" si="1">EOMONTH(A4,0)</f>
        <v>45016</v>
      </c>
      <c r="D4" s="12">
        <f t="shared" ref="D4:D7" si="2">IF(C4=A4,A4+15,EOMONTH(A4,0))</f>
        <v>45031</v>
      </c>
      <c r="E4" s="12">
        <f t="shared" ref="E4:E7" si="3">A4+14</f>
        <v>45030</v>
      </c>
      <c r="F4" s="20">
        <f t="shared" ref="F4:F7" si="4">ifs(B4="Monthly",EOMONTH(A4,1),B4="Bi-Weekly",E4,B4="Semi-Monthly",D4)</f>
        <v>45046</v>
      </c>
      <c r="G4" s="12">
        <v>45046.0</v>
      </c>
      <c r="H4" s="2"/>
      <c r="I4" s="2"/>
      <c r="J4" s="2"/>
      <c r="K4" s="2"/>
      <c r="L4" s="2"/>
      <c r="M4" s="2"/>
      <c r="N4" s="9"/>
      <c r="O4" s="2"/>
      <c r="P4" s="9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0">
        <v>45657.0</v>
      </c>
      <c r="B5" s="4" t="s">
        <v>50</v>
      </c>
      <c r="C5" s="11">
        <f t="shared" si="1"/>
        <v>45657</v>
      </c>
      <c r="D5" s="12">
        <f t="shared" si="2"/>
        <v>45672</v>
      </c>
      <c r="E5" s="12">
        <f t="shared" si="3"/>
        <v>45671</v>
      </c>
      <c r="F5" s="20">
        <f t="shared" si="4"/>
        <v>45671</v>
      </c>
      <c r="G5" s="12">
        <v>45671.0</v>
      </c>
      <c r="H5" s="2"/>
      <c r="I5" s="2"/>
      <c r="J5" s="2"/>
      <c r="K5" s="2"/>
      <c r="L5" s="2"/>
      <c r="M5" s="2"/>
      <c r="N5" s="9"/>
      <c r="O5" s="2"/>
      <c r="P5" s="9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>
        <v>42490.0</v>
      </c>
      <c r="B6" s="4" t="s">
        <v>50</v>
      </c>
      <c r="C6" s="11">
        <f t="shared" si="1"/>
        <v>42490</v>
      </c>
      <c r="D6" s="12">
        <f t="shared" si="2"/>
        <v>42505</v>
      </c>
      <c r="E6" s="12">
        <f t="shared" si="3"/>
        <v>42504</v>
      </c>
      <c r="F6" s="20">
        <f t="shared" si="4"/>
        <v>42504</v>
      </c>
      <c r="G6" s="12">
        <v>42504.0</v>
      </c>
      <c r="H6" s="2"/>
      <c r="I6" s="2"/>
      <c r="J6" s="2"/>
      <c r="K6" s="2"/>
      <c r="L6" s="2"/>
      <c r="M6" s="2"/>
      <c r="N6" s="9"/>
      <c r="O6" s="2"/>
      <c r="P6" s="9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>
        <v>44074.0</v>
      </c>
      <c r="B7" s="4" t="s">
        <v>59</v>
      </c>
      <c r="C7" s="11">
        <f t="shared" si="1"/>
        <v>44074</v>
      </c>
      <c r="D7" s="12">
        <f t="shared" si="2"/>
        <v>44089</v>
      </c>
      <c r="E7" s="12">
        <f t="shared" si="3"/>
        <v>44088</v>
      </c>
      <c r="F7" s="20">
        <f t="shared" si="4"/>
        <v>44089</v>
      </c>
      <c r="G7" s="12">
        <v>44089.0</v>
      </c>
      <c r="H7" s="2"/>
      <c r="I7" s="2"/>
      <c r="J7" s="2"/>
      <c r="K7" s="2"/>
      <c r="L7" s="2"/>
      <c r="M7" s="2"/>
      <c r="N7" s="9"/>
      <c r="O7" s="2"/>
      <c r="P7" s="9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9"/>
      <c r="O8" s="2"/>
      <c r="P8" s="9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43</v>
      </c>
      <c r="B9" s="2" t="s">
        <v>56</v>
      </c>
      <c r="C9" s="2" t="s">
        <v>48</v>
      </c>
      <c r="D9" s="2" t="s">
        <v>49</v>
      </c>
      <c r="E9" s="2"/>
      <c r="F9" s="2"/>
      <c r="G9" s="2"/>
      <c r="H9" s="2"/>
      <c r="I9" s="2"/>
      <c r="J9" s="2"/>
      <c r="K9" s="2"/>
      <c r="L9" s="2"/>
      <c r="M9" s="2"/>
      <c r="N9" s="9"/>
      <c r="O9" s="2"/>
      <c r="P9" s="9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3">
        <v>42490.0</v>
      </c>
      <c r="B10" s="2" t="s">
        <v>50</v>
      </c>
      <c r="C10" s="15">
        <f t="shared" ref="C10:C13" si="5">ifs(B10="Monthly",EOMONTH(A10,1),B10="Bi-Weekly",A10+14,B10="Semi-Monthly",IF(A10=EOMONTH(A10,0),A10+15,EOMONTH(A10,0)))</f>
        <v>42504</v>
      </c>
      <c r="D10" s="16">
        <v>42504.0</v>
      </c>
      <c r="E10" s="24"/>
      <c r="F10" s="2"/>
      <c r="G10" s="2"/>
      <c r="H10" s="2"/>
      <c r="I10" s="2"/>
      <c r="J10" s="2"/>
      <c r="K10" s="2"/>
      <c r="L10" s="2"/>
      <c r="M10" s="2"/>
      <c r="N10" s="9"/>
      <c r="O10" s="2"/>
      <c r="P10" s="9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>
        <v>43890.0</v>
      </c>
      <c r="B11" s="2" t="s">
        <v>51</v>
      </c>
      <c r="C11" s="15">
        <f t="shared" si="5"/>
        <v>43921</v>
      </c>
      <c r="D11" s="16">
        <v>43921.0</v>
      </c>
      <c r="E11" s="24"/>
      <c r="F11" s="2"/>
      <c r="G11" s="2"/>
      <c r="H11" s="2"/>
      <c r="I11" s="2"/>
      <c r="J11" s="2"/>
      <c r="K11" s="2"/>
      <c r="L11" s="2"/>
      <c r="M11" s="2"/>
      <c r="N11" s="9"/>
      <c r="O11" s="2"/>
      <c r="P11" s="9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>
        <v>45260.0</v>
      </c>
      <c r="B12" s="2" t="s">
        <v>50</v>
      </c>
      <c r="C12" s="15">
        <f t="shared" si="5"/>
        <v>45274</v>
      </c>
      <c r="D12" s="16">
        <v>45274.0</v>
      </c>
      <c r="E12" s="24"/>
      <c r="F12" s="2"/>
      <c r="G12" s="2"/>
      <c r="H12" s="2"/>
      <c r="I12" s="2"/>
      <c r="J12" s="2"/>
      <c r="K12" s="2"/>
      <c r="L12" s="2"/>
      <c r="M12" s="2"/>
      <c r="N12" s="9"/>
      <c r="O12" s="2"/>
      <c r="P12" s="9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>
        <v>45657.0</v>
      </c>
      <c r="B13" s="2" t="s">
        <v>59</v>
      </c>
      <c r="C13" s="15">
        <f t="shared" si="5"/>
        <v>45672</v>
      </c>
      <c r="D13" s="16">
        <v>45672.0</v>
      </c>
      <c r="E13" s="24"/>
      <c r="F13" s="2"/>
      <c r="G13" s="2"/>
      <c r="H13" s="2"/>
      <c r="I13" s="2"/>
      <c r="J13" s="2"/>
      <c r="K13" s="2"/>
      <c r="L13" s="2"/>
      <c r="M13" s="2"/>
      <c r="N13" s="9"/>
      <c r="O13" s="2"/>
      <c r="P13" s="9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/>
      <c r="B14" s="2"/>
      <c r="C14" s="8"/>
      <c r="D14" s="2"/>
      <c r="E14" s="24"/>
      <c r="F14" s="2"/>
      <c r="G14" s="2"/>
      <c r="H14" s="2"/>
      <c r="I14" s="2"/>
      <c r="J14" s="2"/>
      <c r="K14" s="2"/>
      <c r="L14" s="2"/>
      <c r="M14" s="2"/>
      <c r="N14" s="9"/>
      <c r="O14" s="2"/>
      <c r="P14" s="9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43</v>
      </c>
      <c r="B15" s="2" t="s">
        <v>60</v>
      </c>
      <c r="C15" s="2" t="s">
        <v>48</v>
      </c>
      <c r="D15" s="2" t="s">
        <v>49</v>
      </c>
      <c r="E15" s="24"/>
      <c r="F15" s="2"/>
      <c r="G15" s="2"/>
      <c r="H15" s="2"/>
      <c r="I15" s="2"/>
      <c r="J15" s="2"/>
      <c r="K15" s="2"/>
      <c r="L15" s="2"/>
      <c r="M15" s="2"/>
      <c r="N15" s="9"/>
      <c r="O15" s="2"/>
      <c r="P15" s="9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8">
        <v>44347.0</v>
      </c>
      <c r="B16" s="2">
        <v>12.0</v>
      </c>
      <c r="C16" s="15">
        <f t="shared" ref="C16:C17" si="6">ifs(B16=12,EOMONTH(A16,1),B16=26,A16+14,B16=24,IF(A16=EOMONTH(A16,0),A16+15,EOMONTH(A16,0)))</f>
        <v>44377</v>
      </c>
      <c r="D16" s="16">
        <v>44377.0</v>
      </c>
      <c r="E16" s="24"/>
      <c r="F16" s="2"/>
      <c r="G16" s="2"/>
      <c r="H16" s="2"/>
      <c r="I16" s="2"/>
      <c r="J16" s="2"/>
      <c r="K16" s="2"/>
      <c r="L16" s="2"/>
      <c r="M16" s="2"/>
      <c r="N16" s="9"/>
      <c r="O16" s="2"/>
      <c r="P16" s="9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>
        <v>46037.0</v>
      </c>
      <c r="B17" s="2">
        <v>24.0</v>
      </c>
      <c r="C17" s="15">
        <f t="shared" si="6"/>
        <v>46053</v>
      </c>
      <c r="D17" s="16">
        <v>46053.0</v>
      </c>
      <c r="E17" s="8"/>
      <c r="F17" s="2"/>
      <c r="G17" s="2"/>
      <c r="H17" s="2"/>
      <c r="I17" s="2"/>
      <c r="J17" s="2"/>
      <c r="K17" s="2"/>
      <c r="L17" s="2"/>
      <c r="M17" s="2"/>
      <c r="N17" s="9"/>
      <c r="O17" s="2"/>
      <c r="P17" s="9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9"/>
      <c r="O18" s="2"/>
      <c r="P18" s="9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43</v>
      </c>
      <c r="B19" s="2" t="s">
        <v>60</v>
      </c>
      <c r="C19" s="2" t="s">
        <v>48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9"/>
      <c r="O19" s="2"/>
      <c r="P19" s="9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>
        <v>42613.0</v>
      </c>
      <c r="B20" s="2">
        <v>26.0</v>
      </c>
      <c r="C20" s="15">
        <f t="shared" ref="C20:C22" si="7">ifs(B20=12,EOMONTH(A20,1),B20=26,A20+14,B20=24,IF(A20=EOMONTH(A20,0),A20+15,EOMONTH(A20,0)))</f>
        <v>42627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9"/>
      <c r="O20" s="2"/>
      <c r="P20" s="9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>
        <v>37376.0</v>
      </c>
      <c r="B21" s="2">
        <v>24.0</v>
      </c>
      <c r="C21" s="15">
        <f t="shared" si="7"/>
        <v>37391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9"/>
      <c r="O21" s="2"/>
      <c r="P21" s="9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>
        <v>45838.0</v>
      </c>
      <c r="B22" s="2">
        <v>12.0</v>
      </c>
      <c r="C22" s="15">
        <f t="shared" si="7"/>
        <v>45869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9"/>
      <c r="O22" s="2"/>
      <c r="P22" s="9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9"/>
      <c r="O23" s="2"/>
      <c r="P23" s="9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9"/>
      <c r="O24" s="2"/>
      <c r="P24" s="9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9"/>
      <c r="O25" s="2"/>
      <c r="P25" s="9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9"/>
      <c r="O26" s="2"/>
      <c r="P26" s="9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9"/>
      <c r="O27" s="2"/>
      <c r="P27" s="9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9"/>
      <c r="O28" s="2"/>
      <c r="P28" s="9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9"/>
      <c r="O29" s="2"/>
      <c r="P29" s="9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9"/>
      <c r="O30" s="2"/>
      <c r="P30" s="9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9"/>
      <c r="O31" s="2"/>
      <c r="P31" s="9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9"/>
      <c r="O32" s="2"/>
      <c r="P32" s="9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9"/>
      <c r="O33" s="2"/>
      <c r="P33" s="9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9"/>
      <c r="O34" s="2"/>
      <c r="P34" s="9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9"/>
      <c r="O35" s="2"/>
      <c r="P35" s="9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9"/>
      <c r="O36" s="2"/>
      <c r="P36" s="9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9"/>
      <c r="O37" s="2"/>
      <c r="P37" s="9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9"/>
      <c r="O38" s="2"/>
      <c r="P38" s="9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9"/>
      <c r="O39" s="2"/>
      <c r="P39" s="9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9"/>
      <c r="O40" s="2"/>
      <c r="P40" s="9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9"/>
      <c r="O41" s="2"/>
      <c r="P41" s="9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9"/>
      <c r="O42" s="2"/>
      <c r="P42" s="9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9"/>
      <c r="O43" s="2"/>
      <c r="P43" s="9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9"/>
      <c r="O44" s="2"/>
      <c r="P44" s="9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9"/>
      <c r="O45" s="2"/>
      <c r="P45" s="9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9"/>
      <c r="O46" s="2"/>
      <c r="P46" s="9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9"/>
      <c r="O47" s="2"/>
      <c r="P47" s="9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9"/>
      <c r="O48" s="2"/>
      <c r="P48" s="9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9"/>
      <c r="O49" s="2"/>
      <c r="P49" s="9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9"/>
      <c r="O50" s="2"/>
      <c r="P50" s="9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9"/>
      <c r="O51" s="2"/>
      <c r="P51" s="9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9"/>
      <c r="O52" s="2"/>
      <c r="P52" s="9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9"/>
      <c r="O53" s="2"/>
      <c r="P53" s="9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9"/>
      <c r="O54" s="2"/>
      <c r="P54" s="9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9"/>
      <c r="O55" s="2"/>
      <c r="P55" s="9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9"/>
      <c r="O56" s="2"/>
      <c r="P56" s="9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9"/>
      <c r="O57" s="2"/>
      <c r="P57" s="9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9"/>
      <c r="O58" s="2"/>
      <c r="P58" s="9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9"/>
      <c r="O59" s="2"/>
      <c r="P59" s="9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9"/>
      <c r="O60" s="2"/>
      <c r="P60" s="9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9"/>
      <c r="O61" s="2"/>
      <c r="P61" s="9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9"/>
      <c r="O62" s="2"/>
      <c r="P62" s="9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9"/>
      <c r="O63" s="2"/>
      <c r="P63" s="9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9"/>
      <c r="O64" s="2"/>
      <c r="P64" s="9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9"/>
      <c r="O65" s="2"/>
      <c r="P65" s="9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9"/>
      <c r="O66" s="2"/>
      <c r="P66" s="9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9"/>
      <c r="O67" s="2"/>
      <c r="P67" s="9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9"/>
      <c r="O68" s="2"/>
      <c r="P68" s="9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9"/>
      <c r="O69" s="2"/>
      <c r="P69" s="9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9"/>
      <c r="O70" s="2"/>
      <c r="P70" s="9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9"/>
      <c r="O71" s="2"/>
      <c r="P71" s="9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9"/>
      <c r="O72" s="2"/>
      <c r="P72" s="9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9"/>
      <c r="O73" s="2"/>
      <c r="P73" s="9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9"/>
      <c r="O74" s="2"/>
      <c r="P74" s="9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9"/>
      <c r="O75" s="2"/>
      <c r="P75" s="9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9"/>
      <c r="O76" s="2"/>
      <c r="P76" s="9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9"/>
      <c r="O77" s="2"/>
      <c r="P77" s="9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9"/>
      <c r="O78" s="2"/>
      <c r="P78" s="9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9"/>
      <c r="O79" s="2"/>
      <c r="P79" s="9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9"/>
      <c r="O80" s="2"/>
      <c r="P80" s="9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9"/>
      <c r="O81" s="2"/>
      <c r="P81" s="9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9"/>
      <c r="O82" s="2"/>
      <c r="P82" s="9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9"/>
      <c r="O83" s="2"/>
      <c r="P83" s="9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9"/>
      <c r="O84" s="2"/>
      <c r="P84" s="9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9"/>
      <c r="O85" s="2"/>
      <c r="P85" s="9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9"/>
      <c r="O86" s="2"/>
      <c r="P86" s="9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9"/>
      <c r="O87" s="2"/>
      <c r="P87" s="9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18"/>
      <c r="J88" s="18"/>
      <c r="K88" s="18"/>
      <c r="L88" s="18"/>
      <c r="M88" s="18"/>
      <c r="N88" s="9"/>
      <c r="O88" s="18"/>
      <c r="P88" s="9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18"/>
      <c r="J89" s="18"/>
      <c r="K89" s="18"/>
      <c r="L89" s="18"/>
      <c r="M89" s="18"/>
      <c r="N89" s="9"/>
      <c r="O89" s="18"/>
      <c r="P89" s="9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18"/>
      <c r="J90" s="18"/>
      <c r="K90" s="18"/>
      <c r="L90" s="18"/>
      <c r="M90" s="18"/>
      <c r="N90" s="9"/>
      <c r="O90" s="18"/>
      <c r="P90" s="9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18"/>
      <c r="J91" s="18"/>
      <c r="K91" s="18"/>
      <c r="L91" s="18"/>
      <c r="M91" s="18"/>
      <c r="N91" s="9"/>
      <c r="O91" s="18"/>
      <c r="P91" s="9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18"/>
      <c r="J92" s="18"/>
      <c r="K92" s="18"/>
      <c r="L92" s="18"/>
      <c r="M92" s="18"/>
      <c r="N92" s="9"/>
      <c r="O92" s="18"/>
      <c r="P92" s="9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18"/>
      <c r="J93" s="18"/>
      <c r="K93" s="18"/>
      <c r="L93" s="18"/>
      <c r="M93" s="18"/>
      <c r="N93" s="9"/>
      <c r="O93" s="18"/>
      <c r="P93" s="9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18"/>
      <c r="J94" s="18"/>
      <c r="K94" s="18"/>
      <c r="L94" s="18"/>
      <c r="M94" s="18"/>
      <c r="N94" s="9"/>
      <c r="O94" s="18"/>
      <c r="P94" s="9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18"/>
      <c r="J95" s="18"/>
      <c r="K95" s="18"/>
      <c r="L95" s="18"/>
      <c r="M95" s="18"/>
      <c r="N95" s="9"/>
      <c r="O95" s="18"/>
      <c r="P95" s="9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18"/>
      <c r="J96" s="18"/>
      <c r="K96" s="18"/>
      <c r="L96" s="18"/>
      <c r="M96" s="18"/>
      <c r="N96" s="9"/>
      <c r="O96" s="18"/>
      <c r="P96" s="9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18"/>
      <c r="J97" s="18"/>
      <c r="K97" s="18"/>
      <c r="L97" s="18"/>
      <c r="M97" s="18"/>
      <c r="N97" s="9"/>
      <c r="O97" s="18"/>
      <c r="P97" s="9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18"/>
      <c r="J98" s="18"/>
      <c r="K98" s="18"/>
      <c r="L98" s="18"/>
      <c r="M98" s="18"/>
      <c r="N98" s="9"/>
      <c r="O98" s="18"/>
      <c r="P98" s="9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18"/>
      <c r="J99" s="18"/>
      <c r="K99" s="18"/>
      <c r="L99" s="18"/>
      <c r="M99" s="18"/>
      <c r="N99" s="9"/>
      <c r="O99" s="18"/>
      <c r="P99" s="9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18"/>
      <c r="J100" s="18"/>
      <c r="K100" s="18"/>
      <c r="L100" s="18"/>
      <c r="M100" s="18"/>
      <c r="N100" s="9"/>
      <c r="O100" s="18"/>
      <c r="P100" s="9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18"/>
      <c r="J101" s="18"/>
      <c r="K101" s="18"/>
      <c r="L101" s="18"/>
      <c r="M101" s="18"/>
      <c r="N101" s="9"/>
      <c r="O101" s="18"/>
      <c r="P101" s="9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18"/>
      <c r="J102" s="18"/>
      <c r="K102" s="18"/>
      <c r="L102" s="18"/>
      <c r="M102" s="18"/>
      <c r="N102" s="9"/>
      <c r="O102" s="18"/>
      <c r="P102" s="9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18"/>
      <c r="J103" s="18"/>
      <c r="K103" s="18"/>
      <c r="L103" s="18"/>
      <c r="M103" s="18"/>
      <c r="N103" s="9"/>
      <c r="O103" s="18"/>
      <c r="P103" s="9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18"/>
      <c r="J104" s="18"/>
      <c r="K104" s="18"/>
      <c r="L104" s="18"/>
      <c r="M104" s="18"/>
      <c r="N104" s="9"/>
      <c r="O104" s="18"/>
      <c r="P104" s="9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18"/>
      <c r="J105" s="18"/>
      <c r="K105" s="18"/>
      <c r="L105" s="18"/>
      <c r="M105" s="18"/>
      <c r="N105" s="9"/>
      <c r="O105" s="18"/>
      <c r="P105" s="9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18"/>
      <c r="J106" s="18"/>
      <c r="K106" s="18"/>
      <c r="L106" s="18"/>
      <c r="M106" s="18"/>
      <c r="N106" s="9"/>
      <c r="O106" s="18"/>
      <c r="P106" s="9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18"/>
      <c r="J107" s="18"/>
      <c r="K107" s="18"/>
      <c r="L107" s="18"/>
      <c r="M107" s="18"/>
      <c r="N107" s="9"/>
      <c r="O107" s="18"/>
      <c r="P107" s="9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18"/>
      <c r="J108" s="18"/>
      <c r="K108" s="18"/>
      <c r="L108" s="18"/>
      <c r="M108" s="18"/>
      <c r="N108" s="9"/>
      <c r="O108" s="18"/>
      <c r="P108" s="9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18"/>
      <c r="J109" s="18"/>
      <c r="K109" s="18"/>
      <c r="L109" s="18"/>
      <c r="M109" s="18"/>
      <c r="N109" s="9"/>
      <c r="O109" s="18"/>
      <c r="P109" s="9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18"/>
      <c r="J110" s="18"/>
      <c r="K110" s="18"/>
      <c r="L110" s="18"/>
      <c r="M110" s="18"/>
      <c r="N110" s="9"/>
      <c r="O110" s="18"/>
      <c r="P110" s="9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18"/>
      <c r="J111" s="18"/>
      <c r="K111" s="18"/>
      <c r="L111" s="18"/>
      <c r="M111" s="18"/>
      <c r="N111" s="9"/>
      <c r="O111" s="18"/>
      <c r="P111" s="9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18"/>
      <c r="J112" s="18"/>
      <c r="K112" s="18"/>
      <c r="L112" s="18"/>
      <c r="M112" s="18"/>
      <c r="N112" s="9"/>
      <c r="O112" s="18"/>
      <c r="P112" s="9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18"/>
      <c r="J113" s="18"/>
      <c r="K113" s="18"/>
      <c r="L113" s="18"/>
      <c r="M113" s="18"/>
      <c r="N113" s="9"/>
      <c r="O113" s="18"/>
      <c r="P113" s="9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18"/>
      <c r="J114" s="18"/>
      <c r="K114" s="18"/>
      <c r="L114" s="18"/>
      <c r="M114" s="18"/>
      <c r="N114" s="9"/>
      <c r="O114" s="18"/>
      <c r="P114" s="9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18"/>
      <c r="J115" s="18"/>
      <c r="K115" s="18"/>
      <c r="L115" s="18"/>
      <c r="M115" s="18"/>
      <c r="N115" s="9"/>
      <c r="O115" s="18"/>
      <c r="P115" s="9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18"/>
      <c r="J116" s="18"/>
      <c r="K116" s="18"/>
      <c r="L116" s="18"/>
      <c r="M116" s="18"/>
      <c r="N116" s="9"/>
      <c r="O116" s="18"/>
      <c r="P116" s="9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18"/>
      <c r="J117" s="18"/>
      <c r="K117" s="18"/>
      <c r="L117" s="18"/>
      <c r="M117" s="18"/>
      <c r="N117" s="9"/>
      <c r="O117" s="18"/>
      <c r="P117" s="9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18"/>
      <c r="J118" s="18"/>
      <c r="K118" s="18"/>
      <c r="L118" s="18"/>
      <c r="M118" s="18"/>
      <c r="N118" s="9"/>
      <c r="O118" s="18"/>
      <c r="P118" s="9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18"/>
      <c r="J119" s="18"/>
      <c r="K119" s="18"/>
      <c r="L119" s="18"/>
      <c r="M119" s="18"/>
      <c r="N119" s="9"/>
      <c r="O119" s="18"/>
      <c r="P119" s="9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18"/>
      <c r="J120" s="18"/>
      <c r="K120" s="18"/>
      <c r="L120" s="18"/>
      <c r="M120" s="18"/>
      <c r="N120" s="9"/>
      <c r="O120" s="18"/>
      <c r="P120" s="9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18"/>
      <c r="J121" s="18"/>
      <c r="K121" s="18"/>
      <c r="L121" s="18"/>
      <c r="M121" s="18"/>
      <c r="N121" s="9"/>
      <c r="O121" s="18"/>
      <c r="P121" s="9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18"/>
      <c r="J122" s="18"/>
      <c r="K122" s="18"/>
      <c r="L122" s="18"/>
      <c r="M122" s="18"/>
      <c r="N122" s="9"/>
      <c r="O122" s="18"/>
      <c r="P122" s="9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18"/>
      <c r="J123" s="18"/>
      <c r="K123" s="18"/>
      <c r="L123" s="18"/>
      <c r="M123" s="18"/>
      <c r="N123" s="9"/>
      <c r="O123" s="18"/>
      <c r="P123" s="9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18"/>
      <c r="J124" s="18"/>
      <c r="K124" s="18"/>
      <c r="L124" s="18"/>
      <c r="M124" s="18"/>
      <c r="N124" s="9"/>
      <c r="O124" s="18"/>
      <c r="P124" s="9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18"/>
      <c r="J125" s="18"/>
      <c r="K125" s="18"/>
      <c r="L125" s="18"/>
      <c r="M125" s="18"/>
      <c r="N125" s="9"/>
      <c r="O125" s="18"/>
      <c r="P125" s="9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18"/>
      <c r="J126" s="18"/>
      <c r="K126" s="18"/>
      <c r="L126" s="18"/>
      <c r="M126" s="18"/>
      <c r="N126" s="9"/>
      <c r="O126" s="18"/>
      <c r="P126" s="9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18"/>
      <c r="J127" s="18"/>
      <c r="K127" s="18"/>
      <c r="L127" s="18"/>
      <c r="M127" s="18"/>
      <c r="N127" s="9"/>
      <c r="O127" s="18"/>
      <c r="P127" s="9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18"/>
      <c r="J128" s="18"/>
      <c r="K128" s="18"/>
      <c r="L128" s="18"/>
      <c r="M128" s="18"/>
      <c r="N128" s="9"/>
      <c r="O128" s="18"/>
      <c r="P128" s="9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18"/>
      <c r="J129" s="18"/>
      <c r="K129" s="18"/>
      <c r="L129" s="18"/>
      <c r="M129" s="18"/>
      <c r="N129" s="9"/>
      <c r="O129" s="18"/>
      <c r="P129" s="9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18"/>
      <c r="J130" s="18"/>
      <c r="K130" s="18"/>
      <c r="L130" s="18"/>
      <c r="M130" s="18"/>
      <c r="N130" s="9"/>
      <c r="O130" s="18"/>
      <c r="P130" s="9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18"/>
      <c r="J131" s="18"/>
      <c r="K131" s="18"/>
      <c r="L131" s="18"/>
      <c r="M131" s="18"/>
      <c r="N131" s="9"/>
      <c r="O131" s="18"/>
      <c r="P131" s="9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18"/>
      <c r="J132" s="18"/>
      <c r="K132" s="18"/>
      <c r="L132" s="18"/>
      <c r="M132" s="18"/>
      <c r="N132" s="9"/>
      <c r="O132" s="18"/>
      <c r="P132" s="9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18"/>
      <c r="J133" s="18"/>
      <c r="K133" s="18"/>
      <c r="L133" s="18"/>
      <c r="M133" s="18"/>
      <c r="N133" s="9"/>
      <c r="O133" s="18"/>
      <c r="P133" s="9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18"/>
      <c r="J134" s="18"/>
      <c r="K134" s="18"/>
      <c r="L134" s="18"/>
      <c r="M134" s="18"/>
      <c r="N134" s="9"/>
      <c r="O134" s="18"/>
      <c r="P134" s="9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18"/>
      <c r="J135" s="18"/>
      <c r="K135" s="18"/>
      <c r="L135" s="18"/>
      <c r="M135" s="18"/>
      <c r="N135" s="9"/>
      <c r="O135" s="18"/>
      <c r="P135" s="9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18"/>
      <c r="J136" s="18"/>
      <c r="K136" s="18"/>
      <c r="L136" s="18"/>
      <c r="M136" s="18"/>
      <c r="N136" s="9"/>
      <c r="O136" s="18"/>
      <c r="P136" s="9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18"/>
      <c r="J137" s="18"/>
      <c r="K137" s="18"/>
      <c r="L137" s="18"/>
      <c r="M137" s="18"/>
      <c r="N137" s="9"/>
      <c r="O137" s="18"/>
      <c r="P137" s="9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18"/>
      <c r="J138" s="18"/>
      <c r="K138" s="18"/>
      <c r="L138" s="18"/>
      <c r="M138" s="18"/>
      <c r="N138" s="9"/>
      <c r="O138" s="18"/>
      <c r="P138" s="9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18"/>
      <c r="J139" s="18"/>
      <c r="K139" s="18"/>
      <c r="L139" s="18"/>
      <c r="M139" s="18"/>
      <c r="N139" s="9"/>
      <c r="O139" s="18"/>
      <c r="P139" s="9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18"/>
      <c r="J140" s="18"/>
      <c r="K140" s="18"/>
      <c r="L140" s="18"/>
      <c r="M140" s="18"/>
      <c r="N140" s="9"/>
      <c r="O140" s="18"/>
      <c r="P140" s="9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18"/>
      <c r="J141" s="18"/>
      <c r="K141" s="18"/>
      <c r="L141" s="18"/>
      <c r="M141" s="18"/>
      <c r="N141" s="9"/>
      <c r="O141" s="18"/>
      <c r="P141" s="9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18"/>
      <c r="J142" s="18"/>
      <c r="K142" s="18"/>
      <c r="L142" s="18"/>
      <c r="M142" s="18"/>
      <c r="N142" s="9"/>
      <c r="O142" s="18"/>
      <c r="P142" s="9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18"/>
      <c r="J143" s="18"/>
      <c r="K143" s="18"/>
      <c r="L143" s="18"/>
      <c r="M143" s="18"/>
      <c r="N143" s="9"/>
      <c r="O143" s="18"/>
      <c r="P143" s="9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18"/>
      <c r="J144" s="18"/>
      <c r="K144" s="18"/>
      <c r="L144" s="18"/>
      <c r="M144" s="18"/>
      <c r="N144" s="9"/>
      <c r="O144" s="18"/>
      <c r="P144" s="9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18"/>
      <c r="J145" s="18"/>
      <c r="K145" s="18"/>
      <c r="L145" s="18"/>
      <c r="M145" s="18"/>
      <c r="N145" s="9"/>
      <c r="O145" s="18"/>
      <c r="P145" s="9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18"/>
      <c r="J146" s="18"/>
      <c r="K146" s="18"/>
      <c r="L146" s="18"/>
      <c r="M146" s="18"/>
      <c r="N146" s="9"/>
      <c r="O146" s="18"/>
      <c r="P146" s="9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18"/>
      <c r="J147" s="18"/>
      <c r="K147" s="18"/>
      <c r="L147" s="18"/>
      <c r="M147" s="18"/>
      <c r="N147" s="9"/>
      <c r="O147" s="18"/>
      <c r="P147" s="9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18"/>
      <c r="J148" s="18"/>
      <c r="K148" s="18"/>
      <c r="L148" s="18"/>
      <c r="M148" s="18"/>
      <c r="N148" s="9"/>
      <c r="O148" s="18"/>
      <c r="P148" s="9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18"/>
      <c r="J149" s="18"/>
      <c r="K149" s="18"/>
      <c r="L149" s="18"/>
      <c r="M149" s="18"/>
      <c r="N149" s="9"/>
      <c r="O149" s="18"/>
      <c r="P149" s="9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18"/>
      <c r="J150" s="18"/>
      <c r="K150" s="18"/>
      <c r="L150" s="18"/>
      <c r="M150" s="18"/>
      <c r="N150" s="9"/>
      <c r="O150" s="18"/>
      <c r="P150" s="9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18"/>
      <c r="J151" s="18"/>
      <c r="K151" s="18"/>
      <c r="L151" s="18"/>
      <c r="M151" s="18"/>
      <c r="N151" s="9"/>
      <c r="O151" s="18"/>
      <c r="P151" s="9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18"/>
      <c r="J152" s="18"/>
      <c r="K152" s="18"/>
      <c r="L152" s="18"/>
      <c r="M152" s="18"/>
      <c r="N152" s="9"/>
      <c r="O152" s="18"/>
      <c r="P152" s="9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18"/>
      <c r="J153" s="18"/>
      <c r="K153" s="18"/>
      <c r="L153" s="18"/>
      <c r="M153" s="18"/>
      <c r="N153" s="9"/>
      <c r="O153" s="18"/>
      <c r="P153" s="9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18"/>
      <c r="J154" s="18"/>
      <c r="K154" s="18"/>
      <c r="L154" s="18"/>
      <c r="M154" s="18"/>
      <c r="N154" s="9"/>
      <c r="O154" s="18"/>
      <c r="P154" s="9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18"/>
      <c r="J155" s="18"/>
      <c r="K155" s="18"/>
      <c r="L155" s="18"/>
      <c r="M155" s="18"/>
      <c r="N155" s="9"/>
      <c r="O155" s="18"/>
      <c r="P155" s="9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18"/>
      <c r="J156" s="18"/>
      <c r="K156" s="18"/>
      <c r="L156" s="18"/>
      <c r="M156" s="18"/>
      <c r="N156" s="9"/>
      <c r="O156" s="18"/>
      <c r="P156" s="9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18"/>
      <c r="J157" s="18"/>
      <c r="K157" s="18"/>
      <c r="L157" s="18"/>
      <c r="M157" s="18"/>
      <c r="N157" s="9"/>
      <c r="O157" s="18"/>
      <c r="P157" s="9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18"/>
      <c r="J158" s="18"/>
      <c r="K158" s="18"/>
      <c r="L158" s="18"/>
      <c r="M158" s="18"/>
      <c r="N158" s="9"/>
      <c r="O158" s="18"/>
      <c r="P158" s="9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18"/>
      <c r="J159" s="18"/>
      <c r="K159" s="18"/>
      <c r="L159" s="18"/>
      <c r="M159" s="18"/>
      <c r="N159" s="9"/>
      <c r="O159" s="18"/>
      <c r="P159" s="9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18"/>
      <c r="J160" s="18"/>
      <c r="K160" s="18"/>
      <c r="L160" s="18"/>
      <c r="M160" s="18"/>
      <c r="N160" s="9"/>
      <c r="O160" s="18"/>
      <c r="P160" s="9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18"/>
      <c r="J161" s="18"/>
      <c r="K161" s="18"/>
      <c r="L161" s="18"/>
      <c r="M161" s="18"/>
      <c r="N161" s="9"/>
      <c r="O161" s="18"/>
      <c r="P161" s="9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18"/>
      <c r="J162" s="18"/>
      <c r="K162" s="18"/>
      <c r="L162" s="18"/>
      <c r="M162" s="18"/>
      <c r="N162" s="9"/>
      <c r="O162" s="18"/>
      <c r="P162" s="9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18"/>
      <c r="J163" s="18"/>
      <c r="K163" s="18"/>
      <c r="L163" s="18"/>
      <c r="M163" s="18"/>
      <c r="N163" s="9"/>
      <c r="O163" s="18"/>
      <c r="P163" s="9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18"/>
      <c r="J164" s="18"/>
      <c r="K164" s="18"/>
      <c r="L164" s="18"/>
      <c r="M164" s="18"/>
      <c r="N164" s="9"/>
      <c r="O164" s="18"/>
      <c r="P164" s="9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18"/>
      <c r="J165" s="18"/>
      <c r="K165" s="18"/>
      <c r="L165" s="18"/>
      <c r="M165" s="18"/>
      <c r="N165" s="9"/>
      <c r="O165" s="18"/>
      <c r="P165" s="9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18"/>
      <c r="J166" s="18"/>
      <c r="K166" s="18"/>
      <c r="L166" s="18"/>
      <c r="M166" s="18"/>
      <c r="N166" s="9"/>
      <c r="O166" s="18"/>
      <c r="P166" s="9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18"/>
      <c r="J167" s="18"/>
      <c r="K167" s="18"/>
      <c r="L167" s="18"/>
      <c r="M167" s="18"/>
      <c r="N167" s="9"/>
      <c r="O167" s="18"/>
      <c r="P167" s="9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18"/>
      <c r="J168" s="18"/>
      <c r="K168" s="18"/>
      <c r="L168" s="18"/>
      <c r="M168" s="18"/>
      <c r="N168" s="9"/>
      <c r="O168" s="18"/>
      <c r="P168" s="9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18"/>
      <c r="J169" s="18"/>
      <c r="K169" s="18"/>
      <c r="L169" s="18"/>
      <c r="M169" s="18"/>
      <c r="N169" s="9"/>
      <c r="O169" s="18"/>
      <c r="P169" s="9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18"/>
      <c r="J170" s="18"/>
      <c r="K170" s="18"/>
      <c r="L170" s="18"/>
      <c r="M170" s="18"/>
      <c r="N170" s="9"/>
      <c r="O170" s="18"/>
      <c r="P170" s="9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18"/>
      <c r="J171" s="18"/>
      <c r="K171" s="18"/>
      <c r="L171" s="18"/>
      <c r="M171" s="18"/>
      <c r="N171" s="9"/>
      <c r="O171" s="18"/>
      <c r="P171" s="9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18"/>
      <c r="J172" s="18"/>
      <c r="K172" s="18"/>
      <c r="L172" s="18"/>
      <c r="M172" s="18"/>
      <c r="N172" s="9"/>
      <c r="O172" s="18"/>
      <c r="P172" s="9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18"/>
      <c r="J173" s="18"/>
      <c r="K173" s="18"/>
      <c r="L173" s="18"/>
      <c r="M173" s="18"/>
      <c r="N173" s="9"/>
      <c r="O173" s="18"/>
      <c r="P173" s="9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18"/>
      <c r="J174" s="18"/>
      <c r="K174" s="18"/>
      <c r="L174" s="18"/>
      <c r="M174" s="18"/>
      <c r="N174" s="9"/>
      <c r="O174" s="18"/>
      <c r="P174" s="9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18"/>
      <c r="J175" s="18"/>
      <c r="K175" s="18"/>
      <c r="L175" s="18"/>
      <c r="M175" s="18"/>
      <c r="N175" s="9"/>
      <c r="O175" s="18"/>
      <c r="P175" s="9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18"/>
      <c r="J176" s="18"/>
      <c r="K176" s="18"/>
      <c r="L176" s="18"/>
      <c r="M176" s="18"/>
      <c r="N176" s="9"/>
      <c r="O176" s="18"/>
      <c r="P176" s="9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18"/>
      <c r="J177" s="18"/>
      <c r="K177" s="18"/>
      <c r="L177" s="18"/>
      <c r="M177" s="18"/>
      <c r="N177" s="9"/>
      <c r="O177" s="18"/>
      <c r="P177" s="9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18"/>
      <c r="J178" s="18"/>
      <c r="K178" s="18"/>
      <c r="L178" s="18"/>
      <c r="M178" s="18"/>
      <c r="N178" s="9"/>
      <c r="O178" s="18"/>
      <c r="P178" s="9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18"/>
      <c r="J179" s="18"/>
      <c r="K179" s="18"/>
      <c r="L179" s="18"/>
      <c r="M179" s="18"/>
      <c r="N179" s="9"/>
      <c r="O179" s="18"/>
      <c r="P179" s="9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18"/>
      <c r="J180" s="18"/>
      <c r="K180" s="18"/>
      <c r="L180" s="18"/>
      <c r="M180" s="18"/>
      <c r="N180" s="9"/>
      <c r="O180" s="18"/>
      <c r="P180" s="9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18"/>
      <c r="J181" s="18"/>
      <c r="K181" s="18"/>
      <c r="L181" s="18"/>
      <c r="M181" s="18"/>
      <c r="N181" s="9"/>
      <c r="O181" s="18"/>
      <c r="P181" s="9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18"/>
      <c r="J182" s="18"/>
      <c r="K182" s="18"/>
      <c r="L182" s="18"/>
      <c r="M182" s="18"/>
      <c r="N182" s="9"/>
      <c r="O182" s="18"/>
      <c r="P182" s="9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18"/>
      <c r="J183" s="18"/>
      <c r="K183" s="18"/>
      <c r="L183" s="18"/>
      <c r="M183" s="18"/>
      <c r="N183" s="9"/>
      <c r="O183" s="18"/>
      <c r="P183" s="9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18"/>
      <c r="J184" s="18"/>
      <c r="K184" s="18"/>
      <c r="L184" s="18"/>
      <c r="M184" s="18"/>
      <c r="N184" s="9"/>
      <c r="O184" s="18"/>
      <c r="P184" s="9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18"/>
      <c r="J185" s="18"/>
      <c r="K185" s="18"/>
      <c r="L185" s="18"/>
      <c r="M185" s="18"/>
      <c r="N185" s="9"/>
      <c r="O185" s="18"/>
      <c r="P185" s="9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18"/>
      <c r="J186" s="18"/>
      <c r="K186" s="18"/>
      <c r="L186" s="18"/>
      <c r="M186" s="18"/>
      <c r="N186" s="9"/>
      <c r="O186" s="18"/>
      <c r="P186" s="9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18"/>
      <c r="J187" s="18"/>
      <c r="K187" s="18"/>
      <c r="L187" s="18"/>
      <c r="M187" s="18"/>
      <c r="N187" s="9"/>
      <c r="O187" s="18"/>
      <c r="P187" s="9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61</v>
      </c>
      <c r="B1" s="2"/>
      <c r="C1" s="2"/>
      <c r="D1" s="2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62</v>
      </c>
      <c r="B3" s="26">
        <v>50000.0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63</v>
      </c>
      <c r="B4" s="26">
        <v>80000.0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64</v>
      </c>
      <c r="B5" s="27">
        <v>0.05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65</v>
      </c>
      <c r="B6" s="13">
        <v>7.0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66</v>
      </c>
      <c r="B7" s="13" t="s">
        <v>51</v>
      </c>
      <c r="C7" s="28">
        <f>switch(B7,"Bi-Weekly",26,"Semi-Monthly",24,12)</f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67</v>
      </c>
      <c r="B8" s="13">
        <f>C7*B6</f>
        <v>84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68</v>
      </c>
      <c r="B9" s="16">
        <v>43465.0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69</v>
      </c>
      <c r="B11" s="29">
        <f>-CUMIPMT(B5/C7,B8,B3,1,B8,0)</f>
        <v>9362.418102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4" t="s">
        <v>70</v>
      </c>
      <c r="F13" s="4" t="s">
        <v>71</v>
      </c>
      <c r="G13" s="4" t="s">
        <v>72</v>
      </c>
      <c r="H13" s="4" t="s">
        <v>73</v>
      </c>
      <c r="I13" s="4" t="s">
        <v>74</v>
      </c>
      <c r="J13" s="4" t="s">
        <v>62</v>
      </c>
      <c r="K13" s="4" t="s">
        <v>75</v>
      </c>
      <c r="L13" s="4" t="s">
        <v>76</v>
      </c>
      <c r="M13" s="4" t="s">
        <v>77</v>
      </c>
      <c r="N13" s="4" t="s">
        <v>78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7">
        <v>0.0</v>
      </c>
      <c r="F14" s="12">
        <f>$B$9</f>
        <v>43465</v>
      </c>
      <c r="G14" s="30">
        <v>0.0</v>
      </c>
      <c r="H14" s="31"/>
      <c r="I14" s="31"/>
      <c r="J14" s="31"/>
      <c r="K14" s="32">
        <f>B3</f>
        <v>50000</v>
      </c>
      <c r="L14" s="33">
        <f t="shared" ref="L14:L182" si="1">K14/$B$4</f>
        <v>0.625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7">
        <v>1.0</v>
      </c>
      <c r="F15" s="34">
        <f t="shared" ref="F15:F182" si="2">IFS($C$7=26,F14+14,$C$7=12,EOMONTH(F14,1),$C$7=24,IF(EOMONTH(F14,0)=F14,F14+15,EOMONTH(F14,0)))</f>
        <v>43496</v>
      </c>
      <c r="G15" s="32">
        <f t="shared" ref="G15:G182" si="3">K14</f>
        <v>50000</v>
      </c>
      <c r="H15" s="32">
        <f t="shared" ref="H15:H182" si="4">-PMT($B$5/$C$7,$B$8,$B$3)</f>
        <v>706.6954536</v>
      </c>
      <c r="I15" s="32">
        <f t="shared" ref="I15:I182" si="5">-IPMT($B$5/$C$7,E15,$B$8,$B$3)</f>
        <v>208.3333333</v>
      </c>
      <c r="J15" s="32">
        <f t="shared" ref="J15:J182" si="6">-PPMT($B$5/$C$7,E15,$B$8,$B$3)</f>
        <v>498.3621203</v>
      </c>
      <c r="K15" s="32">
        <f t="shared" ref="K15:K182" si="7">G15-J15</f>
        <v>49501.63788</v>
      </c>
      <c r="L15" s="33">
        <f t="shared" si="1"/>
        <v>0.6187704735</v>
      </c>
      <c r="M15" s="32">
        <f t="shared" ref="M15:M182" si="8">-CUMIPMT($B$5/$C$7,$B$8,$B$3,1,E15,0)</f>
        <v>208.3333333</v>
      </c>
      <c r="N15" s="35">
        <f t="shared" ref="N15:N182" si="9">-CUMPRINC($B$5/$C$7,$B$8,$B$3,1,E15,0)</f>
        <v>498.3621203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7">
        <v>2.0</v>
      </c>
      <c r="F16" s="34">
        <f t="shared" si="2"/>
        <v>43524</v>
      </c>
      <c r="G16" s="32">
        <f t="shared" si="3"/>
        <v>49501.63788</v>
      </c>
      <c r="H16" s="32">
        <f t="shared" si="4"/>
        <v>706.6954536</v>
      </c>
      <c r="I16" s="32">
        <f t="shared" si="5"/>
        <v>206.2568245</v>
      </c>
      <c r="J16" s="32">
        <f t="shared" si="6"/>
        <v>500.4386291</v>
      </c>
      <c r="K16" s="32">
        <f t="shared" si="7"/>
        <v>49001.19925</v>
      </c>
      <c r="L16" s="33">
        <f t="shared" si="1"/>
        <v>0.6125149906</v>
      </c>
      <c r="M16" s="32">
        <f t="shared" si="8"/>
        <v>414.5901578</v>
      </c>
      <c r="N16" s="35">
        <f t="shared" si="9"/>
        <v>998.8007494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7">
        <v>3.0</v>
      </c>
      <c r="F17" s="34">
        <f t="shared" si="2"/>
        <v>43555</v>
      </c>
      <c r="G17" s="32">
        <f t="shared" si="3"/>
        <v>49001.19925</v>
      </c>
      <c r="H17" s="32">
        <f t="shared" si="4"/>
        <v>706.6954536</v>
      </c>
      <c r="I17" s="32">
        <f t="shared" si="5"/>
        <v>204.1716635</v>
      </c>
      <c r="J17" s="32">
        <f t="shared" si="6"/>
        <v>502.5237901</v>
      </c>
      <c r="K17" s="32">
        <f t="shared" si="7"/>
        <v>48498.67546</v>
      </c>
      <c r="L17" s="33">
        <f t="shared" si="1"/>
        <v>0.6062334433</v>
      </c>
      <c r="M17" s="32">
        <f t="shared" si="8"/>
        <v>618.7618214</v>
      </c>
      <c r="N17" s="35">
        <f t="shared" si="9"/>
        <v>1501.324539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7">
        <v>4.0</v>
      </c>
      <c r="F18" s="34">
        <f t="shared" si="2"/>
        <v>43585</v>
      </c>
      <c r="G18" s="32">
        <f t="shared" si="3"/>
        <v>48498.67546</v>
      </c>
      <c r="H18" s="32">
        <f t="shared" si="4"/>
        <v>706.6954536</v>
      </c>
      <c r="I18" s="32">
        <f t="shared" si="5"/>
        <v>202.0778144</v>
      </c>
      <c r="J18" s="32">
        <f t="shared" si="6"/>
        <v>504.6176392</v>
      </c>
      <c r="K18" s="32">
        <f t="shared" si="7"/>
        <v>47994.05782</v>
      </c>
      <c r="L18" s="33">
        <f t="shared" si="1"/>
        <v>0.5999257228</v>
      </c>
      <c r="M18" s="32">
        <f t="shared" si="8"/>
        <v>820.8396358</v>
      </c>
      <c r="N18" s="35">
        <f t="shared" si="9"/>
        <v>2005.942179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7">
        <v>5.0</v>
      </c>
      <c r="F19" s="34">
        <f t="shared" si="2"/>
        <v>43616</v>
      </c>
      <c r="G19" s="32">
        <f t="shared" si="3"/>
        <v>47994.05782</v>
      </c>
      <c r="H19" s="32">
        <f t="shared" si="4"/>
        <v>706.6954536</v>
      </c>
      <c r="I19" s="32">
        <f t="shared" si="5"/>
        <v>199.9752409</v>
      </c>
      <c r="J19" s="32">
        <f t="shared" si="6"/>
        <v>506.7202127</v>
      </c>
      <c r="K19" s="32">
        <f t="shared" si="7"/>
        <v>47487.33761</v>
      </c>
      <c r="L19" s="33">
        <f t="shared" si="1"/>
        <v>0.5935917201</v>
      </c>
      <c r="M19" s="32">
        <f t="shared" si="8"/>
        <v>1020.814877</v>
      </c>
      <c r="N19" s="35">
        <f t="shared" si="9"/>
        <v>2512.662391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7">
        <v>6.0</v>
      </c>
      <c r="F20" s="34">
        <f t="shared" si="2"/>
        <v>43646</v>
      </c>
      <c r="G20" s="32">
        <f t="shared" si="3"/>
        <v>47487.33761</v>
      </c>
      <c r="H20" s="32">
        <f t="shared" si="4"/>
        <v>706.6954536</v>
      </c>
      <c r="I20" s="32">
        <f t="shared" si="5"/>
        <v>197.8639067</v>
      </c>
      <c r="J20" s="32">
        <f t="shared" si="6"/>
        <v>508.8315469</v>
      </c>
      <c r="K20" s="32">
        <f t="shared" si="7"/>
        <v>46978.50606</v>
      </c>
      <c r="L20" s="33">
        <f t="shared" si="1"/>
        <v>0.5872313258</v>
      </c>
      <c r="M20" s="32">
        <f t="shared" si="8"/>
        <v>1218.678783</v>
      </c>
      <c r="N20" s="35">
        <f t="shared" si="9"/>
        <v>3021.493938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7">
        <v>7.0</v>
      </c>
      <c r="F21" s="34">
        <f t="shared" si="2"/>
        <v>43677</v>
      </c>
      <c r="G21" s="32">
        <f t="shared" si="3"/>
        <v>46978.50606</v>
      </c>
      <c r="H21" s="32">
        <f t="shared" si="4"/>
        <v>706.6954536</v>
      </c>
      <c r="I21" s="32">
        <f t="shared" si="5"/>
        <v>195.7437753</v>
      </c>
      <c r="J21" s="32">
        <f t="shared" si="6"/>
        <v>510.9516783</v>
      </c>
      <c r="K21" s="32">
        <f t="shared" si="7"/>
        <v>46467.55438</v>
      </c>
      <c r="L21" s="33">
        <f t="shared" si="1"/>
        <v>0.5808444298</v>
      </c>
      <c r="M21" s="32">
        <f t="shared" si="8"/>
        <v>1414.422559</v>
      </c>
      <c r="N21" s="35">
        <f t="shared" si="9"/>
        <v>3532.445616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7">
        <v>8.0</v>
      </c>
      <c r="F22" s="34">
        <f t="shared" si="2"/>
        <v>43708</v>
      </c>
      <c r="G22" s="32">
        <f t="shared" si="3"/>
        <v>46467.55438</v>
      </c>
      <c r="H22" s="32">
        <f t="shared" si="4"/>
        <v>706.6954536</v>
      </c>
      <c r="I22" s="32">
        <f t="shared" si="5"/>
        <v>193.6148099</v>
      </c>
      <c r="J22" s="32">
        <f t="shared" si="6"/>
        <v>513.0806437</v>
      </c>
      <c r="K22" s="32">
        <f t="shared" si="7"/>
        <v>45954.47374</v>
      </c>
      <c r="L22" s="33">
        <f t="shared" si="1"/>
        <v>0.5744309217</v>
      </c>
      <c r="M22" s="32">
        <f t="shared" si="8"/>
        <v>1608.037369</v>
      </c>
      <c r="N22" s="35">
        <f t="shared" si="9"/>
        <v>4045.52626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7">
        <v>9.0</v>
      </c>
      <c r="F23" s="34">
        <f t="shared" si="2"/>
        <v>43738</v>
      </c>
      <c r="G23" s="32">
        <f t="shared" si="3"/>
        <v>45954.47374</v>
      </c>
      <c r="H23" s="32">
        <f t="shared" si="4"/>
        <v>706.6954536</v>
      </c>
      <c r="I23" s="32">
        <f t="shared" si="5"/>
        <v>191.4769739</v>
      </c>
      <c r="J23" s="32">
        <f t="shared" si="6"/>
        <v>515.2184797</v>
      </c>
      <c r="K23" s="32">
        <f t="shared" si="7"/>
        <v>45439.25526</v>
      </c>
      <c r="L23" s="33">
        <f t="shared" si="1"/>
        <v>0.5679906908</v>
      </c>
      <c r="M23" s="32">
        <f t="shared" si="8"/>
        <v>1799.514343</v>
      </c>
      <c r="N23" s="35">
        <f t="shared" si="9"/>
        <v>4560.74474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7">
        <v>10.0</v>
      </c>
      <c r="F24" s="34">
        <f t="shared" si="2"/>
        <v>43769</v>
      </c>
      <c r="G24" s="32">
        <f t="shared" si="3"/>
        <v>45439.25526</v>
      </c>
      <c r="H24" s="32">
        <f t="shared" si="4"/>
        <v>706.6954536</v>
      </c>
      <c r="I24" s="32">
        <f t="shared" si="5"/>
        <v>189.3302303</v>
      </c>
      <c r="J24" s="32">
        <f t="shared" si="6"/>
        <v>517.3652233</v>
      </c>
      <c r="K24" s="32">
        <f t="shared" si="7"/>
        <v>44921.89004</v>
      </c>
      <c r="L24" s="33">
        <f t="shared" si="1"/>
        <v>0.5615236255</v>
      </c>
      <c r="M24" s="32">
        <f t="shared" si="8"/>
        <v>1988.844573</v>
      </c>
      <c r="N24" s="35">
        <f t="shared" si="9"/>
        <v>5078.109963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7">
        <v>11.0</v>
      </c>
      <c r="F25" s="34">
        <f t="shared" si="2"/>
        <v>43799</v>
      </c>
      <c r="G25" s="32">
        <f t="shared" si="3"/>
        <v>44921.89004</v>
      </c>
      <c r="H25" s="32">
        <f t="shared" si="4"/>
        <v>706.6954536</v>
      </c>
      <c r="I25" s="32">
        <f t="shared" si="5"/>
        <v>187.1745418</v>
      </c>
      <c r="J25" s="32">
        <f t="shared" si="6"/>
        <v>519.5209118</v>
      </c>
      <c r="K25" s="32">
        <f t="shared" si="7"/>
        <v>44402.36913</v>
      </c>
      <c r="L25" s="33">
        <f t="shared" si="1"/>
        <v>0.5550296141</v>
      </c>
      <c r="M25" s="32">
        <f t="shared" si="8"/>
        <v>2176.019115</v>
      </c>
      <c r="N25" s="35">
        <f t="shared" si="9"/>
        <v>5597.630875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7">
        <v>12.0</v>
      </c>
      <c r="F26" s="34">
        <f t="shared" si="2"/>
        <v>43830</v>
      </c>
      <c r="G26" s="32">
        <f t="shared" si="3"/>
        <v>44402.36913</v>
      </c>
      <c r="H26" s="32">
        <f t="shared" si="4"/>
        <v>706.6954536</v>
      </c>
      <c r="I26" s="32">
        <f t="shared" si="5"/>
        <v>185.0098714</v>
      </c>
      <c r="J26" s="32">
        <f t="shared" si="6"/>
        <v>521.6855822</v>
      </c>
      <c r="K26" s="32">
        <f t="shared" si="7"/>
        <v>43880.68354</v>
      </c>
      <c r="L26" s="33">
        <f t="shared" si="1"/>
        <v>0.5485085443</v>
      </c>
      <c r="M26" s="32">
        <f t="shared" si="8"/>
        <v>2361.028986</v>
      </c>
      <c r="N26" s="35">
        <f t="shared" si="9"/>
        <v>6119.316457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7">
        <v>13.0</v>
      </c>
      <c r="F27" s="34">
        <f t="shared" si="2"/>
        <v>43861</v>
      </c>
      <c r="G27" s="32">
        <f t="shared" si="3"/>
        <v>43880.68354</v>
      </c>
      <c r="H27" s="32">
        <f t="shared" si="4"/>
        <v>706.6954536</v>
      </c>
      <c r="I27" s="32">
        <f t="shared" si="5"/>
        <v>182.8361814</v>
      </c>
      <c r="J27" s="32">
        <f t="shared" si="6"/>
        <v>523.8592722</v>
      </c>
      <c r="K27" s="32">
        <f t="shared" si="7"/>
        <v>43356.82427</v>
      </c>
      <c r="L27" s="33">
        <f t="shared" si="1"/>
        <v>0.5419603034</v>
      </c>
      <c r="M27" s="32">
        <f t="shared" si="8"/>
        <v>2543.865167</v>
      </c>
      <c r="N27" s="35">
        <f t="shared" si="9"/>
        <v>6643.175729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7">
        <v>14.0</v>
      </c>
      <c r="F28" s="34">
        <f t="shared" si="2"/>
        <v>43890</v>
      </c>
      <c r="G28" s="32">
        <f t="shared" si="3"/>
        <v>43356.82427</v>
      </c>
      <c r="H28" s="32">
        <f t="shared" si="4"/>
        <v>706.6954536</v>
      </c>
      <c r="I28" s="32">
        <f t="shared" si="5"/>
        <v>180.6534345</v>
      </c>
      <c r="J28" s="32">
        <f t="shared" si="6"/>
        <v>526.0420191</v>
      </c>
      <c r="K28" s="32">
        <f t="shared" si="7"/>
        <v>42830.78225</v>
      </c>
      <c r="L28" s="33">
        <f t="shared" si="1"/>
        <v>0.5353847781</v>
      </c>
      <c r="M28" s="32">
        <f t="shared" si="8"/>
        <v>2724.518602</v>
      </c>
      <c r="N28" s="35">
        <f t="shared" si="9"/>
        <v>7169.217748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7">
        <v>15.0</v>
      </c>
      <c r="F29" s="34">
        <f t="shared" si="2"/>
        <v>43921</v>
      </c>
      <c r="G29" s="32">
        <f t="shared" si="3"/>
        <v>42830.78225</v>
      </c>
      <c r="H29" s="32">
        <f t="shared" si="4"/>
        <v>706.6954536</v>
      </c>
      <c r="I29" s="32">
        <f t="shared" si="5"/>
        <v>178.4615927</v>
      </c>
      <c r="J29" s="32">
        <f t="shared" si="6"/>
        <v>528.2338609</v>
      </c>
      <c r="K29" s="32">
        <f t="shared" si="7"/>
        <v>42302.54839</v>
      </c>
      <c r="L29" s="33">
        <f t="shared" si="1"/>
        <v>0.5287818549</v>
      </c>
      <c r="M29" s="32">
        <f t="shared" si="8"/>
        <v>2902.980195</v>
      </c>
      <c r="N29" s="35">
        <f t="shared" si="9"/>
        <v>7697.451609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7">
        <v>16.0</v>
      </c>
      <c r="F30" s="34">
        <f t="shared" si="2"/>
        <v>43951</v>
      </c>
      <c r="G30" s="32">
        <f t="shared" si="3"/>
        <v>42302.54839</v>
      </c>
      <c r="H30" s="32">
        <f t="shared" si="4"/>
        <v>706.6954536</v>
      </c>
      <c r="I30" s="32">
        <f t="shared" si="5"/>
        <v>176.2606183</v>
      </c>
      <c r="J30" s="32">
        <f t="shared" si="6"/>
        <v>530.4348353</v>
      </c>
      <c r="K30" s="32">
        <f t="shared" si="7"/>
        <v>41772.11356</v>
      </c>
      <c r="L30" s="33">
        <f t="shared" si="1"/>
        <v>0.5221514194</v>
      </c>
      <c r="M30" s="32">
        <f t="shared" si="8"/>
        <v>3079.240813</v>
      </c>
      <c r="N30" s="35">
        <f t="shared" si="9"/>
        <v>8227.886445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7">
        <v>17.0</v>
      </c>
      <c r="F31" s="34">
        <f t="shared" si="2"/>
        <v>43982</v>
      </c>
      <c r="G31" s="32">
        <f t="shared" si="3"/>
        <v>41772.11356</v>
      </c>
      <c r="H31" s="32">
        <f t="shared" si="4"/>
        <v>706.6954536</v>
      </c>
      <c r="I31" s="32">
        <f t="shared" si="5"/>
        <v>174.0504731</v>
      </c>
      <c r="J31" s="32">
        <f t="shared" si="6"/>
        <v>532.6449804</v>
      </c>
      <c r="K31" s="32">
        <f t="shared" si="7"/>
        <v>41239.46857</v>
      </c>
      <c r="L31" s="33">
        <f t="shared" si="1"/>
        <v>0.5154933572</v>
      </c>
      <c r="M31" s="32">
        <f t="shared" si="8"/>
        <v>3253.291286</v>
      </c>
      <c r="N31" s="35">
        <f t="shared" si="9"/>
        <v>8760.531425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7">
        <v>18.0</v>
      </c>
      <c r="F32" s="34">
        <f t="shared" si="2"/>
        <v>44012</v>
      </c>
      <c r="G32" s="32">
        <f t="shared" si="3"/>
        <v>41239.46857</v>
      </c>
      <c r="H32" s="32">
        <f t="shared" si="4"/>
        <v>706.6954536</v>
      </c>
      <c r="I32" s="32">
        <f t="shared" si="5"/>
        <v>171.8311191</v>
      </c>
      <c r="J32" s="32">
        <f t="shared" si="6"/>
        <v>534.8643345</v>
      </c>
      <c r="K32" s="32">
        <f t="shared" si="7"/>
        <v>40704.60424</v>
      </c>
      <c r="L32" s="33">
        <f t="shared" si="1"/>
        <v>0.508807553</v>
      </c>
      <c r="M32" s="32">
        <f t="shared" si="8"/>
        <v>3425.122405</v>
      </c>
      <c r="N32" s="35">
        <f t="shared" si="9"/>
        <v>9295.39576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7">
        <v>19.0</v>
      </c>
      <c r="F33" s="34">
        <f t="shared" si="2"/>
        <v>44043</v>
      </c>
      <c r="G33" s="32">
        <f t="shared" si="3"/>
        <v>40704.60424</v>
      </c>
      <c r="H33" s="32">
        <f t="shared" si="4"/>
        <v>706.6954536</v>
      </c>
      <c r="I33" s="32">
        <f t="shared" si="5"/>
        <v>169.6025177</v>
      </c>
      <c r="J33" s="32">
        <f t="shared" si="6"/>
        <v>537.0929359</v>
      </c>
      <c r="K33" s="32">
        <f t="shared" si="7"/>
        <v>40167.5113</v>
      </c>
      <c r="L33" s="33">
        <f t="shared" si="1"/>
        <v>0.5020938913</v>
      </c>
      <c r="M33" s="32">
        <f t="shared" si="8"/>
        <v>3594.724923</v>
      </c>
      <c r="N33" s="35">
        <f t="shared" si="9"/>
        <v>9832.488696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7">
        <v>20.0</v>
      </c>
      <c r="F34" s="34">
        <f t="shared" si="2"/>
        <v>44074</v>
      </c>
      <c r="G34" s="32">
        <f t="shared" si="3"/>
        <v>40167.5113</v>
      </c>
      <c r="H34" s="32">
        <f t="shared" si="4"/>
        <v>706.6954536</v>
      </c>
      <c r="I34" s="32">
        <f t="shared" si="5"/>
        <v>167.3646304</v>
      </c>
      <c r="J34" s="32">
        <f t="shared" si="6"/>
        <v>539.3308232</v>
      </c>
      <c r="K34" s="32">
        <f t="shared" si="7"/>
        <v>39628.18048</v>
      </c>
      <c r="L34" s="33">
        <f t="shared" si="1"/>
        <v>0.495352256</v>
      </c>
      <c r="M34" s="32">
        <f t="shared" si="8"/>
        <v>3762.089553</v>
      </c>
      <c r="N34" s="35">
        <f t="shared" si="9"/>
        <v>10371.81952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7">
        <v>21.0</v>
      </c>
      <c r="F35" s="34">
        <f t="shared" si="2"/>
        <v>44104</v>
      </c>
      <c r="G35" s="32">
        <f t="shared" si="3"/>
        <v>39628.18048</v>
      </c>
      <c r="H35" s="32">
        <f t="shared" si="4"/>
        <v>706.6954536</v>
      </c>
      <c r="I35" s="32">
        <f t="shared" si="5"/>
        <v>165.1174187</v>
      </c>
      <c r="J35" s="32">
        <f t="shared" si="6"/>
        <v>541.5780349</v>
      </c>
      <c r="K35" s="32">
        <f t="shared" si="7"/>
        <v>39086.60245</v>
      </c>
      <c r="L35" s="33">
        <f t="shared" si="1"/>
        <v>0.4885825306</v>
      </c>
      <c r="M35" s="32">
        <f t="shared" si="8"/>
        <v>3927.206972</v>
      </c>
      <c r="N35" s="35">
        <f t="shared" si="9"/>
        <v>10913.39755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7">
        <v>22.0</v>
      </c>
      <c r="F36" s="34">
        <f t="shared" si="2"/>
        <v>44135</v>
      </c>
      <c r="G36" s="32">
        <f t="shared" si="3"/>
        <v>39086.60245</v>
      </c>
      <c r="H36" s="32">
        <f t="shared" si="4"/>
        <v>706.6954536</v>
      </c>
      <c r="I36" s="32">
        <f t="shared" si="5"/>
        <v>162.8608435</v>
      </c>
      <c r="J36" s="32">
        <f t="shared" si="6"/>
        <v>543.8346101</v>
      </c>
      <c r="K36" s="32">
        <f t="shared" si="7"/>
        <v>38542.76784</v>
      </c>
      <c r="L36" s="33">
        <f t="shared" si="1"/>
        <v>0.481784598</v>
      </c>
      <c r="M36" s="32">
        <f t="shared" si="8"/>
        <v>4090.067815</v>
      </c>
      <c r="N36" s="35">
        <f t="shared" si="9"/>
        <v>11457.23216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7">
        <v>23.0</v>
      </c>
      <c r="F37" s="34">
        <f t="shared" si="2"/>
        <v>44165</v>
      </c>
      <c r="G37" s="32">
        <f t="shared" si="3"/>
        <v>38542.76784</v>
      </c>
      <c r="H37" s="32">
        <f t="shared" si="4"/>
        <v>706.6954536</v>
      </c>
      <c r="I37" s="32">
        <f t="shared" si="5"/>
        <v>160.594866</v>
      </c>
      <c r="J37" s="32">
        <f t="shared" si="6"/>
        <v>546.1005876</v>
      </c>
      <c r="K37" s="32">
        <f t="shared" si="7"/>
        <v>37996.66725</v>
      </c>
      <c r="L37" s="33">
        <f t="shared" si="1"/>
        <v>0.4749583406</v>
      </c>
      <c r="M37" s="32">
        <f t="shared" si="8"/>
        <v>4250.662681</v>
      </c>
      <c r="N37" s="35">
        <f t="shared" si="9"/>
        <v>12003.33275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7">
        <v>24.0</v>
      </c>
      <c r="F38" s="34">
        <f t="shared" si="2"/>
        <v>44196</v>
      </c>
      <c r="G38" s="32">
        <f t="shared" si="3"/>
        <v>37996.66725</v>
      </c>
      <c r="H38" s="32">
        <f t="shared" si="4"/>
        <v>706.6954536</v>
      </c>
      <c r="I38" s="32">
        <f t="shared" si="5"/>
        <v>158.3194469</v>
      </c>
      <c r="J38" s="32">
        <f t="shared" si="6"/>
        <v>548.3760067</v>
      </c>
      <c r="K38" s="32">
        <f t="shared" si="7"/>
        <v>37448.29124</v>
      </c>
      <c r="L38" s="33">
        <f t="shared" si="1"/>
        <v>0.4681036405</v>
      </c>
      <c r="M38" s="32">
        <f t="shared" si="8"/>
        <v>4408.982128</v>
      </c>
      <c r="N38" s="35">
        <f t="shared" si="9"/>
        <v>12551.70876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7">
        <v>25.0</v>
      </c>
      <c r="F39" s="34">
        <f t="shared" si="2"/>
        <v>44227</v>
      </c>
      <c r="G39" s="32">
        <f t="shared" si="3"/>
        <v>37448.29124</v>
      </c>
      <c r="H39" s="32">
        <f t="shared" si="4"/>
        <v>706.6954536</v>
      </c>
      <c r="I39" s="32">
        <f t="shared" si="5"/>
        <v>156.0345468</v>
      </c>
      <c r="J39" s="32">
        <f t="shared" si="6"/>
        <v>550.6609068</v>
      </c>
      <c r="K39" s="32">
        <f t="shared" si="7"/>
        <v>36897.63034</v>
      </c>
      <c r="L39" s="33">
        <f t="shared" si="1"/>
        <v>0.4612203792</v>
      </c>
      <c r="M39" s="32">
        <f t="shared" si="8"/>
        <v>4565.016675</v>
      </c>
      <c r="N39" s="35">
        <f t="shared" si="9"/>
        <v>13102.36966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7">
        <v>26.0</v>
      </c>
      <c r="F40" s="34">
        <f t="shared" si="2"/>
        <v>44255</v>
      </c>
      <c r="G40" s="32">
        <f t="shared" si="3"/>
        <v>36897.63034</v>
      </c>
      <c r="H40" s="32">
        <f t="shared" si="4"/>
        <v>706.6954536</v>
      </c>
      <c r="I40" s="32">
        <f t="shared" si="5"/>
        <v>153.7401264</v>
      </c>
      <c r="J40" s="32">
        <f t="shared" si="6"/>
        <v>552.9553272</v>
      </c>
      <c r="K40" s="32">
        <f t="shared" si="7"/>
        <v>36344.67501</v>
      </c>
      <c r="L40" s="33">
        <f t="shared" si="1"/>
        <v>0.4543084376</v>
      </c>
      <c r="M40" s="32">
        <f t="shared" si="8"/>
        <v>4718.756801</v>
      </c>
      <c r="N40" s="35">
        <f t="shared" si="9"/>
        <v>13655.32499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7">
        <v>27.0</v>
      </c>
      <c r="F41" s="34">
        <f t="shared" si="2"/>
        <v>44286</v>
      </c>
      <c r="G41" s="32">
        <f t="shared" si="3"/>
        <v>36344.67501</v>
      </c>
      <c r="H41" s="32">
        <f t="shared" si="4"/>
        <v>706.6954536</v>
      </c>
      <c r="I41" s="32">
        <f t="shared" si="5"/>
        <v>151.4361459</v>
      </c>
      <c r="J41" s="32">
        <f t="shared" si="6"/>
        <v>555.2593077</v>
      </c>
      <c r="K41" s="32">
        <f t="shared" si="7"/>
        <v>35789.4157</v>
      </c>
      <c r="L41" s="33">
        <f t="shared" si="1"/>
        <v>0.4473676963</v>
      </c>
      <c r="M41" s="32">
        <f t="shared" si="8"/>
        <v>4870.192947</v>
      </c>
      <c r="N41" s="35">
        <f t="shared" si="9"/>
        <v>14210.5843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7">
        <v>28.0</v>
      </c>
      <c r="F42" s="34">
        <f t="shared" si="2"/>
        <v>44316</v>
      </c>
      <c r="G42" s="32">
        <f t="shared" si="3"/>
        <v>35789.4157</v>
      </c>
      <c r="H42" s="32">
        <f t="shared" si="4"/>
        <v>706.6954536</v>
      </c>
      <c r="I42" s="32">
        <f t="shared" si="5"/>
        <v>149.1225654</v>
      </c>
      <c r="J42" s="32">
        <f t="shared" si="6"/>
        <v>557.5728882</v>
      </c>
      <c r="K42" s="32">
        <f t="shared" si="7"/>
        <v>35231.84281</v>
      </c>
      <c r="L42" s="33">
        <f t="shared" si="1"/>
        <v>0.4403980352</v>
      </c>
      <c r="M42" s="32">
        <f t="shared" si="8"/>
        <v>5019.315513</v>
      </c>
      <c r="N42" s="35">
        <f t="shared" si="9"/>
        <v>14768.15719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7">
        <v>29.0</v>
      </c>
      <c r="F43" s="34">
        <f t="shared" si="2"/>
        <v>44347</v>
      </c>
      <c r="G43" s="32">
        <f t="shared" si="3"/>
        <v>35231.84281</v>
      </c>
      <c r="H43" s="32">
        <f t="shared" si="4"/>
        <v>706.6954536</v>
      </c>
      <c r="I43" s="32">
        <f t="shared" si="5"/>
        <v>146.7993451</v>
      </c>
      <c r="J43" s="32">
        <f t="shared" si="6"/>
        <v>559.8961085</v>
      </c>
      <c r="K43" s="32">
        <f t="shared" si="7"/>
        <v>34671.9467</v>
      </c>
      <c r="L43" s="33">
        <f t="shared" si="1"/>
        <v>0.4333993338</v>
      </c>
      <c r="M43" s="32">
        <f t="shared" si="8"/>
        <v>5166.114858</v>
      </c>
      <c r="N43" s="35">
        <f t="shared" si="9"/>
        <v>15328.0533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7">
        <v>30.0</v>
      </c>
      <c r="F44" s="34">
        <f t="shared" si="2"/>
        <v>44377</v>
      </c>
      <c r="G44" s="32">
        <f t="shared" si="3"/>
        <v>34671.9467</v>
      </c>
      <c r="H44" s="32">
        <f t="shared" si="4"/>
        <v>706.6954536</v>
      </c>
      <c r="I44" s="32">
        <f t="shared" si="5"/>
        <v>144.4664446</v>
      </c>
      <c r="J44" s="32">
        <f t="shared" si="6"/>
        <v>562.229009</v>
      </c>
      <c r="K44" s="32">
        <f t="shared" si="7"/>
        <v>34109.71769</v>
      </c>
      <c r="L44" s="33">
        <f t="shared" si="1"/>
        <v>0.4263714712</v>
      </c>
      <c r="M44" s="32">
        <f t="shared" si="8"/>
        <v>5310.581302</v>
      </c>
      <c r="N44" s="35">
        <f t="shared" si="9"/>
        <v>15890.28231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7">
        <v>31.0</v>
      </c>
      <c r="F45" s="34">
        <f t="shared" si="2"/>
        <v>44408</v>
      </c>
      <c r="G45" s="32">
        <f t="shared" si="3"/>
        <v>34109.71769</v>
      </c>
      <c r="H45" s="32">
        <f t="shared" si="4"/>
        <v>706.6954536</v>
      </c>
      <c r="I45" s="32">
        <f t="shared" si="5"/>
        <v>142.1238237</v>
      </c>
      <c r="J45" s="32">
        <f t="shared" si="6"/>
        <v>564.5716299</v>
      </c>
      <c r="K45" s="32">
        <f t="shared" si="7"/>
        <v>33545.14606</v>
      </c>
      <c r="L45" s="33">
        <f t="shared" si="1"/>
        <v>0.4193143258</v>
      </c>
      <c r="M45" s="32">
        <f t="shared" si="8"/>
        <v>5452.705126</v>
      </c>
      <c r="N45" s="35">
        <f t="shared" si="9"/>
        <v>16454.85394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7">
        <v>32.0</v>
      </c>
      <c r="F46" s="34">
        <f t="shared" si="2"/>
        <v>44439</v>
      </c>
      <c r="G46" s="32">
        <f t="shared" si="3"/>
        <v>33545.14606</v>
      </c>
      <c r="H46" s="32">
        <f t="shared" si="4"/>
        <v>706.6954536</v>
      </c>
      <c r="I46" s="32">
        <f t="shared" si="5"/>
        <v>139.7714419</v>
      </c>
      <c r="J46" s="32">
        <f t="shared" si="6"/>
        <v>566.9240117</v>
      </c>
      <c r="K46" s="32">
        <f t="shared" si="7"/>
        <v>32978.22205</v>
      </c>
      <c r="L46" s="33">
        <f t="shared" si="1"/>
        <v>0.4122277757</v>
      </c>
      <c r="M46" s="32">
        <f t="shared" si="8"/>
        <v>5592.476568</v>
      </c>
      <c r="N46" s="35">
        <f t="shared" si="9"/>
        <v>17021.77795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7">
        <v>33.0</v>
      </c>
      <c r="F47" s="34">
        <f t="shared" si="2"/>
        <v>44469</v>
      </c>
      <c r="G47" s="32">
        <f t="shared" si="3"/>
        <v>32978.22205</v>
      </c>
      <c r="H47" s="32">
        <f t="shared" si="4"/>
        <v>706.6954536</v>
      </c>
      <c r="I47" s="32">
        <f t="shared" si="5"/>
        <v>137.4092586</v>
      </c>
      <c r="J47" s="32">
        <f t="shared" si="6"/>
        <v>569.286195</v>
      </c>
      <c r="K47" s="32">
        <f t="shared" si="7"/>
        <v>32408.93586</v>
      </c>
      <c r="L47" s="33">
        <f t="shared" si="1"/>
        <v>0.4051116982</v>
      </c>
      <c r="M47" s="32">
        <f t="shared" si="8"/>
        <v>5729.885827</v>
      </c>
      <c r="N47" s="35">
        <f t="shared" si="9"/>
        <v>17591.06414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7">
        <v>34.0</v>
      </c>
      <c r="F48" s="34">
        <f t="shared" si="2"/>
        <v>44500</v>
      </c>
      <c r="G48" s="32">
        <f t="shared" si="3"/>
        <v>32408.93586</v>
      </c>
      <c r="H48" s="32">
        <f t="shared" si="4"/>
        <v>706.6954536</v>
      </c>
      <c r="I48" s="32">
        <f t="shared" si="5"/>
        <v>135.0372327</v>
      </c>
      <c r="J48" s="32">
        <f t="shared" si="6"/>
        <v>571.6582209</v>
      </c>
      <c r="K48" s="32">
        <f t="shared" si="7"/>
        <v>31837.27764</v>
      </c>
      <c r="L48" s="33">
        <f t="shared" si="1"/>
        <v>0.3979659705</v>
      </c>
      <c r="M48" s="32">
        <f t="shared" si="8"/>
        <v>5864.923059</v>
      </c>
      <c r="N48" s="35">
        <f t="shared" si="9"/>
        <v>18162.72236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7">
        <v>35.0</v>
      </c>
      <c r="F49" s="34">
        <f t="shared" si="2"/>
        <v>44530</v>
      </c>
      <c r="G49" s="32">
        <f t="shared" si="3"/>
        <v>31837.27764</v>
      </c>
      <c r="H49" s="32">
        <f t="shared" si="4"/>
        <v>706.6954536</v>
      </c>
      <c r="I49" s="32">
        <f t="shared" si="5"/>
        <v>132.6553235</v>
      </c>
      <c r="J49" s="32">
        <f t="shared" si="6"/>
        <v>574.0401301</v>
      </c>
      <c r="K49" s="32">
        <f t="shared" si="7"/>
        <v>31263.23751</v>
      </c>
      <c r="L49" s="33">
        <f t="shared" si="1"/>
        <v>0.3907904688</v>
      </c>
      <c r="M49" s="32">
        <f t="shared" si="8"/>
        <v>5997.578383</v>
      </c>
      <c r="N49" s="35">
        <f t="shared" si="9"/>
        <v>18736.76249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7">
        <v>36.0</v>
      </c>
      <c r="F50" s="34">
        <f t="shared" si="2"/>
        <v>44561</v>
      </c>
      <c r="G50" s="32">
        <f t="shared" si="3"/>
        <v>31263.23751</v>
      </c>
      <c r="H50" s="32">
        <f t="shared" si="4"/>
        <v>706.6954536</v>
      </c>
      <c r="I50" s="32">
        <f t="shared" si="5"/>
        <v>130.2634896</v>
      </c>
      <c r="J50" s="32">
        <f t="shared" si="6"/>
        <v>576.431964</v>
      </c>
      <c r="K50" s="32">
        <f t="shared" si="7"/>
        <v>30686.80554</v>
      </c>
      <c r="L50" s="33">
        <f t="shared" si="1"/>
        <v>0.3835850693</v>
      </c>
      <c r="M50" s="32">
        <f t="shared" si="8"/>
        <v>6127.841872</v>
      </c>
      <c r="N50" s="35">
        <f t="shared" si="9"/>
        <v>19313.19446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7">
        <v>37.0</v>
      </c>
      <c r="F51" s="34">
        <f t="shared" si="2"/>
        <v>44592</v>
      </c>
      <c r="G51" s="32">
        <f t="shared" si="3"/>
        <v>30686.80554</v>
      </c>
      <c r="H51" s="32">
        <f t="shared" si="4"/>
        <v>706.6954536</v>
      </c>
      <c r="I51" s="32">
        <f t="shared" si="5"/>
        <v>127.8616898</v>
      </c>
      <c r="J51" s="32">
        <f t="shared" si="6"/>
        <v>578.8337638</v>
      </c>
      <c r="K51" s="32">
        <f t="shared" si="7"/>
        <v>30107.97178</v>
      </c>
      <c r="L51" s="33">
        <f t="shared" si="1"/>
        <v>0.3763496472</v>
      </c>
      <c r="M51" s="32">
        <f t="shared" si="8"/>
        <v>6255.703562</v>
      </c>
      <c r="N51" s="35">
        <f t="shared" si="9"/>
        <v>19892.02822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7">
        <v>38.0</v>
      </c>
      <c r="F52" s="34">
        <f t="shared" si="2"/>
        <v>44620</v>
      </c>
      <c r="G52" s="32">
        <f t="shared" si="3"/>
        <v>30107.97178</v>
      </c>
      <c r="H52" s="32">
        <f t="shared" si="4"/>
        <v>706.6954536</v>
      </c>
      <c r="I52" s="32">
        <f t="shared" si="5"/>
        <v>125.4498824</v>
      </c>
      <c r="J52" s="32">
        <f t="shared" si="6"/>
        <v>581.2455712</v>
      </c>
      <c r="K52" s="32">
        <f t="shared" si="7"/>
        <v>29526.72621</v>
      </c>
      <c r="L52" s="33">
        <f t="shared" si="1"/>
        <v>0.3690840776</v>
      </c>
      <c r="M52" s="32">
        <f t="shared" si="8"/>
        <v>6381.153445</v>
      </c>
      <c r="N52" s="35">
        <f t="shared" si="9"/>
        <v>20473.27379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7">
        <v>39.0</v>
      </c>
      <c r="F53" s="34">
        <f t="shared" si="2"/>
        <v>44651</v>
      </c>
      <c r="G53" s="32">
        <f t="shared" si="3"/>
        <v>29526.72621</v>
      </c>
      <c r="H53" s="32">
        <f t="shared" si="4"/>
        <v>706.6954536</v>
      </c>
      <c r="I53" s="32">
        <f t="shared" si="5"/>
        <v>123.0280259</v>
      </c>
      <c r="J53" s="32">
        <f t="shared" si="6"/>
        <v>583.6674277</v>
      </c>
      <c r="K53" s="32">
        <f t="shared" si="7"/>
        <v>28943.05878</v>
      </c>
      <c r="L53" s="33">
        <f t="shared" si="1"/>
        <v>0.3617882348</v>
      </c>
      <c r="M53" s="32">
        <f t="shared" si="8"/>
        <v>6504.18147</v>
      </c>
      <c r="N53" s="35">
        <f t="shared" si="9"/>
        <v>21056.94122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7">
        <v>40.0</v>
      </c>
      <c r="F54" s="34">
        <f t="shared" si="2"/>
        <v>44681</v>
      </c>
      <c r="G54" s="32">
        <f t="shared" si="3"/>
        <v>28943.05878</v>
      </c>
      <c r="H54" s="32">
        <f t="shared" si="4"/>
        <v>706.6954536</v>
      </c>
      <c r="I54" s="32">
        <f t="shared" si="5"/>
        <v>120.5960783</v>
      </c>
      <c r="J54" s="32">
        <f t="shared" si="6"/>
        <v>586.0993753</v>
      </c>
      <c r="K54" s="32">
        <f t="shared" si="7"/>
        <v>28356.9594</v>
      </c>
      <c r="L54" s="33">
        <f t="shared" si="1"/>
        <v>0.3544619926</v>
      </c>
      <c r="M54" s="32">
        <f t="shared" si="8"/>
        <v>6624.777549</v>
      </c>
      <c r="N54" s="35">
        <f t="shared" si="9"/>
        <v>21643.0406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7">
        <v>41.0</v>
      </c>
      <c r="F55" s="34">
        <f t="shared" si="2"/>
        <v>44712</v>
      </c>
      <c r="G55" s="32">
        <f t="shared" si="3"/>
        <v>28356.9594</v>
      </c>
      <c r="H55" s="32">
        <f t="shared" si="4"/>
        <v>706.6954536</v>
      </c>
      <c r="I55" s="32">
        <f t="shared" si="5"/>
        <v>118.1539975</v>
      </c>
      <c r="J55" s="32">
        <f t="shared" si="6"/>
        <v>588.5414561</v>
      </c>
      <c r="K55" s="32">
        <f t="shared" si="7"/>
        <v>27768.41795</v>
      </c>
      <c r="L55" s="33">
        <f t="shared" si="1"/>
        <v>0.3471052244</v>
      </c>
      <c r="M55" s="32">
        <f t="shared" si="8"/>
        <v>6742.931546</v>
      </c>
      <c r="N55" s="35">
        <f t="shared" si="9"/>
        <v>22231.58205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7">
        <v>42.0</v>
      </c>
      <c r="F56" s="34">
        <f t="shared" si="2"/>
        <v>44742</v>
      </c>
      <c r="G56" s="32">
        <f t="shared" si="3"/>
        <v>27768.41795</v>
      </c>
      <c r="H56" s="32">
        <f t="shared" si="4"/>
        <v>706.6954536</v>
      </c>
      <c r="I56" s="32">
        <f t="shared" si="5"/>
        <v>115.7017415</v>
      </c>
      <c r="J56" s="32">
        <f t="shared" si="6"/>
        <v>590.9937121</v>
      </c>
      <c r="K56" s="32">
        <f t="shared" si="7"/>
        <v>27177.42424</v>
      </c>
      <c r="L56" s="33">
        <f t="shared" si="1"/>
        <v>0.339717803</v>
      </c>
      <c r="M56" s="32">
        <f t="shared" si="8"/>
        <v>6858.633288</v>
      </c>
      <c r="N56" s="35">
        <f t="shared" si="9"/>
        <v>22822.57576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7">
        <v>43.0</v>
      </c>
      <c r="F57" s="34">
        <f t="shared" si="2"/>
        <v>44773</v>
      </c>
      <c r="G57" s="32">
        <f t="shared" si="3"/>
        <v>27177.42424</v>
      </c>
      <c r="H57" s="32">
        <f t="shared" si="4"/>
        <v>706.6954536</v>
      </c>
      <c r="I57" s="32">
        <f t="shared" si="5"/>
        <v>113.2392677</v>
      </c>
      <c r="J57" s="32">
        <f t="shared" si="6"/>
        <v>593.4561859</v>
      </c>
      <c r="K57" s="32">
        <f t="shared" si="7"/>
        <v>26583.96805</v>
      </c>
      <c r="L57" s="33">
        <f t="shared" si="1"/>
        <v>0.3322996006</v>
      </c>
      <c r="M57" s="32">
        <f t="shared" si="8"/>
        <v>6971.872555</v>
      </c>
      <c r="N57" s="35">
        <f t="shared" si="9"/>
        <v>23416.03195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7">
        <v>44.0</v>
      </c>
      <c r="F58" s="34">
        <f t="shared" si="2"/>
        <v>44804</v>
      </c>
      <c r="G58" s="32">
        <f t="shared" si="3"/>
        <v>26583.96805</v>
      </c>
      <c r="H58" s="32">
        <f t="shared" si="4"/>
        <v>706.6954536</v>
      </c>
      <c r="I58" s="32">
        <f t="shared" si="5"/>
        <v>110.7665335</v>
      </c>
      <c r="J58" s="32">
        <f t="shared" si="6"/>
        <v>595.9289201</v>
      </c>
      <c r="K58" s="32">
        <f t="shared" si="7"/>
        <v>25988.03913</v>
      </c>
      <c r="L58" s="33">
        <f t="shared" si="1"/>
        <v>0.3248504891</v>
      </c>
      <c r="M58" s="32">
        <f t="shared" si="8"/>
        <v>7082.639089</v>
      </c>
      <c r="N58" s="35">
        <f t="shared" si="9"/>
        <v>24011.96087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7">
        <v>45.0</v>
      </c>
      <c r="F59" s="34">
        <f t="shared" si="2"/>
        <v>44834</v>
      </c>
      <c r="G59" s="32">
        <f t="shared" si="3"/>
        <v>25988.03913</v>
      </c>
      <c r="H59" s="32">
        <f t="shared" si="4"/>
        <v>706.6954536</v>
      </c>
      <c r="I59" s="32">
        <f t="shared" si="5"/>
        <v>108.2834964</v>
      </c>
      <c r="J59" s="32">
        <f t="shared" si="6"/>
        <v>598.4119572</v>
      </c>
      <c r="K59" s="32">
        <f t="shared" si="7"/>
        <v>25389.62717</v>
      </c>
      <c r="L59" s="33">
        <f t="shared" si="1"/>
        <v>0.3173703397</v>
      </c>
      <c r="M59" s="32">
        <f t="shared" si="8"/>
        <v>7190.922585</v>
      </c>
      <c r="N59" s="35">
        <f t="shared" si="9"/>
        <v>24610.37283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7">
        <v>46.0</v>
      </c>
      <c r="F60" s="34">
        <f t="shared" si="2"/>
        <v>44865</v>
      </c>
      <c r="G60" s="32">
        <f t="shared" si="3"/>
        <v>25389.62717</v>
      </c>
      <c r="H60" s="32">
        <f t="shared" si="4"/>
        <v>706.6954536</v>
      </c>
      <c r="I60" s="32">
        <f t="shared" si="5"/>
        <v>105.7901132</v>
      </c>
      <c r="J60" s="32">
        <f t="shared" si="6"/>
        <v>600.9053404</v>
      </c>
      <c r="K60" s="32">
        <f t="shared" si="7"/>
        <v>24788.72183</v>
      </c>
      <c r="L60" s="33">
        <f t="shared" si="1"/>
        <v>0.3098590229</v>
      </c>
      <c r="M60" s="32">
        <f t="shared" si="8"/>
        <v>7296.712699</v>
      </c>
      <c r="N60" s="35">
        <f t="shared" si="9"/>
        <v>25211.27817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7">
        <v>47.0</v>
      </c>
      <c r="F61" s="34">
        <f t="shared" si="2"/>
        <v>44895</v>
      </c>
      <c r="G61" s="32">
        <f t="shared" si="3"/>
        <v>24788.72183</v>
      </c>
      <c r="H61" s="32">
        <f t="shared" si="4"/>
        <v>706.6954536</v>
      </c>
      <c r="I61" s="32">
        <f t="shared" si="5"/>
        <v>103.286341</v>
      </c>
      <c r="J61" s="32">
        <f t="shared" si="6"/>
        <v>603.4091126</v>
      </c>
      <c r="K61" s="32">
        <f t="shared" si="7"/>
        <v>24185.31272</v>
      </c>
      <c r="L61" s="33">
        <f t="shared" si="1"/>
        <v>0.302316409</v>
      </c>
      <c r="M61" s="32">
        <f t="shared" si="8"/>
        <v>7399.999039</v>
      </c>
      <c r="N61" s="35">
        <f t="shared" si="9"/>
        <v>25814.68728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7">
        <v>48.0</v>
      </c>
      <c r="F62" s="34">
        <f t="shared" si="2"/>
        <v>44926</v>
      </c>
      <c r="G62" s="32">
        <f t="shared" si="3"/>
        <v>24185.31272</v>
      </c>
      <c r="H62" s="32">
        <f t="shared" si="4"/>
        <v>706.6954536</v>
      </c>
      <c r="I62" s="32">
        <f t="shared" si="5"/>
        <v>100.7721363</v>
      </c>
      <c r="J62" s="32">
        <f t="shared" si="6"/>
        <v>605.9233173</v>
      </c>
      <c r="K62" s="32">
        <f t="shared" si="7"/>
        <v>23579.3894</v>
      </c>
      <c r="L62" s="33">
        <f t="shared" si="1"/>
        <v>0.2947423675</v>
      </c>
      <c r="M62" s="32">
        <f t="shared" si="8"/>
        <v>7500.771176</v>
      </c>
      <c r="N62" s="35">
        <f t="shared" si="9"/>
        <v>26420.6106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7">
        <v>49.0</v>
      </c>
      <c r="F63" s="34">
        <f t="shared" si="2"/>
        <v>44957</v>
      </c>
      <c r="G63" s="32">
        <f t="shared" si="3"/>
        <v>23579.3894</v>
      </c>
      <c r="H63" s="32">
        <f t="shared" si="4"/>
        <v>706.6954536</v>
      </c>
      <c r="I63" s="32">
        <f t="shared" si="5"/>
        <v>98.24745585</v>
      </c>
      <c r="J63" s="32">
        <f t="shared" si="6"/>
        <v>608.4479977</v>
      </c>
      <c r="K63" s="32">
        <f t="shared" si="7"/>
        <v>22970.94141</v>
      </c>
      <c r="L63" s="33">
        <f t="shared" si="1"/>
        <v>0.2871367676</v>
      </c>
      <c r="M63" s="32">
        <f t="shared" si="8"/>
        <v>7599.018632</v>
      </c>
      <c r="N63" s="35">
        <f t="shared" si="9"/>
        <v>27029.05859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7">
        <v>50.0</v>
      </c>
      <c r="F64" s="34">
        <f t="shared" si="2"/>
        <v>44985</v>
      </c>
      <c r="G64" s="32">
        <f t="shared" si="3"/>
        <v>22970.94141</v>
      </c>
      <c r="H64" s="32">
        <f t="shared" si="4"/>
        <v>706.6954536</v>
      </c>
      <c r="I64" s="32">
        <f t="shared" si="5"/>
        <v>95.71225586</v>
      </c>
      <c r="J64" s="32">
        <f t="shared" si="6"/>
        <v>610.9831977</v>
      </c>
      <c r="K64" s="32">
        <f t="shared" si="7"/>
        <v>22359.95821</v>
      </c>
      <c r="L64" s="33">
        <f t="shared" si="1"/>
        <v>0.2794994776</v>
      </c>
      <c r="M64" s="32">
        <f t="shared" si="8"/>
        <v>7694.730888</v>
      </c>
      <c r="N64" s="35">
        <f t="shared" si="9"/>
        <v>27640.04179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7">
        <v>51.0</v>
      </c>
      <c r="F65" s="34">
        <f t="shared" si="2"/>
        <v>45016</v>
      </c>
      <c r="G65" s="32">
        <f t="shared" si="3"/>
        <v>22359.95821</v>
      </c>
      <c r="H65" s="32">
        <f t="shared" si="4"/>
        <v>706.6954536</v>
      </c>
      <c r="I65" s="32">
        <f t="shared" si="5"/>
        <v>93.16649253</v>
      </c>
      <c r="J65" s="32">
        <f t="shared" si="6"/>
        <v>613.5289611</v>
      </c>
      <c r="K65" s="32">
        <f t="shared" si="7"/>
        <v>21746.42925</v>
      </c>
      <c r="L65" s="33">
        <f t="shared" si="1"/>
        <v>0.2718303656</v>
      </c>
      <c r="M65" s="32">
        <f t="shared" si="8"/>
        <v>7787.89738</v>
      </c>
      <c r="N65" s="35">
        <f t="shared" si="9"/>
        <v>28253.57075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7">
        <v>52.0</v>
      </c>
      <c r="F66" s="34">
        <f t="shared" si="2"/>
        <v>45046</v>
      </c>
      <c r="G66" s="32">
        <f t="shared" si="3"/>
        <v>21746.42925</v>
      </c>
      <c r="H66" s="32">
        <f t="shared" si="4"/>
        <v>706.6954536</v>
      </c>
      <c r="I66" s="32">
        <f t="shared" si="5"/>
        <v>90.61012186</v>
      </c>
      <c r="J66" s="32">
        <f t="shared" si="6"/>
        <v>616.0853317</v>
      </c>
      <c r="K66" s="32">
        <f t="shared" si="7"/>
        <v>21130.34391</v>
      </c>
      <c r="L66" s="33">
        <f t="shared" si="1"/>
        <v>0.2641292989</v>
      </c>
      <c r="M66" s="32">
        <f t="shared" si="8"/>
        <v>7878.507502</v>
      </c>
      <c r="N66" s="35">
        <f t="shared" si="9"/>
        <v>28869.65609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7">
        <v>53.0</v>
      </c>
      <c r="F67" s="34">
        <f t="shared" si="2"/>
        <v>45077</v>
      </c>
      <c r="G67" s="32">
        <f t="shared" si="3"/>
        <v>21130.34391</v>
      </c>
      <c r="H67" s="32">
        <f t="shared" si="4"/>
        <v>706.6954536</v>
      </c>
      <c r="I67" s="32">
        <f t="shared" si="5"/>
        <v>88.04309965</v>
      </c>
      <c r="J67" s="32">
        <f t="shared" si="6"/>
        <v>618.6523539</v>
      </c>
      <c r="K67" s="32">
        <f t="shared" si="7"/>
        <v>20511.69156</v>
      </c>
      <c r="L67" s="33">
        <f t="shared" si="1"/>
        <v>0.2563961445</v>
      </c>
      <c r="M67" s="32">
        <f t="shared" si="8"/>
        <v>7966.550602</v>
      </c>
      <c r="N67" s="35">
        <f t="shared" si="9"/>
        <v>29488.30844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7">
        <v>54.0</v>
      </c>
      <c r="F68" s="34">
        <f t="shared" si="2"/>
        <v>45107</v>
      </c>
      <c r="G68" s="32">
        <f t="shared" si="3"/>
        <v>20511.69156</v>
      </c>
      <c r="H68" s="32">
        <f t="shared" si="4"/>
        <v>706.6954536</v>
      </c>
      <c r="I68" s="32">
        <f t="shared" si="5"/>
        <v>85.4653815</v>
      </c>
      <c r="J68" s="32">
        <f t="shared" si="6"/>
        <v>621.2300721</v>
      </c>
      <c r="K68" s="32">
        <f t="shared" si="7"/>
        <v>19890.46149</v>
      </c>
      <c r="L68" s="33">
        <f t="shared" si="1"/>
        <v>0.2486307686</v>
      </c>
      <c r="M68" s="32">
        <f t="shared" si="8"/>
        <v>8052.015983</v>
      </c>
      <c r="N68" s="35">
        <f t="shared" si="9"/>
        <v>30109.53851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7">
        <v>55.0</v>
      </c>
      <c r="F69" s="34">
        <f t="shared" si="2"/>
        <v>45138</v>
      </c>
      <c r="G69" s="32">
        <f t="shared" si="3"/>
        <v>19890.46149</v>
      </c>
      <c r="H69" s="32">
        <f t="shared" si="4"/>
        <v>706.6954536</v>
      </c>
      <c r="I69" s="32">
        <f t="shared" si="5"/>
        <v>82.87692287</v>
      </c>
      <c r="J69" s="32">
        <f t="shared" si="6"/>
        <v>623.8185307</v>
      </c>
      <c r="K69" s="32">
        <f t="shared" si="7"/>
        <v>19266.64296</v>
      </c>
      <c r="L69" s="33">
        <f t="shared" si="1"/>
        <v>0.240833037</v>
      </c>
      <c r="M69" s="32">
        <f t="shared" si="8"/>
        <v>8134.892906</v>
      </c>
      <c r="N69" s="35">
        <f t="shared" si="9"/>
        <v>30733.35704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7">
        <v>56.0</v>
      </c>
      <c r="F70" s="34">
        <f t="shared" si="2"/>
        <v>45169</v>
      </c>
      <c r="G70" s="32">
        <f t="shared" si="3"/>
        <v>19266.64296</v>
      </c>
      <c r="H70" s="32">
        <f t="shared" si="4"/>
        <v>706.6954536</v>
      </c>
      <c r="I70" s="32">
        <f t="shared" si="5"/>
        <v>80.27767899</v>
      </c>
      <c r="J70" s="32">
        <f t="shared" si="6"/>
        <v>626.4177746</v>
      </c>
      <c r="K70" s="32">
        <f t="shared" si="7"/>
        <v>18640.22518</v>
      </c>
      <c r="L70" s="33">
        <f t="shared" si="1"/>
        <v>0.2330028148</v>
      </c>
      <c r="M70" s="32">
        <f t="shared" si="8"/>
        <v>8215.170585</v>
      </c>
      <c r="N70" s="35">
        <f t="shared" si="9"/>
        <v>31359.77482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7">
        <v>57.0</v>
      </c>
      <c r="F71" s="34">
        <f t="shared" si="2"/>
        <v>45199</v>
      </c>
      <c r="G71" s="32">
        <f t="shared" si="3"/>
        <v>18640.22518</v>
      </c>
      <c r="H71" s="32">
        <f t="shared" si="4"/>
        <v>706.6954536</v>
      </c>
      <c r="I71" s="32">
        <f t="shared" si="5"/>
        <v>77.66760493</v>
      </c>
      <c r="J71" s="32">
        <f t="shared" si="6"/>
        <v>629.0278487</v>
      </c>
      <c r="K71" s="32">
        <f t="shared" si="7"/>
        <v>18011.19733</v>
      </c>
      <c r="L71" s="33">
        <f t="shared" si="1"/>
        <v>0.2251399667</v>
      </c>
      <c r="M71" s="32">
        <f t="shared" si="8"/>
        <v>8292.83819</v>
      </c>
      <c r="N71" s="35">
        <f t="shared" si="9"/>
        <v>31988.80267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7">
        <v>58.0</v>
      </c>
      <c r="F72" s="34">
        <f t="shared" si="2"/>
        <v>45230</v>
      </c>
      <c r="G72" s="32">
        <f t="shared" si="3"/>
        <v>18011.19733</v>
      </c>
      <c r="H72" s="32">
        <f t="shared" si="4"/>
        <v>706.6954536</v>
      </c>
      <c r="I72" s="32">
        <f t="shared" si="5"/>
        <v>75.04665556</v>
      </c>
      <c r="J72" s="32">
        <f t="shared" si="6"/>
        <v>631.648798</v>
      </c>
      <c r="K72" s="32">
        <f t="shared" si="7"/>
        <v>17379.54854</v>
      </c>
      <c r="L72" s="33">
        <f t="shared" si="1"/>
        <v>0.2172443567</v>
      </c>
      <c r="M72" s="32">
        <f t="shared" si="8"/>
        <v>8367.884845</v>
      </c>
      <c r="N72" s="35">
        <f t="shared" si="9"/>
        <v>32620.45146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7">
        <v>59.0</v>
      </c>
      <c r="F73" s="34">
        <f t="shared" si="2"/>
        <v>45260</v>
      </c>
      <c r="G73" s="32">
        <f t="shared" si="3"/>
        <v>17379.54854</v>
      </c>
      <c r="H73" s="32">
        <f t="shared" si="4"/>
        <v>706.6954536</v>
      </c>
      <c r="I73" s="32">
        <f t="shared" si="5"/>
        <v>72.41478557</v>
      </c>
      <c r="J73" s="32">
        <f t="shared" si="6"/>
        <v>634.280668</v>
      </c>
      <c r="K73" s="32">
        <f t="shared" si="7"/>
        <v>16745.26787</v>
      </c>
      <c r="L73" s="33">
        <f t="shared" si="1"/>
        <v>0.2093158484</v>
      </c>
      <c r="M73" s="32">
        <f t="shared" si="8"/>
        <v>8440.299631</v>
      </c>
      <c r="N73" s="35">
        <f t="shared" si="9"/>
        <v>33254.73213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7">
        <v>60.0</v>
      </c>
      <c r="F74" s="34">
        <f t="shared" si="2"/>
        <v>45291</v>
      </c>
      <c r="G74" s="32">
        <f t="shared" si="3"/>
        <v>16745.26787</v>
      </c>
      <c r="H74" s="32">
        <f t="shared" si="4"/>
        <v>706.6954536</v>
      </c>
      <c r="I74" s="32">
        <f t="shared" si="5"/>
        <v>69.77194945</v>
      </c>
      <c r="J74" s="32">
        <f t="shared" si="6"/>
        <v>636.9235041</v>
      </c>
      <c r="K74" s="32">
        <f t="shared" si="7"/>
        <v>16108.34436</v>
      </c>
      <c r="L74" s="33">
        <f t="shared" si="1"/>
        <v>0.2013543046</v>
      </c>
      <c r="M74" s="32">
        <f t="shared" si="8"/>
        <v>8510.07158</v>
      </c>
      <c r="N74" s="35">
        <f t="shared" si="9"/>
        <v>33891.65564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7">
        <v>61.0</v>
      </c>
      <c r="F75" s="34">
        <f t="shared" si="2"/>
        <v>45322</v>
      </c>
      <c r="G75" s="32">
        <f t="shared" si="3"/>
        <v>16108.34436</v>
      </c>
      <c r="H75" s="32">
        <f t="shared" si="4"/>
        <v>706.6954536</v>
      </c>
      <c r="I75" s="32">
        <f t="shared" si="5"/>
        <v>67.11810152</v>
      </c>
      <c r="J75" s="32">
        <f t="shared" si="6"/>
        <v>639.5773521</v>
      </c>
      <c r="K75" s="32">
        <f t="shared" si="7"/>
        <v>15468.76701</v>
      </c>
      <c r="L75" s="33">
        <f t="shared" si="1"/>
        <v>0.1933595877</v>
      </c>
      <c r="M75" s="32">
        <f t="shared" si="8"/>
        <v>8577.189682</v>
      </c>
      <c r="N75" s="35">
        <f t="shared" si="9"/>
        <v>34531.23299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7">
        <v>62.0</v>
      </c>
      <c r="F76" s="34">
        <f t="shared" si="2"/>
        <v>45351</v>
      </c>
      <c r="G76" s="32">
        <f t="shared" si="3"/>
        <v>15468.76701</v>
      </c>
      <c r="H76" s="32">
        <f t="shared" si="4"/>
        <v>706.6954536</v>
      </c>
      <c r="I76" s="32">
        <f t="shared" si="5"/>
        <v>64.45319589</v>
      </c>
      <c r="J76" s="32">
        <f t="shared" si="6"/>
        <v>642.2422577</v>
      </c>
      <c r="K76" s="32">
        <f t="shared" si="7"/>
        <v>14826.52475</v>
      </c>
      <c r="L76" s="33">
        <f t="shared" si="1"/>
        <v>0.1853315594</v>
      </c>
      <c r="M76" s="32">
        <f t="shared" si="8"/>
        <v>8641.642878</v>
      </c>
      <c r="N76" s="35">
        <f t="shared" si="9"/>
        <v>35173.47525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7">
        <v>63.0</v>
      </c>
      <c r="F77" s="34">
        <f t="shared" si="2"/>
        <v>45382</v>
      </c>
      <c r="G77" s="32">
        <f t="shared" si="3"/>
        <v>14826.52475</v>
      </c>
      <c r="H77" s="32">
        <f t="shared" si="4"/>
        <v>706.6954536</v>
      </c>
      <c r="I77" s="32">
        <f t="shared" si="5"/>
        <v>61.77718648</v>
      </c>
      <c r="J77" s="32">
        <f t="shared" si="6"/>
        <v>644.9182671</v>
      </c>
      <c r="K77" s="32">
        <f t="shared" si="7"/>
        <v>14181.60649</v>
      </c>
      <c r="L77" s="33">
        <f t="shared" si="1"/>
        <v>0.1772700811</v>
      </c>
      <c r="M77" s="32">
        <f t="shared" si="8"/>
        <v>8703.420064</v>
      </c>
      <c r="N77" s="35">
        <f t="shared" si="9"/>
        <v>35818.39351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7">
        <v>64.0</v>
      </c>
      <c r="F78" s="34">
        <f t="shared" si="2"/>
        <v>45412</v>
      </c>
      <c r="G78" s="32">
        <f t="shared" si="3"/>
        <v>14181.60649</v>
      </c>
      <c r="H78" s="32">
        <f t="shared" si="4"/>
        <v>706.6954536</v>
      </c>
      <c r="I78" s="32">
        <f t="shared" si="5"/>
        <v>59.09002703</v>
      </c>
      <c r="J78" s="32">
        <f t="shared" si="6"/>
        <v>647.6054266</v>
      </c>
      <c r="K78" s="32">
        <f t="shared" si="7"/>
        <v>13534.00106</v>
      </c>
      <c r="L78" s="33">
        <f t="shared" si="1"/>
        <v>0.1691750133</v>
      </c>
      <c r="M78" s="32">
        <f t="shared" si="8"/>
        <v>8762.510091</v>
      </c>
      <c r="N78" s="35">
        <f t="shared" si="9"/>
        <v>36465.99894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7">
        <v>65.0</v>
      </c>
      <c r="F79" s="34">
        <f t="shared" si="2"/>
        <v>45443</v>
      </c>
      <c r="G79" s="32">
        <f t="shared" si="3"/>
        <v>13534.00106</v>
      </c>
      <c r="H79" s="32">
        <f t="shared" si="4"/>
        <v>706.6954536</v>
      </c>
      <c r="I79" s="32">
        <f t="shared" si="5"/>
        <v>56.39167109</v>
      </c>
      <c r="J79" s="32">
        <f t="shared" si="6"/>
        <v>650.3037825</v>
      </c>
      <c r="K79" s="32">
        <f t="shared" si="7"/>
        <v>12883.69728</v>
      </c>
      <c r="L79" s="33">
        <f t="shared" si="1"/>
        <v>0.161046216</v>
      </c>
      <c r="M79" s="32">
        <f t="shared" si="8"/>
        <v>8818.901762</v>
      </c>
      <c r="N79" s="35">
        <f t="shared" si="9"/>
        <v>37116.30272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7">
        <v>66.0</v>
      </c>
      <c r="F80" s="34">
        <f t="shared" si="2"/>
        <v>45473</v>
      </c>
      <c r="G80" s="32">
        <f t="shared" si="3"/>
        <v>12883.69728</v>
      </c>
      <c r="H80" s="32">
        <f t="shared" si="4"/>
        <v>706.6954536</v>
      </c>
      <c r="I80" s="32">
        <f t="shared" si="5"/>
        <v>53.68207199</v>
      </c>
      <c r="J80" s="32">
        <f t="shared" si="6"/>
        <v>653.0133816</v>
      </c>
      <c r="K80" s="32">
        <f t="shared" si="7"/>
        <v>12230.6839</v>
      </c>
      <c r="L80" s="33">
        <f t="shared" si="1"/>
        <v>0.1528835487</v>
      </c>
      <c r="M80" s="32">
        <f t="shared" si="8"/>
        <v>8872.583834</v>
      </c>
      <c r="N80" s="35">
        <f t="shared" si="9"/>
        <v>37769.3161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7">
        <v>67.0</v>
      </c>
      <c r="F81" s="34">
        <f t="shared" si="2"/>
        <v>45504</v>
      </c>
      <c r="G81" s="32">
        <f t="shared" si="3"/>
        <v>12230.6839</v>
      </c>
      <c r="H81" s="32">
        <f t="shared" si="4"/>
        <v>706.6954536</v>
      </c>
      <c r="I81" s="32">
        <f t="shared" si="5"/>
        <v>50.9611829</v>
      </c>
      <c r="J81" s="32">
        <f t="shared" si="6"/>
        <v>655.7342707</v>
      </c>
      <c r="K81" s="32">
        <f t="shared" si="7"/>
        <v>11574.94963</v>
      </c>
      <c r="L81" s="33">
        <f t="shared" si="1"/>
        <v>0.1446868703</v>
      </c>
      <c r="M81" s="32">
        <f t="shared" si="8"/>
        <v>8923.545017</v>
      </c>
      <c r="N81" s="35">
        <f t="shared" si="9"/>
        <v>38425.05037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7">
        <v>68.0</v>
      </c>
      <c r="F82" s="34">
        <f t="shared" si="2"/>
        <v>45535</v>
      </c>
      <c r="G82" s="32">
        <f t="shared" si="3"/>
        <v>11574.94963</v>
      </c>
      <c r="H82" s="32">
        <f t="shared" si="4"/>
        <v>706.6954536</v>
      </c>
      <c r="I82" s="32">
        <f t="shared" si="5"/>
        <v>48.22895678</v>
      </c>
      <c r="J82" s="32">
        <f t="shared" si="6"/>
        <v>658.4664968</v>
      </c>
      <c r="K82" s="32">
        <f t="shared" si="7"/>
        <v>10916.48313</v>
      </c>
      <c r="L82" s="33">
        <f t="shared" si="1"/>
        <v>0.1364560391</v>
      </c>
      <c r="M82" s="32">
        <f t="shared" si="8"/>
        <v>8971.773974</v>
      </c>
      <c r="N82" s="35">
        <f t="shared" si="9"/>
        <v>39083.51687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7">
        <v>69.0</v>
      </c>
      <c r="F83" s="34">
        <f t="shared" si="2"/>
        <v>45565</v>
      </c>
      <c r="G83" s="32">
        <f t="shared" si="3"/>
        <v>10916.48313</v>
      </c>
      <c r="H83" s="32">
        <f t="shared" si="4"/>
        <v>706.6954536</v>
      </c>
      <c r="I83" s="32">
        <f t="shared" si="5"/>
        <v>45.48534637</v>
      </c>
      <c r="J83" s="32">
        <f t="shared" si="6"/>
        <v>661.2101072</v>
      </c>
      <c r="K83" s="32">
        <f t="shared" si="7"/>
        <v>10255.27302</v>
      </c>
      <c r="L83" s="33">
        <f t="shared" si="1"/>
        <v>0.1281909128</v>
      </c>
      <c r="M83" s="32">
        <f t="shared" si="8"/>
        <v>9017.25932</v>
      </c>
      <c r="N83" s="35">
        <f t="shared" si="9"/>
        <v>39744.72698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7">
        <v>70.0</v>
      </c>
      <c r="F84" s="34">
        <f t="shared" si="2"/>
        <v>45596</v>
      </c>
      <c r="G84" s="32">
        <f t="shared" si="3"/>
        <v>10255.27302</v>
      </c>
      <c r="H84" s="32">
        <f t="shared" si="4"/>
        <v>706.6954536</v>
      </c>
      <c r="I84" s="32">
        <f t="shared" si="5"/>
        <v>42.73030426</v>
      </c>
      <c r="J84" s="32">
        <f t="shared" si="6"/>
        <v>663.9651493</v>
      </c>
      <c r="K84" s="32">
        <f t="shared" si="7"/>
        <v>9591.307873</v>
      </c>
      <c r="L84" s="33">
        <f t="shared" si="1"/>
        <v>0.1198913484</v>
      </c>
      <c r="M84" s="32">
        <f t="shared" si="8"/>
        <v>9059.989625</v>
      </c>
      <c r="N84" s="35">
        <f t="shared" si="9"/>
        <v>40408.69213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7">
        <v>71.0</v>
      </c>
      <c r="F85" s="34">
        <f t="shared" si="2"/>
        <v>45626</v>
      </c>
      <c r="G85" s="32">
        <f t="shared" si="3"/>
        <v>9591.307873</v>
      </c>
      <c r="H85" s="32">
        <f t="shared" si="4"/>
        <v>706.6954536</v>
      </c>
      <c r="I85" s="32">
        <f t="shared" si="5"/>
        <v>39.9637828</v>
      </c>
      <c r="J85" s="32">
        <f t="shared" si="6"/>
        <v>666.7316708</v>
      </c>
      <c r="K85" s="32">
        <f t="shared" si="7"/>
        <v>8924.576202</v>
      </c>
      <c r="L85" s="33">
        <f t="shared" si="1"/>
        <v>0.1115572025</v>
      </c>
      <c r="M85" s="32">
        <f t="shared" si="8"/>
        <v>9099.953408</v>
      </c>
      <c r="N85" s="35">
        <f t="shared" si="9"/>
        <v>41075.4238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7">
        <v>72.0</v>
      </c>
      <c r="F86" s="34">
        <f t="shared" si="2"/>
        <v>45657</v>
      </c>
      <c r="G86" s="32">
        <f t="shared" si="3"/>
        <v>8924.576202</v>
      </c>
      <c r="H86" s="32">
        <f t="shared" si="4"/>
        <v>706.6954536</v>
      </c>
      <c r="I86" s="32">
        <f t="shared" si="5"/>
        <v>37.18573418</v>
      </c>
      <c r="J86" s="32">
        <f t="shared" si="6"/>
        <v>669.5097194</v>
      </c>
      <c r="K86" s="32">
        <f t="shared" si="7"/>
        <v>8255.066483</v>
      </c>
      <c r="L86" s="33">
        <f t="shared" si="1"/>
        <v>0.103188331</v>
      </c>
      <c r="M86" s="32">
        <f t="shared" si="8"/>
        <v>9137.139142</v>
      </c>
      <c r="N86" s="35">
        <f t="shared" si="9"/>
        <v>41744.93352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7">
        <v>73.0</v>
      </c>
      <c r="F87" s="34">
        <f t="shared" si="2"/>
        <v>45688</v>
      </c>
      <c r="G87" s="32">
        <f t="shared" si="3"/>
        <v>8255.066483</v>
      </c>
      <c r="H87" s="32">
        <f t="shared" si="4"/>
        <v>706.6954536</v>
      </c>
      <c r="I87" s="32">
        <f t="shared" si="5"/>
        <v>34.39611035</v>
      </c>
      <c r="J87" s="32">
        <f t="shared" si="6"/>
        <v>672.2993433</v>
      </c>
      <c r="K87" s="32">
        <f t="shared" si="7"/>
        <v>7582.76714</v>
      </c>
      <c r="L87" s="33">
        <f t="shared" si="1"/>
        <v>0.09478458925</v>
      </c>
      <c r="M87" s="32">
        <f t="shared" si="8"/>
        <v>9171.535252</v>
      </c>
      <c r="N87" s="35">
        <f t="shared" si="9"/>
        <v>42417.23286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7">
        <v>74.0</v>
      </c>
      <c r="F88" s="34">
        <f t="shared" si="2"/>
        <v>45716</v>
      </c>
      <c r="G88" s="32">
        <f t="shared" si="3"/>
        <v>7582.76714</v>
      </c>
      <c r="H88" s="32">
        <f t="shared" si="4"/>
        <v>706.6954536</v>
      </c>
      <c r="I88" s="32">
        <f t="shared" si="5"/>
        <v>31.59486308</v>
      </c>
      <c r="J88" s="32">
        <f t="shared" si="6"/>
        <v>675.1005905</v>
      </c>
      <c r="K88" s="32">
        <f t="shared" si="7"/>
        <v>6907.666549</v>
      </c>
      <c r="L88" s="33">
        <f t="shared" si="1"/>
        <v>0.08634583186</v>
      </c>
      <c r="M88" s="32">
        <f t="shared" si="8"/>
        <v>9203.130115</v>
      </c>
      <c r="N88" s="35">
        <f t="shared" si="9"/>
        <v>43092.33345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7">
        <v>75.0</v>
      </c>
      <c r="F89" s="34">
        <f t="shared" si="2"/>
        <v>45747</v>
      </c>
      <c r="G89" s="32">
        <f t="shared" si="3"/>
        <v>6907.666549</v>
      </c>
      <c r="H89" s="32">
        <f t="shared" si="4"/>
        <v>706.6954536</v>
      </c>
      <c r="I89" s="32">
        <f t="shared" si="5"/>
        <v>28.78194395</v>
      </c>
      <c r="J89" s="32">
        <f t="shared" si="6"/>
        <v>677.9135096</v>
      </c>
      <c r="K89" s="32">
        <f t="shared" si="7"/>
        <v>6229.753039</v>
      </c>
      <c r="L89" s="33">
        <f t="shared" si="1"/>
        <v>0.07787191299</v>
      </c>
      <c r="M89" s="32">
        <f t="shared" si="8"/>
        <v>9231.912059</v>
      </c>
      <c r="N89" s="35">
        <f t="shared" si="9"/>
        <v>43770.24696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7">
        <v>76.0</v>
      </c>
      <c r="F90" s="34">
        <f t="shared" si="2"/>
        <v>45777</v>
      </c>
      <c r="G90" s="32">
        <f t="shared" si="3"/>
        <v>6229.753039</v>
      </c>
      <c r="H90" s="32">
        <f t="shared" si="4"/>
        <v>706.6954536</v>
      </c>
      <c r="I90" s="32">
        <f t="shared" si="5"/>
        <v>25.95730433</v>
      </c>
      <c r="J90" s="32">
        <f t="shared" si="6"/>
        <v>680.7381493</v>
      </c>
      <c r="K90" s="32">
        <f t="shared" si="7"/>
        <v>5549.01489</v>
      </c>
      <c r="L90" s="33">
        <f t="shared" si="1"/>
        <v>0.06936268613</v>
      </c>
      <c r="M90" s="32">
        <f t="shared" si="8"/>
        <v>9257.869363</v>
      </c>
      <c r="N90" s="35">
        <f t="shared" si="9"/>
        <v>44450.98511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7">
        <v>77.0</v>
      </c>
      <c r="F91" s="34">
        <f t="shared" si="2"/>
        <v>45808</v>
      </c>
      <c r="G91" s="32">
        <f t="shared" si="3"/>
        <v>5549.01489</v>
      </c>
      <c r="H91" s="32">
        <f t="shared" si="4"/>
        <v>706.6954536</v>
      </c>
      <c r="I91" s="32">
        <f t="shared" si="5"/>
        <v>23.12089538</v>
      </c>
      <c r="J91" s="32">
        <f t="shared" si="6"/>
        <v>683.5745582</v>
      </c>
      <c r="K91" s="32">
        <f t="shared" si="7"/>
        <v>4865.440332</v>
      </c>
      <c r="L91" s="33">
        <f t="shared" si="1"/>
        <v>0.06081800415</v>
      </c>
      <c r="M91" s="32">
        <f t="shared" si="8"/>
        <v>9280.990259</v>
      </c>
      <c r="N91" s="35">
        <f t="shared" si="9"/>
        <v>45134.55967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7">
        <v>78.0</v>
      </c>
      <c r="F92" s="34">
        <f t="shared" si="2"/>
        <v>45838</v>
      </c>
      <c r="G92" s="32">
        <f t="shared" si="3"/>
        <v>4865.440332</v>
      </c>
      <c r="H92" s="32">
        <f t="shared" si="4"/>
        <v>706.6954536</v>
      </c>
      <c r="I92" s="32">
        <f t="shared" si="5"/>
        <v>20.27266805</v>
      </c>
      <c r="J92" s="32">
        <f t="shared" si="6"/>
        <v>686.4227855</v>
      </c>
      <c r="K92" s="32">
        <f t="shared" si="7"/>
        <v>4179.017546</v>
      </c>
      <c r="L92" s="33">
        <f t="shared" si="1"/>
        <v>0.05223771933</v>
      </c>
      <c r="M92" s="32">
        <f t="shared" si="8"/>
        <v>9301.262927</v>
      </c>
      <c r="N92" s="35">
        <f t="shared" si="9"/>
        <v>45820.98245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7">
        <v>79.0</v>
      </c>
      <c r="F93" s="34">
        <f t="shared" si="2"/>
        <v>45869</v>
      </c>
      <c r="G93" s="32">
        <f t="shared" si="3"/>
        <v>4179.017546</v>
      </c>
      <c r="H93" s="32">
        <f t="shared" si="4"/>
        <v>706.6954536</v>
      </c>
      <c r="I93" s="32">
        <f t="shared" si="5"/>
        <v>17.41257311</v>
      </c>
      <c r="J93" s="32">
        <f t="shared" si="6"/>
        <v>689.2828805</v>
      </c>
      <c r="K93" s="32">
        <f t="shared" si="7"/>
        <v>3489.734666</v>
      </c>
      <c r="L93" s="33">
        <f t="shared" si="1"/>
        <v>0.04362168332</v>
      </c>
      <c r="M93" s="32">
        <f t="shared" si="8"/>
        <v>9318.6755</v>
      </c>
      <c r="N93" s="35">
        <f t="shared" si="9"/>
        <v>46510.26533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7">
        <v>80.0</v>
      </c>
      <c r="F94" s="34">
        <f t="shared" si="2"/>
        <v>45900</v>
      </c>
      <c r="G94" s="32">
        <f t="shared" si="3"/>
        <v>3489.734666</v>
      </c>
      <c r="H94" s="32">
        <f t="shared" si="4"/>
        <v>706.6954536</v>
      </c>
      <c r="I94" s="32">
        <f t="shared" si="5"/>
        <v>14.54056111</v>
      </c>
      <c r="J94" s="32">
        <f t="shared" si="6"/>
        <v>692.1548925</v>
      </c>
      <c r="K94" s="32">
        <f t="shared" si="7"/>
        <v>2797.579773</v>
      </c>
      <c r="L94" s="33">
        <f t="shared" si="1"/>
        <v>0.03496974717</v>
      </c>
      <c r="M94" s="32">
        <f t="shared" si="8"/>
        <v>9333.216061</v>
      </c>
      <c r="N94" s="35">
        <f t="shared" si="9"/>
        <v>47202.42023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7">
        <v>81.0</v>
      </c>
      <c r="F95" s="34">
        <f t="shared" si="2"/>
        <v>45930</v>
      </c>
      <c r="G95" s="32">
        <f t="shared" si="3"/>
        <v>2797.579773</v>
      </c>
      <c r="H95" s="32">
        <f t="shared" si="4"/>
        <v>706.6954536</v>
      </c>
      <c r="I95" s="32">
        <f t="shared" si="5"/>
        <v>11.65658239</v>
      </c>
      <c r="J95" s="32">
        <f t="shared" si="6"/>
        <v>695.0388712</v>
      </c>
      <c r="K95" s="32">
        <f t="shared" si="7"/>
        <v>2102.540902</v>
      </c>
      <c r="L95" s="33">
        <f t="shared" si="1"/>
        <v>0.02628176128</v>
      </c>
      <c r="M95" s="32">
        <f t="shared" si="8"/>
        <v>9344.872643</v>
      </c>
      <c r="N95" s="35">
        <f t="shared" si="9"/>
        <v>47897.4591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7">
        <v>82.0</v>
      </c>
      <c r="F96" s="34">
        <f t="shared" si="2"/>
        <v>45961</v>
      </c>
      <c r="G96" s="32">
        <f t="shared" si="3"/>
        <v>2102.540902</v>
      </c>
      <c r="H96" s="32">
        <f t="shared" si="4"/>
        <v>706.6954536</v>
      </c>
      <c r="I96" s="32">
        <f t="shared" si="5"/>
        <v>8.760587093</v>
      </c>
      <c r="J96" s="32">
        <f t="shared" si="6"/>
        <v>697.9348665</v>
      </c>
      <c r="K96" s="32">
        <f t="shared" si="7"/>
        <v>1404.606036</v>
      </c>
      <c r="L96" s="33">
        <f t="shared" si="1"/>
        <v>0.01755757545</v>
      </c>
      <c r="M96" s="32">
        <f t="shared" si="8"/>
        <v>9353.633231</v>
      </c>
      <c r="N96" s="35">
        <f t="shared" si="9"/>
        <v>48595.39396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7">
        <v>83.0</v>
      </c>
      <c r="F97" s="34">
        <f t="shared" si="2"/>
        <v>45991</v>
      </c>
      <c r="G97" s="32">
        <f t="shared" si="3"/>
        <v>1404.606036</v>
      </c>
      <c r="H97" s="32">
        <f t="shared" si="4"/>
        <v>706.6954536</v>
      </c>
      <c r="I97" s="32">
        <f t="shared" si="5"/>
        <v>5.852525149</v>
      </c>
      <c r="J97" s="32">
        <f t="shared" si="6"/>
        <v>700.8429284</v>
      </c>
      <c r="K97" s="32">
        <f t="shared" si="7"/>
        <v>703.7631073</v>
      </c>
      <c r="L97" s="33">
        <f t="shared" si="1"/>
        <v>0.008797038841</v>
      </c>
      <c r="M97" s="32">
        <f t="shared" si="8"/>
        <v>9359.485756</v>
      </c>
      <c r="N97" s="35">
        <f t="shared" si="9"/>
        <v>49296.23689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7">
        <v>84.0</v>
      </c>
      <c r="F98" s="34">
        <f t="shared" si="2"/>
        <v>46022</v>
      </c>
      <c r="G98" s="32">
        <f t="shared" si="3"/>
        <v>703.7631073</v>
      </c>
      <c r="H98" s="32">
        <f t="shared" si="4"/>
        <v>706.6954536</v>
      </c>
      <c r="I98" s="32">
        <f t="shared" si="5"/>
        <v>2.93234628</v>
      </c>
      <c r="J98" s="32">
        <f t="shared" si="6"/>
        <v>703.7631073</v>
      </c>
      <c r="K98" s="32">
        <f t="shared" si="7"/>
        <v>-0.0000000001668922778</v>
      </c>
      <c r="L98" s="33">
        <f t="shared" si="1"/>
        <v>0</v>
      </c>
      <c r="M98" s="32">
        <f t="shared" si="8"/>
        <v>9362.418102</v>
      </c>
      <c r="N98" s="35">
        <f t="shared" si="9"/>
        <v>50000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7">
        <v>85.0</v>
      </c>
      <c r="F99" s="34">
        <f t="shared" si="2"/>
        <v>46053</v>
      </c>
      <c r="G99" s="32">
        <f t="shared" si="3"/>
        <v>-0.0000000001668922778</v>
      </c>
      <c r="H99" s="32">
        <f t="shared" si="4"/>
        <v>706.6954536</v>
      </c>
      <c r="I99" s="32" t="str">
        <f t="shared" si="5"/>
        <v>#NUM!</v>
      </c>
      <c r="J99" s="32" t="str">
        <f t="shared" si="6"/>
        <v>#NUM!</v>
      </c>
      <c r="K99" s="32" t="str">
        <f t="shared" si="7"/>
        <v>#NUM!</v>
      </c>
      <c r="L99" s="33" t="str">
        <f t="shared" si="1"/>
        <v>#NUM!</v>
      </c>
      <c r="M99" s="32" t="str">
        <f t="shared" si="8"/>
        <v>#NUM!</v>
      </c>
      <c r="N99" s="36" t="str">
        <f t="shared" si="9"/>
        <v>#NUM!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7">
        <v>86.0</v>
      </c>
      <c r="F100" s="34">
        <f t="shared" si="2"/>
        <v>46081</v>
      </c>
      <c r="G100" s="32" t="str">
        <f t="shared" si="3"/>
        <v>#NUM!</v>
      </c>
      <c r="H100" s="32">
        <f t="shared" si="4"/>
        <v>706.6954536</v>
      </c>
      <c r="I100" s="32" t="str">
        <f t="shared" si="5"/>
        <v>#NUM!</v>
      </c>
      <c r="J100" s="32" t="str">
        <f t="shared" si="6"/>
        <v>#NUM!</v>
      </c>
      <c r="K100" s="32" t="str">
        <f t="shared" si="7"/>
        <v>#NUM!</v>
      </c>
      <c r="L100" s="33" t="str">
        <f t="shared" si="1"/>
        <v>#NUM!</v>
      </c>
      <c r="M100" s="32" t="str">
        <f t="shared" si="8"/>
        <v>#NUM!</v>
      </c>
      <c r="N100" s="36" t="str">
        <f t="shared" si="9"/>
        <v>#NUM!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7">
        <v>87.0</v>
      </c>
      <c r="F101" s="34">
        <f t="shared" si="2"/>
        <v>46112</v>
      </c>
      <c r="G101" s="32" t="str">
        <f t="shared" si="3"/>
        <v>#NUM!</v>
      </c>
      <c r="H101" s="32">
        <f t="shared" si="4"/>
        <v>706.6954536</v>
      </c>
      <c r="I101" s="32" t="str">
        <f t="shared" si="5"/>
        <v>#NUM!</v>
      </c>
      <c r="J101" s="32" t="str">
        <f t="shared" si="6"/>
        <v>#NUM!</v>
      </c>
      <c r="K101" s="32" t="str">
        <f t="shared" si="7"/>
        <v>#NUM!</v>
      </c>
      <c r="L101" s="33" t="str">
        <f t="shared" si="1"/>
        <v>#NUM!</v>
      </c>
      <c r="M101" s="32" t="str">
        <f t="shared" si="8"/>
        <v>#NUM!</v>
      </c>
      <c r="N101" s="36" t="str">
        <f t="shared" si="9"/>
        <v>#NUM!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7">
        <v>88.0</v>
      </c>
      <c r="F102" s="34">
        <f t="shared" si="2"/>
        <v>46142</v>
      </c>
      <c r="G102" s="32" t="str">
        <f t="shared" si="3"/>
        <v>#NUM!</v>
      </c>
      <c r="H102" s="32">
        <f t="shared" si="4"/>
        <v>706.6954536</v>
      </c>
      <c r="I102" s="32" t="str">
        <f t="shared" si="5"/>
        <v>#NUM!</v>
      </c>
      <c r="J102" s="32" t="str">
        <f t="shared" si="6"/>
        <v>#NUM!</v>
      </c>
      <c r="K102" s="32" t="str">
        <f t="shared" si="7"/>
        <v>#NUM!</v>
      </c>
      <c r="L102" s="33" t="str">
        <f t="shared" si="1"/>
        <v>#NUM!</v>
      </c>
      <c r="M102" s="32" t="str">
        <f t="shared" si="8"/>
        <v>#NUM!</v>
      </c>
      <c r="N102" s="36" t="str">
        <f t="shared" si="9"/>
        <v>#NUM!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7">
        <v>89.0</v>
      </c>
      <c r="F103" s="34">
        <f t="shared" si="2"/>
        <v>46173</v>
      </c>
      <c r="G103" s="32" t="str">
        <f t="shared" si="3"/>
        <v>#NUM!</v>
      </c>
      <c r="H103" s="32">
        <f t="shared" si="4"/>
        <v>706.6954536</v>
      </c>
      <c r="I103" s="32" t="str">
        <f t="shared" si="5"/>
        <v>#NUM!</v>
      </c>
      <c r="J103" s="32" t="str">
        <f t="shared" si="6"/>
        <v>#NUM!</v>
      </c>
      <c r="K103" s="32" t="str">
        <f t="shared" si="7"/>
        <v>#NUM!</v>
      </c>
      <c r="L103" s="33" t="str">
        <f t="shared" si="1"/>
        <v>#NUM!</v>
      </c>
      <c r="M103" s="32" t="str">
        <f t="shared" si="8"/>
        <v>#NUM!</v>
      </c>
      <c r="N103" s="36" t="str">
        <f t="shared" si="9"/>
        <v>#NUM!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7">
        <v>90.0</v>
      </c>
      <c r="F104" s="34">
        <f t="shared" si="2"/>
        <v>46203</v>
      </c>
      <c r="G104" s="32" t="str">
        <f t="shared" si="3"/>
        <v>#NUM!</v>
      </c>
      <c r="H104" s="32">
        <f t="shared" si="4"/>
        <v>706.6954536</v>
      </c>
      <c r="I104" s="32" t="str">
        <f t="shared" si="5"/>
        <v>#NUM!</v>
      </c>
      <c r="J104" s="32" t="str">
        <f t="shared" si="6"/>
        <v>#NUM!</v>
      </c>
      <c r="K104" s="32" t="str">
        <f t="shared" si="7"/>
        <v>#NUM!</v>
      </c>
      <c r="L104" s="33" t="str">
        <f t="shared" si="1"/>
        <v>#NUM!</v>
      </c>
      <c r="M104" s="32" t="str">
        <f t="shared" si="8"/>
        <v>#NUM!</v>
      </c>
      <c r="N104" s="36" t="str">
        <f t="shared" si="9"/>
        <v>#NUM!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7">
        <v>91.0</v>
      </c>
      <c r="F105" s="34">
        <f t="shared" si="2"/>
        <v>46234</v>
      </c>
      <c r="G105" s="32" t="str">
        <f t="shared" si="3"/>
        <v>#NUM!</v>
      </c>
      <c r="H105" s="32">
        <f t="shared" si="4"/>
        <v>706.6954536</v>
      </c>
      <c r="I105" s="32" t="str">
        <f t="shared" si="5"/>
        <v>#NUM!</v>
      </c>
      <c r="J105" s="32" t="str">
        <f t="shared" si="6"/>
        <v>#NUM!</v>
      </c>
      <c r="K105" s="32" t="str">
        <f t="shared" si="7"/>
        <v>#NUM!</v>
      </c>
      <c r="L105" s="33" t="str">
        <f t="shared" si="1"/>
        <v>#NUM!</v>
      </c>
      <c r="M105" s="32" t="str">
        <f t="shared" si="8"/>
        <v>#NUM!</v>
      </c>
      <c r="N105" s="36" t="str">
        <f t="shared" si="9"/>
        <v>#NUM!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7">
        <v>92.0</v>
      </c>
      <c r="F106" s="34">
        <f t="shared" si="2"/>
        <v>46265</v>
      </c>
      <c r="G106" s="32" t="str">
        <f t="shared" si="3"/>
        <v>#NUM!</v>
      </c>
      <c r="H106" s="32">
        <f t="shared" si="4"/>
        <v>706.6954536</v>
      </c>
      <c r="I106" s="32" t="str">
        <f t="shared" si="5"/>
        <v>#NUM!</v>
      </c>
      <c r="J106" s="32" t="str">
        <f t="shared" si="6"/>
        <v>#NUM!</v>
      </c>
      <c r="K106" s="32" t="str">
        <f t="shared" si="7"/>
        <v>#NUM!</v>
      </c>
      <c r="L106" s="33" t="str">
        <f t="shared" si="1"/>
        <v>#NUM!</v>
      </c>
      <c r="M106" s="32" t="str">
        <f t="shared" si="8"/>
        <v>#NUM!</v>
      </c>
      <c r="N106" s="36" t="str">
        <f t="shared" si="9"/>
        <v>#NUM!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7">
        <v>93.0</v>
      </c>
      <c r="F107" s="34">
        <f t="shared" si="2"/>
        <v>46295</v>
      </c>
      <c r="G107" s="32" t="str">
        <f t="shared" si="3"/>
        <v>#NUM!</v>
      </c>
      <c r="H107" s="32">
        <f t="shared" si="4"/>
        <v>706.6954536</v>
      </c>
      <c r="I107" s="32" t="str">
        <f t="shared" si="5"/>
        <v>#NUM!</v>
      </c>
      <c r="J107" s="32" t="str">
        <f t="shared" si="6"/>
        <v>#NUM!</v>
      </c>
      <c r="K107" s="32" t="str">
        <f t="shared" si="7"/>
        <v>#NUM!</v>
      </c>
      <c r="L107" s="33" t="str">
        <f t="shared" si="1"/>
        <v>#NUM!</v>
      </c>
      <c r="M107" s="32" t="str">
        <f t="shared" si="8"/>
        <v>#NUM!</v>
      </c>
      <c r="N107" s="36" t="str">
        <f t="shared" si="9"/>
        <v>#NUM!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7">
        <v>94.0</v>
      </c>
      <c r="F108" s="34">
        <f t="shared" si="2"/>
        <v>46326</v>
      </c>
      <c r="G108" s="32" t="str">
        <f t="shared" si="3"/>
        <v>#NUM!</v>
      </c>
      <c r="H108" s="32">
        <f t="shared" si="4"/>
        <v>706.6954536</v>
      </c>
      <c r="I108" s="32" t="str">
        <f t="shared" si="5"/>
        <v>#NUM!</v>
      </c>
      <c r="J108" s="32" t="str">
        <f t="shared" si="6"/>
        <v>#NUM!</v>
      </c>
      <c r="K108" s="32" t="str">
        <f t="shared" si="7"/>
        <v>#NUM!</v>
      </c>
      <c r="L108" s="33" t="str">
        <f t="shared" si="1"/>
        <v>#NUM!</v>
      </c>
      <c r="M108" s="32" t="str">
        <f t="shared" si="8"/>
        <v>#NUM!</v>
      </c>
      <c r="N108" s="36" t="str">
        <f t="shared" si="9"/>
        <v>#NUM!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7">
        <v>95.0</v>
      </c>
      <c r="F109" s="34">
        <f t="shared" si="2"/>
        <v>46356</v>
      </c>
      <c r="G109" s="32" t="str">
        <f t="shared" si="3"/>
        <v>#NUM!</v>
      </c>
      <c r="H109" s="32">
        <f t="shared" si="4"/>
        <v>706.6954536</v>
      </c>
      <c r="I109" s="32" t="str">
        <f t="shared" si="5"/>
        <v>#NUM!</v>
      </c>
      <c r="J109" s="32" t="str">
        <f t="shared" si="6"/>
        <v>#NUM!</v>
      </c>
      <c r="K109" s="32" t="str">
        <f t="shared" si="7"/>
        <v>#NUM!</v>
      </c>
      <c r="L109" s="33" t="str">
        <f t="shared" si="1"/>
        <v>#NUM!</v>
      </c>
      <c r="M109" s="32" t="str">
        <f t="shared" si="8"/>
        <v>#NUM!</v>
      </c>
      <c r="N109" s="36" t="str">
        <f t="shared" si="9"/>
        <v>#NUM!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7">
        <v>96.0</v>
      </c>
      <c r="F110" s="34">
        <f t="shared" si="2"/>
        <v>46387</v>
      </c>
      <c r="G110" s="32" t="str">
        <f t="shared" si="3"/>
        <v>#NUM!</v>
      </c>
      <c r="H110" s="32">
        <f t="shared" si="4"/>
        <v>706.6954536</v>
      </c>
      <c r="I110" s="32" t="str">
        <f t="shared" si="5"/>
        <v>#NUM!</v>
      </c>
      <c r="J110" s="32" t="str">
        <f t="shared" si="6"/>
        <v>#NUM!</v>
      </c>
      <c r="K110" s="32" t="str">
        <f t="shared" si="7"/>
        <v>#NUM!</v>
      </c>
      <c r="L110" s="33" t="str">
        <f t="shared" si="1"/>
        <v>#NUM!</v>
      </c>
      <c r="M110" s="32" t="str">
        <f t="shared" si="8"/>
        <v>#NUM!</v>
      </c>
      <c r="N110" s="36" t="str">
        <f t="shared" si="9"/>
        <v>#NUM!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7">
        <v>97.0</v>
      </c>
      <c r="F111" s="34">
        <f t="shared" si="2"/>
        <v>46418</v>
      </c>
      <c r="G111" s="32" t="str">
        <f t="shared" si="3"/>
        <v>#NUM!</v>
      </c>
      <c r="H111" s="32">
        <f t="shared" si="4"/>
        <v>706.6954536</v>
      </c>
      <c r="I111" s="32" t="str">
        <f t="shared" si="5"/>
        <v>#NUM!</v>
      </c>
      <c r="J111" s="32" t="str">
        <f t="shared" si="6"/>
        <v>#NUM!</v>
      </c>
      <c r="K111" s="32" t="str">
        <f t="shared" si="7"/>
        <v>#NUM!</v>
      </c>
      <c r="L111" s="33" t="str">
        <f t="shared" si="1"/>
        <v>#NUM!</v>
      </c>
      <c r="M111" s="32" t="str">
        <f t="shared" si="8"/>
        <v>#NUM!</v>
      </c>
      <c r="N111" s="36" t="str">
        <f t="shared" si="9"/>
        <v>#NUM!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7">
        <v>98.0</v>
      </c>
      <c r="F112" s="34">
        <f t="shared" si="2"/>
        <v>46446</v>
      </c>
      <c r="G112" s="32" t="str">
        <f t="shared" si="3"/>
        <v>#NUM!</v>
      </c>
      <c r="H112" s="32">
        <f t="shared" si="4"/>
        <v>706.6954536</v>
      </c>
      <c r="I112" s="32" t="str">
        <f t="shared" si="5"/>
        <v>#NUM!</v>
      </c>
      <c r="J112" s="32" t="str">
        <f t="shared" si="6"/>
        <v>#NUM!</v>
      </c>
      <c r="K112" s="32" t="str">
        <f t="shared" si="7"/>
        <v>#NUM!</v>
      </c>
      <c r="L112" s="33" t="str">
        <f t="shared" si="1"/>
        <v>#NUM!</v>
      </c>
      <c r="M112" s="32" t="str">
        <f t="shared" si="8"/>
        <v>#NUM!</v>
      </c>
      <c r="N112" s="36" t="str">
        <f t="shared" si="9"/>
        <v>#NUM!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7">
        <v>99.0</v>
      </c>
      <c r="F113" s="34">
        <f t="shared" si="2"/>
        <v>46477</v>
      </c>
      <c r="G113" s="32" t="str">
        <f t="shared" si="3"/>
        <v>#NUM!</v>
      </c>
      <c r="H113" s="32">
        <f t="shared" si="4"/>
        <v>706.6954536</v>
      </c>
      <c r="I113" s="32" t="str">
        <f t="shared" si="5"/>
        <v>#NUM!</v>
      </c>
      <c r="J113" s="32" t="str">
        <f t="shared" si="6"/>
        <v>#NUM!</v>
      </c>
      <c r="K113" s="32" t="str">
        <f t="shared" si="7"/>
        <v>#NUM!</v>
      </c>
      <c r="L113" s="33" t="str">
        <f t="shared" si="1"/>
        <v>#NUM!</v>
      </c>
      <c r="M113" s="32" t="str">
        <f t="shared" si="8"/>
        <v>#NUM!</v>
      </c>
      <c r="N113" s="36" t="str">
        <f t="shared" si="9"/>
        <v>#NUM!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7">
        <v>100.0</v>
      </c>
      <c r="F114" s="34">
        <f t="shared" si="2"/>
        <v>46507</v>
      </c>
      <c r="G114" s="32" t="str">
        <f t="shared" si="3"/>
        <v>#NUM!</v>
      </c>
      <c r="H114" s="32">
        <f t="shared" si="4"/>
        <v>706.6954536</v>
      </c>
      <c r="I114" s="32" t="str">
        <f t="shared" si="5"/>
        <v>#NUM!</v>
      </c>
      <c r="J114" s="32" t="str">
        <f t="shared" si="6"/>
        <v>#NUM!</v>
      </c>
      <c r="K114" s="32" t="str">
        <f t="shared" si="7"/>
        <v>#NUM!</v>
      </c>
      <c r="L114" s="33" t="str">
        <f t="shared" si="1"/>
        <v>#NUM!</v>
      </c>
      <c r="M114" s="32" t="str">
        <f t="shared" si="8"/>
        <v>#NUM!</v>
      </c>
      <c r="N114" s="36" t="str">
        <f t="shared" si="9"/>
        <v>#NUM!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7">
        <v>101.0</v>
      </c>
      <c r="F115" s="34">
        <f t="shared" si="2"/>
        <v>46538</v>
      </c>
      <c r="G115" s="32" t="str">
        <f t="shared" si="3"/>
        <v>#NUM!</v>
      </c>
      <c r="H115" s="32">
        <f t="shared" si="4"/>
        <v>706.6954536</v>
      </c>
      <c r="I115" s="32" t="str">
        <f t="shared" si="5"/>
        <v>#NUM!</v>
      </c>
      <c r="J115" s="32" t="str">
        <f t="shared" si="6"/>
        <v>#NUM!</v>
      </c>
      <c r="K115" s="32" t="str">
        <f t="shared" si="7"/>
        <v>#NUM!</v>
      </c>
      <c r="L115" s="33" t="str">
        <f t="shared" si="1"/>
        <v>#NUM!</v>
      </c>
      <c r="M115" s="32" t="str">
        <f t="shared" si="8"/>
        <v>#NUM!</v>
      </c>
      <c r="N115" s="36" t="str">
        <f t="shared" si="9"/>
        <v>#NUM!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7">
        <v>102.0</v>
      </c>
      <c r="F116" s="34">
        <f t="shared" si="2"/>
        <v>46568</v>
      </c>
      <c r="G116" s="32" t="str">
        <f t="shared" si="3"/>
        <v>#NUM!</v>
      </c>
      <c r="H116" s="32">
        <f t="shared" si="4"/>
        <v>706.6954536</v>
      </c>
      <c r="I116" s="32" t="str">
        <f t="shared" si="5"/>
        <v>#NUM!</v>
      </c>
      <c r="J116" s="32" t="str">
        <f t="shared" si="6"/>
        <v>#NUM!</v>
      </c>
      <c r="K116" s="32" t="str">
        <f t="shared" si="7"/>
        <v>#NUM!</v>
      </c>
      <c r="L116" s="33" t="str">
        <f t="shared" si="1"/>
        <v>#NUM!</v>
      </c>
      <c r="M116" s="32" t="str">
        <f t="shared" si="8"/>
        <v>#NUM!</v>
      </c>
      <c r="N116" s="36" t="str">
        <f t="shared" si="9"/>
        <v>#NUM!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7">
        <v>103.0</v>
      </c>
      <c r="F117" s="34">
        <f t="shared" si="2"/>
        <v>46599</v>
      </c>
      <c r="G117" s="32" t="str">
        <f t="shared" si="3"/>
        <v>#NUM!</v>
      </c>
      <c r="H117" s="32">
        <f t="shared" si="4"/>
        <v>706.6954536</v>
      </c>
      <c r="I117" s="32" t="str">
        <f t="shared" si="5"/>
        <v>#NUM!</v>
      </c>
      <c r="J117" s="32" t="str">
        <f t="shared" si="6"/>
        <v>#NUM!</v>
      </c>
      <c r="K117" s="32" t="str">
        <f t="shared" si="7"/>
        <v>#NUM!</v>
      </c>
      <c r="L117" s="33" t="str">
        <f t="shared" si="1"/>
        <v>#NUM!</v>
      </c>
      <c r="M117" s="32" t="str">
        <f t="shared" si="8"/>
        <v>#NUM!</v>
      </c>
      <c r="N117" s="36" t="str">
        <f t="shared" si="9"/>
        <v>#NUM!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7">
        <v>104.0</v>
      </c>
      <c r="F118" s="34">
        <f t="shared" si="2"/>
        <v>46630</v>
      </c>
      <c r="G118" s="32" t="str">
        <f t="shared" si="3"/>
        <v>#NUM!</v>
      </c>
      <c r="H118" s="32">
        <f t="shared" si="4"/>
        <v>706.6954536</v>
      </c>
      <c r="I118" s="32" t="str">
        <f t="shared" si="5"/>
        <v>#NUM!</v>
      </c>
      <c r="J118" s="32" t="str">
        <f t="shared" si="6"/>
        <v>#NUM!</v>
      </c>
      <c r="K118" s="32" t="str">
        <f t="shared" si="7"/>
        <v>#NUM!</v>
      </c>
      <c r="L118" s="33" t="str">
        <f t="shared" si="1"/>
        <v>#NUM!</v>
      </c>
      <c r="M118" s="32" t="str">
        <f t="shared" si="8"/>
        <v>#NUM!</v>
      </c>
      <c r="N118" s="36" t="str">
        <f t="shared" si="9"/>
        <v>#NUM!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7">
        <v>105.0</v>
      </c>
      <c r="F119" s="34">
        <f t="shared" si="2"/>
        <v>46660</v>
      </c>
      <c r="G119" s="32" t="str">
        <f t="shared" si="3"/>
        <v>#NUM!</v>
      </c>
      <c r="H119" s="32">
        <f t="shared" si="4"/>
        <v>706.6954536</v>
      </c>
      <c r="I119" s="32" t="str">
        <f t="shared" si="5"/>
        <v>#NUM!</v>
      </c>
      <c r="J119" s="32" t="str">
        <f t="shared" si="6"/>
        <v>#NUM!</v>
      </c>
      <c r="K119" s="32" t="str">
        <f t="shared" si="7"/>
        <v>#NUM!</v>
      </c>
      <c r="L119" s="33" t="str">
        <f t="shared" si="1"/>
        <v>#NUM!</v>
      </c>
      <c r="M119" s="32" t="str">
        <f t="shared" si="8"/>
        <v>#NUM!</v>
      </c>
      <c r="N119" s="36" t="str">
        <f t="shared" si="9"/>
        <v>#NUM!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7">
        <v>106.0</v>
      </c>
      <c r="F120" s="34">
        <f t="shared" si="2"/>
        <v>46691</v>
      </c>
      <c r="G120" s="32" t="str">
        <f t="shared" si="3"/>
        <v>#NUM!</v>
      </c>
      <c r="H120" s="32">
        <f t="shared" si="4"/>
        <v>706.6954536</v>
      </c>
      <c r="I120" s="32" t="str">
        <f t="shared" si="5"/>
        <v>#NUM!</v>
      </c>
      <c r="J120" s="32" t="str">
        <f t="shared" si="6"/>
        <v>#NUM!</v>
      </c>
      <c r="K120" s="32" t="str">
        <f t="shared" si="7"/>
        <v>#NUM!</v>
      </c>
      <c r="L120" s="33" t="str">
        <f t="shared" si="1"/>
        <v>#NUM!</v>
      </c>
      <c r="M120" s="32" t="str">
        <f t="shared" si="8"/>
        <v>#NUM!</v>
      </c>
      <c r="N120" s="36" t="str">
        <f t="shared" si="9"/>
        <v>#NUM!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7">
        <v>107.0</v>
      </c>
      <c r="F121" s="34">
        <f t="shared" si="2"/>
        <v>46721</v>
      </c>
      <c r="G121" s="32" t="str">
        <f t="shared" si="3"/>
        <v>#NUM!</v>
      </c>
      <c r="H121" s="32">
        <f t="shared" si="4"/>
        <v>706.6954536</v>
      </c>
      <c r="I121" s="32" t="str">
        <f t="shared" si="5"/>
        <v>#NUM!</v>
      </c>
      <c r="J121" s="32" t="str">
        <f t="shared" si="6"/>
        <v>#NUM!</v>
      </c>
      <c r="K121" s="32" t="str">
        <f t="shared" si="7"/>
        <v>#NUM!</v>
      </c>
      <c r="L121" s="33" t="str">
        <f t="shared" si="1"/>
        <v>#NUM!</v>
      </c>
      <c r="M121" s="32" t="str">
        <f t="shared" si="8"/>
        <v>#NUM!</v>
      </c>
      <c r="N121" s="36" t="str">
        <f t="shared" si="9"/>
        <v>#NUM!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7">
        <v>108.0</v>
      </c>
      <c r="F122" s="34">
        <f t="shared" si="2"/>
        <v>46752</v>
      </c>
      <c r="G122" s="32" t="str">
        <f t="shared" si="3"/>
        <v>#NUM!</v>
      </c>
      <c r="H122" s="32">
        <f t="shared" si="4"/>
        <v>706.6954536</v>
      </c>
      <c r="I122" s="32" t="str">
        <f t="shared" si="5"/>
        <v>#NUM!</v>
      </c>
      <c r="J122" s="32" t="str">
        <f t="shared" si="6"/>
        <v>#NUM!</v>
      </c>
      <c r="K122" s="32" t="str">
        <f t="shared" si="7"/>
        <v>#NUM!</v>
      </c>
      <c r="L122" s="33" t="str">
        <f t="shared" si="1"/>
        <v>#NUM!</v>
      </c>
      <c r="M122" s="32" t="str">
        <f t="shared" si="8"/>
        <v>#NUM!</v>
      </c>
      <c r="N122" s="36" t="str">
        <f t="shared" si="9"/>
        <v>#NUM!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7">
        <v>109.0</v>
      </c>
      <c r="F123" s="34">
        <f t="shared" si="2"/>
        <v>46783</v>
      </c>
      <c r="G123" s="32" t="str">
        <f t="shared" si="3"/>
        <v>#NUM!</v>
      </c>
      <c r="H123" s="32">
        <f t="shared" si="4"/>
        <v>706.6954536</v>
      </c>
      <c r="I123" s="32" t="str">
        <f t="shared" si="5"/>
        <v>#NUM!</v>
      </c>
      <c r="J123" s="32" t="str">
        <f t="shared" si="6"/>
        <v>#NUM!</v>
      </c>
      <c r="K123" s="32" t="str">
        <f t="shared" si="7"/>
        <v>#NUM!</v>
      </c>
      <c r="L123" s="33" t="str">
        <f t="shared" si="1"/>
        <v>#NUM!</v>
      </c>
      <c r="M123" s="32" t="str">
        <f t="shared" si="8"/>
        <v>#NUM!</v>
      </c>
      <c r="N123" s="36" t="str">
        <f t="shared" si="9"/>
        <v>#NUM!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7">
        <v>110.0</v>
      </c>
      <c r="F124" s="34">
        <f t="shared" si="2"/>
        <v>46812</v>
      </c>
      <c r="G124" s="32" t="str">
        <f t="shared" si="3"/>
        <v>#NUM!</v>
      </c>
      <c r="H124" s="32">
        <f t="shared" si="4"/>
        <v>706.6954536</v>
      </c>
      <c r="I124" s="32" t="str">
        <f t="shared" si="5"/>
        <v>#NUM!</v>
      </c>
      <c r="J124" s="32" t="str">
        <f t="shared" si="6"/>
        <v>#NUM!</v>
      </c>
      <c r="K124" s="32" t="str">
        <f t="shared" si="7"/>
        <v>#NUM!</v>
      </c>
      <c r="L124" s="33" t="str">
        <f t="shared" si="1"/>
        <v>#NUM!</v>
      </c>
      <c r="M124" s="32" t="str">
        <f t="shared" si="8"/>
        <v>#NUM!</v>
      </c>
      <c r="N124" s="36" t="str">
        <f t="shared" si="9"/>
        <v>#NUM!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7">
        <v>111.0</v>
      </c>
      <c r="F125" s="34">
        <f t="shared" si="2"/>
        <v>46843</v>
      </c>
      <c r="G125" s="32" t="str">
        <f t="shared" si="3"/>
        <v>#NUM!</v>
      </c>
      <c r="H125" s="32">
        <f t="shared" si="4"/>
        <v>706.6954536</v>
      </c>
      <c r="I125" s="32" t="str">
        <f t="shared" si="5"/>
        <v>#NUM!</v>
      </c>
      <c r="J125" s="32" t="str">
        <f t="shared" si="6"/>
        <v>#NUM!</v>
      </c>
      <c r="K125" s="32" t="str">
        <f t="shared" si="7"/>
        <v>#NUM!</v>
      </c>
      <c r="L125" s="33" t="str">
        <f t="shared" si="1"/>
        <v>#NUM!</v>
      </c>
      <c r="M125" s="32" t="str">
        <f t="shared" si="8"/>
        <v>#NUM!</v>
      </c>
      <c r="N125" s="36" t="str">
        <f t="shared" si="9"/>
        <v>#NUM!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7">
        <v>112.0</v>
      </c>
      <c r="F126" s="34">
        <f t="shared" si="2"/>
        <v>46873</v>
      </c>
      <c r="G126" s="32" t="str">
        <f t="shared" si="3"/>
        <v>#NUM!</v>
      </c>
      <c r="H126" s="32">
        <f t="shared" si="4"/>
        <v>706.6954536</v>
      </c>
      <c r="I126" s="32" t="str">
        <f t="shared" si="5"/>
        <v>#NUM!</v>
      </c>
      <c r="J126" s="32" t="str">
        <f t="shared" si="6"/>
        <v>#NUM!</v>
      </c>
      <c r="K126" s="32" t="str">
        <f t="shared" si="7"/>
        <v>#NUM!</v>
      </c>
      <c r="L126" s="33" t="str">
        <f t="shared" si="1"/>
        <v>#NUM!</v>
      </c>
      <c r="M126" s="32" t="str">
        <f t="shared" si="8"/>
        <v>#NUM!</v>
      </c>
      <c r="N126" s="36" t="str">
        <f t="shared" si="9"/>
        <v>#NUM!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7">
        <v>113.0</v>
      </c>
      <c r="F127" s="34">
        <f t="shared" si="2"/>
        <v>46904</v>
      </c>
      <c r="G127" s="32" t="str">
        <f t="shared" si="3"/>
        <v>#NUM!</v>
      </c>
      <c r="H127" s="32">
        <f t="shared" si="4"/>
        <v>706.6954536</v>
      </c>
      <c r="I127" s="32" t="str">
        <f t="shared" si="5"/>
        <v>#NUM!</v>
      </c>
      <c r="J127" s="32" t="str">
        <f t="shared" si="6"/>
        <v>#NUM!</v>
      </c>
      <c r="K127" s="32" t="str">
        <f t="shared" si="7"/>
        <v>#NUM!</v>
      </c>
      <c r="L127" s="33" t="str">
        <f t="shared" si="1"/>
        <v>#NUM!</v>
      </c>
      <c r="M127" s="32" t="str">
        <f t="shared" si="8"/>
        <v>#NUM!</v>
      </c>
      <c r="N127" s="36" t="str">
        <f t="shared" si="9"/>
        <v>#NUM!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7">
        <v>114.0</v>
      </c>
      <c r="F128" s="34">
        <f t="shared" si="2"/>
        <v>46934</v>
      </c>
      <c r="G128" s="32" t="str">
        <f t="shared" si="3"/>
        <v>#NUM!</v>
      </c>
      <c r="H128" s="32">
        <f t="shared" si="4"/>
        <v>706.6954536</v>
      </c>
      <c r="I128" s="32" t="str">
        <f t="shared" si="5"/>
        <v>#NUM!</v>
      </c>
      <c r="J128" s="32" t="str">
        <f t="shared" si="6"/>
        <v>#NUM!</v>
      </c>
      <c r="K128" s="32" t="str">
        <f t="shared" si="7"/>
        <v>#NUM!</v>
      </c>
      <c r="L128" s="33" t="str">
        <f t="shared" si="1"/>
        <v>#NUM!</v>
      </c>
      <c r="M128" s="32" t="str">
        <f t="shared" si="8"/>
        <v>#NUM!</v>
      </c>
      <c r="N128" s="36" t="str">
        <f t="shared" si="9"/>
        <v>#NUM!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7">
        <v>115.0</v>
      </c>
      <c r="F129" s="34">
        <f t="shared" si="2"/>
        <v>46965</v>
      </c>
      <c r="G129" s="32" t="str">
        <f t="shared" si="3"/>
        <v>#NUM!</v>
      </c>
      <c r="H129" s="32">
        <f t="shared" si="4"/>
        <v>706.6954536</v>
      </c>
      <c r="I129" s="32" t="str">
        <f t="shared" si="5"/>
        <v>#NUM!</v>
      </c>
      <c r="J129" s="32" t="str">
        <f t="shared" si="6"/>
        <v>#NUM!</v>
      </c>
      <c r="K129" s="32" t="str">
        <f t="shared" si="7"/>
        <v>#NUM!</v>
      </c>
      <c r="L129" s="33" t="str">
        <f t="shared" si="1"/>
        <v>#NUM!</v>
      </c>
      <c r="M129" s="32" t="str">
        <f t="shared" si="8"/>
        <v>#NUM!</v>
      </c>
      <c r="N129" s="36" t="str">
        <f t="shared" si="9"/>
        <v>#NUM!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7">
        <v>116.0</v>
      </c>
      <c r="F130" s="34">
        <f t="shared" si="2"/>
        <v>46996</v>
      </c>
      <c r="G130" s="32" t="str">
        <f t="shared" si="3"/>
        <v>#NUM!</v>
      </c>
      <c r="H130" s="32">
        <f t="shared" si="4"/>
        <v>706.6954536</v>
      </c>
      <c r="I130" s="32" t="str">
        <f t="shared" si="5"/>
        <v>#NUM!</v>
      </c>
      <c r="J130" s="32" t="str">
        <f t="shared" si="6"/>
        <v>#NUM!</v>
      </c>
      <c r="K130" s="32" t="str">
        <f t="shared" si="7"/>
        <v>#NUM!</v>
      </c>
      <c r="L130" s="33" t="str">
        <f t="shared" si="1"/>
        <v>#NUM!</v>
      </c>
      <c r="M130" s="32" t="str">
        <f t="shared" si="8"/>
        <v>#NUM!</v>
      </c>
      <c r="N130" s="36" t="str">
        <f t="shared" si="9"/>
        <v>#NUM!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7">
        <v>117.0</v>
      </c>
      <c r="F131" s="34">
        <f t="shared" si="2"/>
        <v>47026</v>
      </c>
      <c r="G131" s="32" t="str">
        <f t="shared" si="3"/>
        <v>#NUM!</v>
      </c>
      <c r="H131" s="32">
        <f t="shared" si="4"/>
        <v>706.6954536</v>
      </c>
      <c r="I131" s="32" t="str">
        <f t="shared" si="5"/>
        <v>#NUM!</v>
      </c>
      <c r="J131" s="32" t="str">
        <f t="shared" si="6"/>
        <v>#NUM!</v>
      </c>
      <c r="K131" s="32" t="str">
        <f t="shared" si="7"/>
        <v>#NUM!</v>
      </c>
      <c r="L131" s="33" t="str">
        <f t="shared" si="1"/>
        <v>#NUM!</v>
      </c>
      <c r="M131" s="32" t="str">
        <f t="shared" si="8"/>
        <v>#NUM!</v>
      </c>
      <c r="N131" s="36" t="str">
        <f t="shared" si="9"/>
        <v>#NUM!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7">
        <v>118.0</v>
      </c>
      <c r="F132" s="34">
        <f t="shared" si="2"/>
        <v>47057</v>
      </c>
      <c r="G132" s="32" t="str">
        <f t="shared" si="3"/>
        <v>#NUM!</v>
      </c>
      <c r="H132" s="32">
        <f t="shared" si="4"/>
        <v>706.6954536</v>
      </c>
      <c r="I132" s="32" t="str">
        <f t="shared" si="5"/>
        <v>#NUM!</v>
      </c>
      <c r="J132" s="32" t="str">
        <f t="shared" si="6"/>
        <v>#NUM!</v>
      </c>
      <c r="K132" s="32" t="str">
        <f t="shared" si="7"/>
        <v>#NUM!</v>
      </c>
      <c r="L132" s="33" t="str">
        <f t="shared" si="1"/>
        <v>#NUM!</v>
      </c>
      <c r="M132" s="32" t="str">
        <f t="shared" si="8"/>
        <v>#NUM!</v>
      </c>
      <c r="N132" s="36" t="str">
        <f t="shared" si="9"/>
        <v>#NUM!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7">
        <v>119.0</v>
      </c>
      <c r="F133" s="34">
        <f t="shared" si="2"/>
        <v>47087</v>
      </c>
      <c r="G133" s="32" t="str">
        <f t="shared" si="3"/>
        <v>#NUM!</v>
      </c>
      <c r="H133" s="32">
        <f t="shared" si="4"/>
        <v>706.6954536</v>
      </c>
      <c r="I133" s="32" t="str">
        <f t="shared" si="5"/>
        <v>#NUM!</v>
      </c>
      <c r="J133" s="32" t="str">
        <f t="shared" si="6"/>
        <v>#NUM!</v>
      </c>
      <c r="K133" s="32" t="str">
        <f t="shared" si="7"/>
        <v>#NUM!</v>
      </c>
      <c r="L133" s="33" t="str">
        <f t="shared" si="1"/>
        <v>#NUM!</v>
      </c>
      <c r="M133" s="32" t="str">
        <f t="shared" si="8"/>
        <v>#NUM!</v>
      </c>
      <c r="N133" s="36" t="str">
        <f t="shared" si="9"/>
        <v>#NUM!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7">
        <v>120.0</v>
      </c>
      <c r="F134" s="34">
        <f t="shared" si="2"/>
        <v>47118</v>
      </c>
      <c r="G134" s="32" t="str">
        <f t="shared" si="3"/>
        <v>#NUM!</v>
      </c>
      <c r="H134" s="32">
        <f t="shared" si="4"/>
        <v>706.6954536</v>
      </c>
      <c r="I134" s="32" t="str">
        <f t="shared" si="5"/>
        <v>#NUM!</v>
      </c>
      <c r="J134" s="32" t="str">
        <f t="shared" si="6"/>
        <v>#NUM!</v>
      </c>
      <c r="K134" s="32" t="str">
        <f t="shared" si="7"/>
        <v>#NUM!</v>
      </c>
      <c r="L134" s="33" t="str">
        <f t="shared" si="1"/>
        <v>#NUM!</v>
      </c>
      <c r="M134" s="32" t="str">
        <f t="shared" si="8"/>
        <v>#NUM!</v>
      </c>
      <c r="N134" s="36" t="str">
        <f t="shared" si="9"/>
        <v>#NUM!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7">
        <v>121.0</v>
      </c>
      <c r="F135" s="34">
        <f t="shared" si="2"/>
        <v>47149</v>
      </c>
      <c r="G135" s="32" t="str">
        <f t="shared" si="3"/>
        <v>#NUM!</v>
      </c>
      <c r="H135" s="32">
        <f t="shared" si="4"/>
        <v>706.6954536</v>
      </c>
      <c r="I135" s="32" t="str">
        <f t="shared" si="5"/>
        <v>#NUM!</v>
      </c>
      <c r="J135" s="32" t="str">
        <f t="shared" si="6"/>
        <v>#NUM!</v>
      </c>
      <c r="K135" s="32" t="str">
        <f t="shared" si="7"/>
        <v>#NUM!</v>
      </c>
      <c r="L135" s="33" t="str">
        <f t="shared" si="1"/>
        <v>#NUM!</v>
      </c>
      <c r="M135" s="32" t="str">
        <f t="shared" si="8"/>
        <v>#NUM!</v>
      </c>
      <c r="N135" s="36" t="str">
        <f t="shared" si="9"/>
        <v>#NUM!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7">
        <v>122.0</v>
      </c>
      <c r="F136" s="34">
        <f t="shared" si="2"/>
        <v>47177</v>
      </c>
      <c r="G136" s="32" t="str">
        <f t="shared" si="3"/>
        <v>#NUM!</v>
      </c>
      <c r="H136" s="32">
        <f t="shared" si="4"/>
        <v>706.6954536</v>
      </c>
      <c r="I136" s="32" t="str">
        <f t="shared" si="5"/>
        <v>#NUM!</v>
      </c>
      <c r="J136" s="32" t="str">
        <f t="shared" si="6"/>
        <v>#NUM!</v>
      </c>
      <c r="K136" s="32" t="str">
        <f t="shared" si="7"/>
        <v>#NUM!</v>
      </c>
      <c r="L136" s="33" t="str">
        <f t="shared" si="1"/>
        <v>#NUM!</v>
      </c>
      <c r="M136" s="32" t="str">
        <f t="shared" si="8"/>
        <v>#NUM!</v>
      </c>
      <c r="N136" s="36" t="str">
        <f t="shared" si="9"/>
        <v>#NUM!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7">
        <v>123.0</v>
      </c>
      <c r="F137" s="34">
        <f t="shared" si="2"/>
        <v>47208</v>
      </c>
      <c r="G137" s="32" t="str">
        <f t="shared" si="3"/>
        <v>#NUM!</v>
      </c>
      <c r="H137" s="32">
        <f t="shared" si="4"/>
        <v>706.6954536</v>
      </c>
      <c r="I137" s="32" t="str">
        <f t="shared" si="5"/>
        <v>#NUM!</v>
      </c>
      <c r="J137" s="32" t="str">
        <f t="shared" si="6"/>
        <v>#NUM!</v>
      </c>
      <c r="K137" s="32" t="str">
        <f t="shared" si="7"/>
        <v>#NUM!</v>
      </c>
      <c r="L137" s="33" t="str">
        <f t="shared" si="1"/>
        <v>#NUM!</v>
      </c>
      <c r="M137" s="32" t="str">
        <f t="shared" si="8"/>
        <v>#NUM!</v>
      </c>
      <c r="N137" s="36" t="str">
        <f t="shared" si="9"/>
        <v>#NUM!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7">
        <v>124.0</v>
      </c>
      <c r="F138" s="34">
        <f t="shared" si="2"/>
        <v>47238</v>
      </c>
      <c r="G138" s="32" t="str">
        <f t="shared" si="3"/>
        <v>#NUM!</v>
      </c>
      <c r="H138" s="32">
        <f t="shared" si="4"/>
        <v>706.6954536</v>
      </c>
      <c r="I138" s="32" t="str">
        <f t="shared" si="5"/>
        <v>#NUM!</v>
      </c>
      <c r="J138" s="32" t="str">
        <f t="shared" si="6"/>
        <v>#NUM!</v>
      </c>
      <c r="K138" s="32" t="str">
        <f t="shared" si="7"/>
        <v>#NUM!</v>
      </c>
      <c r="L138" s="33" t="str">
        <f t="shared" si="1"/>
        <v>#NUM!</v>
      </c>
      <c r="M138" s="32" t="str">
        <f t="shared" si="8"/>
        <v>#NUM!</v>
      </c>
      <c r="N138" s="36" t="str">
        <f t="shared" si="9"/>
        <v>#NUM!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7">
        <v>125.0</v>
      </c>
      <c r="F139" s="34">
        <f t="shared" si="2"/>
        <v>47269</v>
      </c>
      <c r="G139" s="32" t="str">
        <f t="shared" si="3"/>
        <v>#NUM!</v>
      </c>
      <c r="H139" s="32">
        <f t="shared" si="4"/>
        <v>706.6954536</v>
      </c>
      <c r="I139" s="32" t="str">
        <f t="shared" si="5"/>
        <v>#NUM!</v>
      </c>
      <c r="J139" s="32" t="str">
        <f t="shared" si="6"/>
        <v>#NUM!</v>
      </c>
      <c r="K139" s="32" t="str">
        <f t="shared" si="7"/>
        <v>#NUM!</v>
      </c>
      <c r="L139" s="33" t="str">
        <f t="shared" si="1"/>
        <v>#NUM!</v>
      </c>
      <c r="M139" s="32" t="str">
        <f t="shared" si="8"/>
        <v>#NUM!</v>
      </c>
      <c r="N139" s="36" t="str">
        <f t="shared" si="9"/>
        <v>#NUM!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7">
        <v>126.0</v>
      </c>
      <c r="F140" s="34">
        <f t="shared" si="2"/>
        <v>47299</v>
      </c>
      <c r="G140" s="32" t="str">
        <f t="shared" si="3"/>
        <v>#NUM!</v>
      </c>
      <c r="H140" s="32">
        <f t="shared" si="4"/>
        <v>706.6954536</v>
      </c>
      <c r="I140" s="32" t="str">
        <f t="shared" si="5"/>
        <v>#NUM!</v>
      </c>
      <c r="J140" s="32" t="str">
        <f t="shared" si="6"/>
        <v>#NUM!</v>
      </c>
      <c r="K140" s="32" t="str">
        <f t="shared" si="7"/>
        <v>#NUM!</v>
      </c>
      <c r="L140" s="33" t="str">
        <f t="shared" si="1"/>
        <v>#NUM!</v>
      </c>
      <c r="M140" s="32" t="str">
        <f t="shared" si="8"/>
        <v>#NUM!</v>
      </c>
      <c r="N140" s="36" t="str">
        <f t="shared" si="9"/>
        <v>#NUM!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7">
        <v>127.0</v>
      </c>
      <c r="F141" s="34">
        <f t="shared" si="2"/>
        <v>47330</v>
      </c>
      <c r="G141" s="32" t="str">
        <f t="shared" si="3"/>
        <v>#NUM!</v>
      </c>
      <c r="H141" s="32">
        <f t="shared" si="4"/>
        <v>706.6954536</v>
      </c>
      <c r="I141" s="32" t="str">
        <f t="shared" si="5"/>
        <v>#NUM!</v>
      </c>
      <c r="J141" s="32" t="str">
        <f t="shared" si="6"/>
        <v>#NUM!</v>
      </c>
      <c r="K141" s="32" t="str">
        <f t="shared" si="7"/>
        <v>#NUM!</v>
      </c>
      <c r="L141" s="33" t="str">
        <f t="shared" si="1"/>
        <v>#NUM!</v>
      </c>
      <c r="M141" s="32" t="str">
        <f t="shared" si="8"/>
        <v>#NUM!</v>
      </c>
      <c r="N141" s="36" t="str">
        <f t="shared" si="9"/>
        <v>#NUM!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7">
        <v>128.0</v>
      </c>
      <c r="F142" s="34">
        <f t="shared" si="2"/>
        <v>47361</v>
      </c>
      <c r="G142" s="32" t="str">
        <f t="shared" si="3"/>
        <v>#NUM!</v>
      </c>
      <c r="H142" s="32">
        <f t="shared" si="4"/>
        <v>706.6954536</v>
      </c>
      <c r="I142" s="32" t="str">
        <f t="shared" si="5"/>
        <v>#NUM!</v>
      </c>
      <c r="J142" s="32" t="str">
        <f t="shared" si="6"/>
        <v>#NUM!</v>
      </c>
      <c r="K142" s="32" t="str">
        <f t="shared" si="7"/>
        <v>#NUM!</v>
      </c>
      <c r="L142" s="33" t="str">
        <f t="shared" si="1"/>
        <v>#NUM!</v>
      </c>
      <c r="M142" s="32" t="str">
        <f t="shared" si="8"/>
        <v>#NUM!</v>
      </c>
      <c r="N142" s="36" t="str">
        <f t="shared" si="9"/>
        <v>#NUM!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7">
        <v>129.0</v>
      </c>
      <c r="F143" s="34">
        <f t="shared" si="2"/>
        <v>47391</v>
      </c>
      <c r="G143" s="32" t="str">
        <f t="shared" si="3"/>
        <v>#NUM!</v>
      </c>
      <c r="H143" s="32">
        <f t="shared" si="4"/>
        <v>706.6954536</v>
      </c>
      <c r="I143" s="32" t="str">
        <f t="shared" si="5"/>
        <v>#NUM!</v>
      </c>
      <c r="J143" s="32" t="str">
        <f t="shared" si="6"/>
        <v>#NUM!</v>
      </c>
      <c r="K143" s="32" t="str">
        <f t="shared" si="7"/>
        <v>#NUM!</v>
      </c>
      <c r="L143" s="33" t="str">
        <f t="shared" si="1"/>
        <v>#NUM!</v>
      </c>
      <c r="M143" s="32" t="str">
        <f t="shared" si="8"/>
        <v>#NUM!</v>
      </c>
      <c r="N143" s="36" t="str">
        <f t="shared" si="9"/>
        <v>#NUM!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7">
        <v>130.0</v>
      </c>
      <c r="F144" s="34">
        <f t="shared" si="2"/>
        <v>47422</v>
      </c>
      <c r="G144" s="32" t="str">
        <f t="shared" si="3"/>
        <v>#NUM!</v>
      </c>
      <c r="H144" s="32">
        <f t="shared" si="4"/>
        <v>706.6954536</v>
      </c>
      <c r="I144" s="32" t="str">
        <f t="shared" si="5"/>
        <v>#NUM!</v>
      </c>
      <c r="J144" s="32" t="str">
        <f t="shared" si="6"/>
        <v>#NUM!</v>
      </c>
      <c r="K144" s="32" t="str">
        <f t="shared" si="7"/>
        <v>#NUM!</v>
      </c>
      <c r="L144" s="33" t="str">
        <f t="shared" si="1"/>
        <v>#NUM!</v>
      </c>
      <c r="M144" s="32" t="str">
        <f t="shared" si="8"/>
        <v>#NUM!</v>
      </c>
      <c r="N144" s="36" t="str">
        <f t="shared" si="9"/>
        <v>#NUM!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7">
        <v>131.0</v>
      </c>
      <c r="F145" s="34">
        <f t="shared" si="2"/>
        <v>47452</v>
      </c>
      <c r="G145" s="32" t="str">
        <f t="shared" si="3"/>
        <v>#NUM!</v>
      </c>
      <c r="H145" s="32">
        <f t="shared" si="4"/>
        <v>706.6954536</v>
      </c>
      <c r="I145" s="32" t="str">
        <f t="shared" si="5"/>
        <v>#NUM!</v>
      </c>
      <c r="J145" s="32" t="str">
        <f t="shared" si="6"/>
        <v>#NUM!</v>
      </c>
      <c r="K145" s="32" t="str">
        <f t="shared" si="7"/>
        <v>#NUM!</v>
      </c>
      <c r="L145" s="33" t="str">
        <f t="shared" si="1"/>
        <v>#NUM!</v>
      </c>
      <c r="M145" s="32" t="str">
        <f t="shared" si="8"/>
        <v>#NUM!</v>
      </c>
      <c r="N145" s="36" t="str">
        <f t="shared" si="9"/>
        <v>#NUM!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7">
        <v>132.0</v>
      </c>
      <c r="F146" s="34">
        <f t="shared" si="2"/>
        <v>47483</v>
      </c>
      <c r="G146" s="32" t="str">
        <f t="shared" si="3"/>
        <v>#NUM!</v>
      </c>
      <c r="H146" s="32">
        <f t="shared" si="4"/>
        <v>706.6954536</v>
      </c>
      <c r="I146" s="32" t="str">
        <f t="shared" si="5"/>
        <v>#NUM!</v>
      </c>
      <c r="J146" s="32" t="str">
        <f t="shared" si="6"/>
        <v>#NUM!</v>
      </c>
      <c r="K146" s="32" t="str">
        <f t="shared" si="7"/>
        <v>#NUM!</v>
      </c>
      <c r="L146" s="33" t="str">
        <f t="shared" si="1"/>
        <v>#NUM!</v>
      </c>
      <c r="M146" s="32" t="str">
        <f t="shared" si="8"/>
        <v>#NUM!</v>
      </c>
      <c r="N146" s="36" t="str">
        <f t="shared" si="9"/>
        <v>#NUM!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7">
        <v>133.0</v>
      </c>
      <c r="F147" s="34">
        <f t="shared" si="2"/>
        <v>47514</v>
      </c>
      <c r="G147" s="32" t="str">
        <f t="shared" si="3"/>
        <v>#NUM!</v>
      </c>
      <c r="H147" s="32">
        <f t="shared" si="4"/>
        <v>706.6954536</v>
      </c>
      <c r="I147" s="32" t="str">
        <f t="shared" si="5"/>
        <v>#NUM!</v>
      </c>
      <c r="J147" s="32" t="str">
        <f t="shared" si="6"/>
        <v>#NUM!</v>
      </c>
      <c r="K147" s="32" t="str">
        <f t="shared" si="7"/>
        <v>#NUM!</v>
      </c>
      <c r="L147" s="33" t="str">
        <f t="shared" si="1"/>
        <v>#NUM!</v>
      </c>
      <c r="M147" s="32" t="str">
        <f t="shared" si="8"/>
        <v>#NUM!</v>
      </c>
      <c r="N147" s="36" t="str">
        <f t="shared" si="9"/>
        <v>#NUM!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7">
        <v>134.0</v>
      </c>
      <c r="F148" s="34">
        <f t="shared" si="2"/>
        <v>47542</v>
      </c>
      <c r="G148" s="32" t="str">
        <f t="shared" si="3"/>
        <v>#NUM!</v>
      </c>
      <c r="H148" s="32">
        <f t="shared" si="4"/>
        <v>706.6954536</v>
      </c>
      <c r="I148" s="32" t="str">
        <f t="shared" si="5"/>
        <v>#NUM!</v>
      </c>
      <c r="J148" s="32" t="str">
        <f t="shared" si="6"/>
        <v>#NUM!</v>
      </c>
      <c r="K148" s="32" t="str">
        <f t="shared" si="7"/>
        <v>#NUM!</v>
      </c>
      <c r="L148" s="33" t="str">
        <f t="shared" si="1"/>
        <v>#NUM!</v>
      </c>
      <c r="M148" s="32" t="str">
        <f t="shared" si="8"/>
        <v>#NUM!</v>
      </c>
      <c r="N148" s="36" t="str">
        <f t="shared" si="9"/>
        <v>#NUM!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7">
        <v>135.0</v>
      </c>
      <c r="F149" s="34">
        <f t="shared" si="2"/>
        <v>47573</v>
      </c>
      <c r="G149" s="32" t="str">
        <f t="shared" si="3"/>
        <v>#NUM!</v>
      </c>
      <c r="H149" s="32">
        <f t="shared" si="4"/>
        <v>706.6954536</v>
      </c>
      <c r="I149" s="32" t="str">
        <f t="shared" si="5"/>
        <v>#NUM!</v>
      </c>
      <c r="J149" s="32" t="str">
        <f t="shared" si="6"/>
        <v>#NUM!</v>
      </c>
      <c r="K149" s="32" t="str">
        <f t="shared" si="7"/>
        <v>#NUM!</v>
      </c>
      <c r="L149" s="33" t="str">
        <f t="shared" si="1"/>
        <v>#NUM!</v>
      </c>
      <c r="M149" s="32" t="str">
        <f t="shared" si="8"/>
        <v>#NUM!</v>
      </c>
      <c r="N149" s="36" t="str">
        <f t="shared" si="9"/>
        <v>#NUM!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7">
        <v>136.0</v>
      </c>
      <c r="F150" s="34">
        <f t="shared" si="2"/>
        <v>47603</v>
      </c>
      <c r="G150" s="32" t="str">
        <f t="shared" si="3"/>
        <v>#NUM!</v>
      </c>
      <c r="H150" s="32">
        <f t="shared" si="4"/>
        <v>706.6954536</v>
      </c>
      <c r="I150" s="32" t="str">
        <f t="shared" si="5"/>
        <v>#NUM!</v>
      </c>
      <c r="J150" s="32" t="str">
        <f t="shared" si="6"/>
        <v>#NUM!</v>
      </c>
      <c r="K150" s="32" t="str">
        <f t="shared" si="7"/>
        <v>#NUM!</v>
      </c>
      <c r="L150" s="33" t="str">
        <f t="shared" si="1"/>
        <v>#NUM!</v>
      </c>
      <c r="M150" s="32" t="str">
        <f t="shared" si="8"/>
        <v>#NUM!</v>
      </c>
      <c r="N150" s="36" t="str">
        <f t="shared" si="9"/>
        <v>#NUM!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7">
        <v>137.0</v>
      </c>
      <c r="F151" s="34">
        <f t="shared" si="2"/>
        <v>47634</v>
      </c>
      <c r="G151" s="32" t="str">
        <f t="shared" si="3"/>
        <v>#NUM!</v>
      </c>
      <c r="H151" s="32">
        <f t="shared" si="4"/>
        <v>706.6954536</v>
      </c>
      <c r="I151" s="32" t="str">
        <f t="shared" si="5"/>
        <v>#NUM!</v>
      </c>
      <c r="J151" s="32" t="str">
        <f t="shared" si="6"/>
        <v>#NUM!</v>
      </c>
      <c r="K151" s="32" t="str">
        <f t="shared" si="7"/>
        <v>#NUM!</v>
      </c>
      <c r="L151" s="33" t="str">
        <f t="shared" si="1"/>
        <v>#NUM!</v>
      </c>
      <c r="M151" s="32" t="str">
        <f t="shared" si="8"/>
        <v>#NUM!</v>
      </c>
      <c r="N151" s="36" t="str">
        <f t="shared" si="9"/>
        <v>#NUM!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7">
        <v>138.0</v>
      </c>
      <c r="F152" s="34">
        <f t="shared" si="2"/>
        <v>47664</v>
      </c>
      <c r="G152" s="32" t="str">
        <f t="shared" si="3"/>
        <v>#NUM!</v>
      </c>
      <c r="H152" s="32">
        <f t="shared" si="4"/>
        <v>706.6954536</v>
      </c>
      <c r="I152" s="32" t="str">
        <f t="shared" si="5"/>
        <v>#NUM!</v>
      </c>
      <c r="J152" s="32" t="str">
        <f t="shared" si="6"/>
        <v>#NUM!</v>
      </c>
      <c r="K152" s="32" t="str">
        <f t="shared" si="7"/>
        <v>#NUM!</v>
      </c>
      <c r="L152" s="33" t="str">
        <f t="shared" si="1"/>
        <v>#NUM!</v>
      </c>
      <c r="M152" s="32" t="str">
        <f t="shared" si="8"/>
        <v>#NUM!</v>
      </c>
      <c r="N152" s="36" t="str">
        <f t="shared" si="9"/>
        <v>#NUM!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7">
        <v>139.0</v>
      </c>
      <c r="F153" s="34">
        <f t="shared" si="2"/>
        <v>47695</v>
      </c>
      <c r="G153" s="32" t="str">
        <f t="shared" si="3"/>
        <v>#NUM!</v>
      </c>
      <c r="H153" s="32">
        <f t="shared" si="4"/>
        <v>706.6954536</v>
      </c>
      <c r="I153" s="32" t="str">
        <f t="shared" si="5"/>
        <v>#NUM!</v>
      </c>
      <c r="J153" s="32" t="str">
        <f t="shared" si="6"/>
        <v>#NUM!</v>
      </c>
      <c r="K153" s="32" t="str">
        <f t="shared" si="7"/>
        <v>#NUM!</v>
      </c>
      <c r="L153" s="33" t="str">
        <f t="shared" si="1"/>
        <v>#NUM!</v>
      </c>
      <c r="M153" s="32" t="str">
        <f t="shared" si="8"/>
        <v>#NUM!</v>
      </c>
      <c r="N153" s="36" t="str">
        <f t="shared" si="9"/>
        <v>#NUM!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7">
        <v>140.0</v>
      </c>
      <c r="F154" s="34">
        <f t="shared" si="2"/>
        <v>47726</v>
      </c>
      <c r="G154" s="32" t="str">
        <f t="shared" si="3"/>
        <v>#NUM!</v>
      </c>
      <c r="H154" s="32">
        <f t="shared" si="4"/>
        <v>706.6954536</v>
      </c>
      <c r="I154" s="32" t="str">
        <f t="shared" si="5"/>
        <v>#NUM!</v>
      </c>
      <c r="J154" s="32" t="str">
        <f t="shared" si="6"/>
        <v>#NUM!</v>
      </c>
      <c r="K154" s="32" t="str">
        <f t="shared" si="7"/>
        <v>#NUM!</v>
      </c>
      <c r="L154" s="33" t="str">
        <f t="shared" si="1"/>
        <v>#NUM!</v>
      </c>
      <c r="M154" s="32" t="str">
        <f t="shared" si="8"/>
        <v>#NUM!</v>
      </c>
      <c r="N154" s="36" t="str">
        <f t="shared" si="9"/>
        <v>#NUM!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7">
        <v>141.0</v>
      </c>
      <c r="F155" s="34">
        <f t="shared" si="2"/>
        <v>47756</v>
      </c>
      <c r="G155" s="32" t="str">
        <f t="shared" si="3"/>
        <v>#NUM!</v>
      </c>
      <c r="H155" s="32">
        <f t="shared" si="4"/>
        <v>706.6954536</v>
      </c>
      <c r="I155" s="32" t="str">
        <f t="shared" si="5"/>
        <v>#NUM!</v>
      </c>
      <c r="J155" s="32" t="str">
        <f t="shared" si="6"/>
        <v>#NUM!</v>
      </c>
      <c r="K155" s="32" t="str">
        <f t="shared" si="7"/>
        <v>#NUM!</v>
      </c>
      <c r="L155" s="33" t="str">
        <f t="shared" si="1"/>
        <v>#NUM!</v>
      </c>
      <c r="M155" s="32" t="str">
        <f t="shared" si="8"/>
        <v>#NUM!</v>
      </c>
      <c r="N155" s="36" t="str">
        <f t="shared" si="9"/>
        <v>#NUM!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7">
        <v>142.0</v>
      </c>
      <c r="F156" s="34">
        <f t="shared" si="2"/>
        <v>47787</v>
      </c>
      <c r="G156" s="32" t="str">
        <f t="shared" si="3"/>
        <v>#NUM!</v>
      </c>
      <c r="H156" s="32">
        <f t="shared" si="4"/>
        <v>706.6954536</v>
      </c>
      <c r="I156" s="32" t="str">
        <f t="shared" si="5"/>
        <v>#NUM!</v>
      </c>
      <c r="J156" s="32" t="str">
        <f t="shared" si="6"/>
        <v>#NUM!</v>
      </c>
      <c r="K156" s="32" t="str">
        <f t="shared" si="7"/>
        <v>#NUM!</v>
      </c>
      <c r="L156" s="33" t="str">
        <f t="shared" si="1"/>
        <v>#NUM!</v>
      </c>
      <c r="M156" s="32" t="str">
        <f t="shared" si="8"/>
        <v>#NUM!</v>
      </c>
      <c r="N156" s="36" t="str">
        <f t="shared" si="9"/>
        <v>#NUM!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7">
        <v>143.0</v>
      </c>
      <c r="F157" s="34">
        <f t="shared" si="2"/>
        <v>47817</v>
      </c>
      <c r="G157" s="32" t="str">
        <f t="shared" si="3"/>
        <v>#NUM!</v>
      </c>
      <c r="H157" s="32">
        <f t="shared" si="4"/>
        <v>706.6954536</v>
      </c>
      <c r="I157" s="32" t="str">
        <f t="shared" si="5"/>
        <v>#NUM!</v>
      </c>
      <c r="J157" s="32" t="str">
        <f t="shared" si="6"/>
        <v>#NUM!</v>
      </c>
      <c r="K157" s="32" t="str">
        <f t="shared" si="7"/>
        <v>#NUM!</v>
      </c>
      <c r="L157" s="33" t="str">
        <f t="shared" si="1"/>
        <v>#NUM!</v>
      </c>
      <c r="M157" s="32" t="str">
        <f t="shared" si="8"/>
        <v>#NUM!</v>
      </c>
      <c r="N157" s="36" t="str">
        <f t="shared" si="9"/>
        <v>#NUM!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7">
        <v>144.0</v>
      </c>
      <c r="F158" s="34">
        <f t="shared" si="2"/>
        <v>47848</v>
      </c>
      <c r="G158" s="32" t="str">
        <f t="shared" si="3"/>
        <v>#NUM!</v>
      </c>
      <c r="H158" s="32">
        <f t="shared" si="4"/>
        <v>706.6954536</v>
      </c>
      <c r="I158" s="32" t="str">
        <f t="shared" si="5"/>
        <v>#NUM!</v>
      </c>
      <c r="J158" s="32" t="str">
        <f t="shared" si="6"/>
        <v>#NUM!</v>
      </c>
      <c r="K158" s="32" t="str">
        <f t="shared" si="7"/>
        <v>#NUM!</v>
      </c>
      <c r="L158" s="33" t="str">
        <f t="shared" si="1"/>
        <v>#NUM!</v>
      </c>
      <c r="M158" s="32" t="str">
        <f t="shared" si="8"/>
        <v>#NUM!</v>
      </c>
      <c r="N158" s="36" t="str">
        <f t="shared" si="9"/>
        <v>#NUM!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7">
        <v>145.0</v>
      </c>
      <c r="F159" s="34">
        <f t="shared" si="2"/>
        <v>47879</v>
      </c>
      <c r="G159" s="32" t="str">
        <f t="shared" si="3"/>
        <v>#NUM!</v>
      </c>
      <c r="H159" s="32">
        <f t="shared" si="4"/>
        <v>706.6954536</v>
      </c>
      <c r="I159" s="32" t="str">
        <f t="shared" si="5"/>
        <v>#NUM!</v>
      </c>
      <c r="J159" s="32" t="str">
        <f t="shared" si="6"/>
        <v>#NUM!</v>
      </c>
      <c r="K159" s="32" t="str">
        <f t="shared" si="7"/>
        <v>#NUM!</v>
      </c>
      <c r="L159" s="33" t="str">
        <f t="shared" si="1"/>
        <v>#NUM!</v>
      </c>
      <c r="M159" s="32" t="str">
        <f t="shared" si="8"/>
        <v>#NUM!</v>
      </c>
      <c r="N159" s="36" t="str">
        <f t="shared" si="9"/>
        <v>#NUM!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7">
        <v>146.0</v>
      </c>
      <c r="F160" s="34">
        <f t="shared" si="2"/>
        <v>47907</v>
      </c>
      <c r="G160" s="32" t="str">
        <f t="shared" si="3"/>
        <v>#NUM!</v>
      </c>
      <c r="H160" s="32">
        <f t="shared" si="4"/>
        <v>706.6954536</v>
      </c>
      <c r="I160" s="32" t="str">
        <f t="shared" si="5"/>
        <v>#NUM!</v>
      </c>
      <c r="J160" s="32" t="str">
        <f t="shared" si="6"/>
        <v>#NUM!</v>
      </c>
      <c r="K160" s="32" t="str">
        <f t="shared" si="7"/>
        <v>#NUM!</v>
      </c>
      <c r="L160" s="33" t="str">
        <f t="shared" si="1"/>
        <v>#NUM!</v>
      </c>
      <c r="M160" s="32" t="str">
        <f t="shared" si="8"/>
        <v>#NUM!</v>
      </c>
      <c r="N160" s="36" t="str">
        <f t="shared" si="9"/>
        <v>#NUM!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7">
        <v>147.0</v>
      </c>
      <c r="F161" s="34">
        <f t="shared" si="2"/>
        <v>47938</v>
      </c>
      <c r="G161" s="32" t="str">
        <f t="shared" si="3"/>
        <v>#NUM!</v>
      </c>
      <c r="H161" s="32">
        <f t="shared" si="4"/>
        <v>706.6954536</v>
      </c>
      <c r="I161" s="32" t="str">
        <f t="shared" si="5"/>
        <v>#NUM!</v>
      </c>
      <c r="J161" s="32" t="str">
        <f t="shared" si="6"/>
        <v>#NUM!</v>
      </c>
      <c r="K161" s="32" t="str">
        <f t="shared" si="7"/>
        <v>#NUM!</v>
      </c>
      <c r="L161" s="33" t="str">
        <f t="shared" si="1"/>
        <v>#NUM!</v>
      </c>
      <c r="M161" s="32" t="str">
        <f t="shared" si="8"/>
        <v>#NUM!</v>
      </c>
      <c r="N161" s="36" t="str">
        <f t="shared" si="9"/>
        <v>#NUM!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7">
        <v>148.0</v>
      </c>
      <c r="F162" s="34">
        <f t="shared" si="2"/>
        <v>47968</v>
      </c>
      <c r="G162" s="32" t="str">
        <f t="shared" si="3"/>
        <v>#NUM!</v>
      </c>
      <c r="H162" s="32">
        <f t="shared" si="4"/>
        <v>706.6954536</v>
      </c>
      <c r="I162" s="32" t="str">
        <f t="shared" si="5"/>
        <v>#NUM!</v>
      </c>
      <c r="J162" s="32" t="str">
        <f t="shared" si="6"/>
        <v>#NUM!</v>
      </c>
      <c r="K162" s="32" t="str">
        <f t="shared" si="7"/>
        <v>#NUM!</v>
      </c>
      <c r="L162" s="33" t="str">
        <f t="shared" si="1"/>
        <v>#NUM!</v>
      </c>
      <c r="M162" s="32" t="str">
        <f t="shared" si="8"/>
        <v>#NUM!</v>
      </c>
      <c r="N162" s="36" t="str">
        <f t="shared" si="9"/>
        <v>#NUM!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7">
        <v>149.0</v>
      </c>
      <c r="F163" s="34">
        <f t="shared" si="2"/>
        <v>47999</v>
      </c>
      <c r="G163" s="32" t="str">
        <f t="shared" si="3"/>
        <v>#NUM!</v>
      </c>
      <c r="H163" s="32">
        <f t="shared" si="4"/>
        <v>706.6954536</v>
      </c>
      <c r="I163" s="32" t="str">
        <f t="shared" si="5"/>
        <v>#NUM!</v>
      </c>
      <c r="J163" s="32" t="str">
        <f t="shared" si="6"/>
        <v>#NUM!</v>
      </c>
      <c r="K163" s="32" t="str">
        <f t="shared" si="7"/>
        <v>#NUM!</v>
      </c>
      <c r="L163" s="33" t="str">
        <f t="shared" si="1"/>
        <v>#NUM!</v>
      </c>
      <c r="M163" s="32" t="str">
        <f t="shared" si="8"/>
        <v>#NUM!</v>
      </c>
      <c r="N163" s="36" t="str">
        <f t="shared" si="9"/>
        <v>#NUM!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7">
        <v>150.0</v>
      </c>
      <c r="F164" s="34">
        <f t="shared" si="2"/>
        <v>48029</v>
      </c>
      <c r="G164" s="32" t="str">
        <f t="shared" si="3"/>
        <v>#NUM!</v>
      </c>
      <c r="H164" s="32">
        <f t="shared" si="4"/>
        <v>706.6954536</v>
      </c>
      <c r="I164" s="32" t="str">
        <f t="shared" si="5"/>
        <v>#NUM!</v>
      </c>
      <c r="J164" s="32" t="str">
        <f t="shared" si="6"/>
        <v>#NUM!</v>
      </c>
      <c r="K164" s="32" t="str">
        <f t="shared" si="7"/>
        <v>#NUM!</v>
      </c>
      <c r="L164" s="33" t="str">
        <f t="shared" si="1"/>
        <v>#NUM!</v>
      </c>
      <c r="M164" s="32" t="str">
        <f t="shared" si="8"/>
        <v>#NUM!</v>
      </c>
      <c r="N164" s="36" t="str">
        <f t="shared" si="9"/>
        <v>#NUM!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7">
        <v>151.0</v>
      </c>
      <c r="F165" s="34">
        <f t="shared" si="2"/>
        <v>48060</v>
      </c>
      <c r="G165" s="32" t="str">
        <f t="shared" si="3"/>
        <v>#NUM!</v>
      </c>
      <c r="H165" s="32">
        <f t="shared" si="4"/>
        <v>706.6954536</v>
      </c>
      <c r="I165" s="32" t="str">
        <f t="shared" si="5"/>
        <v>#NUM!</v>
      </c>
      <c r="J165" s="32" t="str">
        <f t="shared" si="6"/>
        <v>#NUM!</v>
      </c>
      <c r="K165" s="32" t="str">
        <f t="shared" si="7"/>
        <v>#NUM!</v>
      </c>
      <c r="L165" s="33" t="str">
        <f t="shared" si="1"/>
        <v>#NUM!</v>
      </c>
      <c r="M165" s="32" t="str">
        <f t="shared" si="8"/>
        <v>#NUM!</v>
      </c>
      <c r="N165" s="36" t="str">
        <f t="shared" si="9"/>
        <v>#NUM!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7">
        <v>152.0</v>
      </c>
      <c r="F166" s="34">
        <f t="shared" si="2"/>
        <v>48091</v>
      </c>
      <c r="G166" s="32" t="str">
        <f t="shared" si="3"/>
        <v>#NUM!</v>
      </c>
      <c r="H166" s="32">
        <f t="shared" si="4"/>
        <v>706.6954536</v>
      </c>
      <c r="I166" s="32" t="str">
        <f t="shared" si="5"/>
        <v>#NUM!</v>
      </c>
      <c r="J166" s="32" t="str">
        <f t="shared" si="6"/>
        <v>#NUM!</v>
      </c>
      <c r="K166" s="32" t="str">
        <f t="shared" si="7"/>
        <v>#NUM!</v>
      </c>
      <c r="L166" s="33" t="str">
        <f t="shared" si="1"/>
        <v>#NUM!</v>
      </c>
      <c r="M166" s="32" t="str">
        <f t="shared" si="8"/>
        <v>#NUM!</v>
      </c>
      <c r="N166" s="36" t="str">
        <f t="shared" si="9"/>
        <v>#NUM!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7">
        <v>153.0</v>
      </c>
      <c r="F167" s="34">
        <f t="shared" si="2"/>
        <v>48121</v>
      </c>
      <c r="G167" s="32" t="str">
        <f t="shared" si="3"/>
        <v>#NUM!</v>
      </c>
      <c r="H167" s="32">
        <f t="shared" si="4"/>
        <v>706.6954536</v>
      </c>
      <c r="I167" s="32" t="str">
        <f t="shared" si="5"/>
        <v>#NUM!</v>
      </c>
      <c r="J167" s="32" t="str">
        <f t="shared" si="6"/>
        <v>#NUM!</v>
      </c>
      <c r="K167" s="32" t="str">
        <f t="shared" si="7"/>
        <v>#NUM!</v>
      </c>
      <c r="L167" s="33" t="str">
        <f t="shared" si="1"/>
        <v>#NUM!</v>
      </c>
      <c r="M167" s="32" t="str">
        <f t="shared" si="8"/>
        <v>#NUM!</v>
      </c>
      <c r="N167" s="36" t="str">
        <f t="shared" si="9"/>
        <v>#NUM!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7">
        <v>154.0</v>
      </c>
      <c r="F168" s="34">
        <f t="shared" si="2"/>
        <v>48152</v>
      </c>
      <c r="G168" s="32" t="str">
        <f t="shared" si="3"/>
        <v>#NUM!</v>
      </c>
      <c r="H168" s="32">
        <f t="shared" si="4"/>
        <v>706.6954536</v>
      </c>
      <c r="I168" s="32" t="str">
        <f t="shared" si="5"/>
        <v>#NUM!</v>
      </c>
      <c r="J168" s="32" t="str">
        <f t="shared" si="6"/>
        <v>#NUM!</v>
      </c>
      <c r="K168" s="32" t="str">
        <f t="shared" si="7"/>
        <v>#NUM!</v>
      </c>
      <c r="L168" s="33" t="str">
        <f t="shared" si="1"/>
        <v>#NUM!</v>
      </c>
      <c r="M168" s="32" t="str">
        <f t="shared" si="8"/>
        <v>#NUM!</v>
      </c>
      <c r="N168" s="36" t="str">
        <f t="shared" si="9"/>
        <v>#NUM!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7">
        <v>155.0</v>
      </c>
      <c r="F169" s="34">
        <f t="shared" si="2"/>
        <v>48182</v>
      </c>
      <c r="G169" s="32" t="str">
        <f t="shared" si="3"/>
        <v>#NUM!</v>
      </c>
      <c r="H169" s="32">
        <f t="shared" si="4"/>
        <v>706.6954536</v>
      </c>
      <c r="I169" s="32" t="str">
        <f t="shared" si="5"/>
        <v>#NUM!</v>
      </c>
      <c r="J169" s="32" t="str">
        <f t="shared" si="6"/>
        <v>#NUM!</v>
      </c>
      <c r="K169" s="32" t="str">
        <f t="shared" si="7"/>
        <v>#NUM!</v>
      </c>
      <c r="L169" s="33" t="str">
        <f t="shared" si="1"/>
        <v>#NUM!</v>
      </c>
      <c r="M169" s="32" t="str">
        <f t="shared" si="8"/>
        <v>#NUM!</v>
      </c>
      <c r="N169" s="36" t="str">
        <f t="shared" si="9"/>
        <v>#NUM!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7">
        <v>156.0</v>
      </c>
      <c r="F170" s="34">
        <f t="shared" si="2"/>
        <v>48213</v>
      </c>
      <c r="G170" s="32" t="str">
        <f t="shared" si="3"/>
        <v>#NUM!</v>
      </c>
      <c r="H170" s="32">
        <f t="shared" si="4"/>
        <v>706.6954536</v>
      </c>
      <c r="I170" s="32" t="str">
        <f t="shared" si="5"/>
        <v>#NUM!</v>
      </c>
      <c r="J170" s="32" t="str">
        <f t="shared" si="6"/>
        <v>#NUM!</v>
      </c>
      <c r="K170" s="32" t="str">
        <f t="shared" si="7"/>
        <v>#NUM!</v>
      </c>
      <c r="L170" s="33" t="str">
        <f t="shared" si="1"/>
        <v>#NUM!</v>
      </c>
      <c r="M170" s="32" t="str">
        <f t="shared" si="8"/>
        <v>#NUM!</v>
      </c>
      <c r="N170" s="36" t="str">
        <f t="shared" si="9"/>
        <v>#NUM!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7">
        <v>157.0</v>
      </c>
      <c r="F171" s="34">
        <f t="shared" si="2"/>
        <v>48244</v>
      </c>
      <c r="G171" s="32" t="str">
        <f t="shared" si="3"/>
        <v>#NUM!</v>
      </c>
      <c r="H171" s="32">
        <f t="shared" si="4"/>
        <v>706.6954536</v>
      </c>
      <c r="I171" s="32" t="str">
        <f t="shared" si="5"/>
        <v>#NUM!</v>
      </c>
      <c r="J171" s="32" t="str">
        <f t="shared" si="6"/>
        <v>#NUM!</v>
      </c>
      <c r="K171" s="32" t="str">
        <f t="shared" si="7"/>
        <v>#NUM!</v>
      </c>
      <c r="L171" s="33" t="str">
        <f t="shared" si="1"/>
        <v>#NUM!</v>
      </c>
      <c r="M171" s="32" t="str">
        <f t="shared" si="8"/>
        <v>#NUM!</v>
      </c>
      <c r="N171" s="36" t="str">
        <f t="shared" si="9"/>
        <v>#NUM!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7">
        <v>158.0</v>
      </c>
      <c r="F172" s="34">
        <f t="shared" si="2"/>
        <v>48273</v>
      </c>
      <c r="G172" s="32" t="str">
        <f t="shared" si="3"/>
        <v>#NUM!</v>
      </c>
      <c r="H172" s="32">
        <f t="shared" si="4"/>
        <v>706.6954536</v>
      </c>
      <c r="I172" s="32" t="str">
        <f t="shared" si="5"/>
        <v>#NUM!</v>
      </c>
      <c r="J172" s="32" t="str">
        <f t="shared" si="6"/>
        <v>#NUM!</v>
      </c>
      <c r="K172" s="32" t="str">
        <f t="shared" si="7"/>
        <v>#NUM!</v>
      </c>
      <c r="L172" s="33" t="str">
        <f t="shared" si="1"/>
        <v>#NUM!</v>
      </c>
      <c r="M172" s="32" t="str">
        <f t="shared" si="8"/>
        <v>#NUM!</v>
      </c>
      <c r="N172" s="36" t="str">
        <f t="shared" si="9"/>
        <v>#NUM!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7">
        <v>159.0</v>
      </c>
      <c r="F173" s="34">
        <f t="shared" si="2"/>
        <v>48304</v>
      </c>
      <c r="G173" s="32" t="str">
        <f t="shared" si="3"/>
        <v>#NUM!</v>
      </c>
      <c r="H173" s="32">
        <f t="shared" si="4"/>
        <v>706.6954536</v>
      </c>
      <c r="I173" s="32" t="str">
        <f t="shared" si="5"/>
        <v>#NUM!</v>
      </c>
      <c r="J173" s="32" t="str">
        <f t="shared" si="6"/>
        <v>#NUM!</v>
      </c>
      <c r="K173" s="32" t="str">
        <f t="shared" si="7"/>
        <v>#NUM!</v>
      </c>
      <c r="L173" s="33" t="str">
        <f t="shared" si="1"/>
        <v>#NUM!</v>
      </c>
      <c r="M173" s="32" t="str">
        <f t="shared" si="8"/>
        <v>#NUM!</v>
      </c>
      <c r="N173" s="36" t="str">
        <f t="shared" si="9"/>
        <v>#NUM!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7">
        <v>160.0</v>
      </c>
      <c r="F174" s="34">
        <f t="shared" si="2"/>
        <v>48334</v>
      </c>
      <c r="G174" s="32" t="str">
        <f t="shared" si="3"/>
        <v>#NUM!</v>
      </c>
      <c r="H174" s="32">
        <f t="shared" si="4"/>
        <v>706.6954536</v>
      </c>
      <c r="I174" s="32" t="str">
        <f t="shared" si="5"/>
        <v>#NUM!</v>
      </c>
      <c r="J174" s="32" t="str">
        <f t="shared" si="6"/>
        <v>#NUM!</v>
      </c>
      <c r="K174" s="32" t="str">
        <f t="shared" si="7"/>
        <v>#NUM!</v>
      </c>
      <c r="L174" s="33" t="str">
        <f t="shared" si="1"/>
        <v>#NUM!</v>
      </c>
      <c r="M174" s="32" t="str">
        <f t="shared" si="8"/>
        <v>#NUM!</v>
      </c>
      <c r="N174" s="36" t="str">
        <f t="shared" si="9"/>
        <v>#NUM!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7">
        <v>161.0</v>
      </c>
      <c r="F175" s="34">
        <f t="shared" si="2"/>
        <v>48365</v>
      </c>
      <c r="G175" s="32" t="str">
        <f t="shared" si="3"/>
        <v>#NUM!</v>
      </c>
      <c r="H175" s="32">
        <f t="shared" si="4"/>
        <v>706.6954536</v>
      </c>
      <c r="I175" s="32" t="str">
        <f t="shared" si="5"/>
        <v>#NUM!</v>
      </c>
      <c r="J175" s="32" t="str">
        <f t="shared" si="6"/>
        <v>#NUM!</v>
      </c>
      <c r="K175" s="32" t="str">
        <f t="shared" si="7"/>
        <v>#NUM!</v>
      </c>
      <c r="L175" s="33" t="str">
        <f t="shared" si="1"/>
        <v>#NUM!</v>
      </c>
      <c r="M175" s="32" t="str">
        <f t="shared" si="8"/>
        <v>#NUM!</v>
      </c>
      <c r="N175" s="36" t="str">
        <f t="shared" si="9"/>
        <v>#NUM!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7">
        <v>162.0</v>
      </c>
      <c r="F176" s="34">
        <f t="shared" si="2"/>
        <v>48395</v>
      </c>
      <c r="G176" s="32" t="str">
        <f t="shared" si="3"/>
        <v>#NUM!</v>
      </c>
      <c r="H176" s="32">
        <f t="shared" si="4"/>
        <v>706.6954536</v>
      </c>
      <c r="I176" s="32" t="str">
        <f t="shared" si="5"/>
        <v>#NUM!</v>
      </c>
      <c r="J176" s="32" t="str">
        <f t="shared" si="6"/>
        <v>#NUM!</v>
      </c>
      <c r="K176" s="32" t="str">
        <f t="shared" si="7"/>
        <v>#NUM!</v>
      </c>
      <c r="L176" s="33" t="str">
        <f t="shared" si="1"/>
        <v>#NUM!</v>
      </c>
      <c r="M176" s="32" t="str">
        <f t="shared" si="8"/>
        <v>#NUM!</v>
      </c>
      <c r="N176" s="36" t="str">
        <f t="shared" si="9"/>
        <v>#NUM!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7">
        <v>163.0</v>
      </c>
      <c r="F177" s="34">
        <f t="shared" si="2"/>
        <v>48426</v>
      </c>
      <c r="G177" s="32" t="str">
        <f t="shared" si="3"/>
        <v>#NUM!</v>
      </c>
      <c r="H177" s="32">
        <f t="shared" si="4"/>
        <v>706.6954536</v>
      </c>
      <c r="I177" s="32" t="str">
        <f t="shared" si="5"/>
        <v>#NUM!</v>
      </c>
      <c r="J177" s="32" t="str">
        <f t="shared" si="6"/>
        <v>#NUM!</v>
      </c>
      <c r="K177" s="32" t="str">
        <f t="shared" si="7"/>
        <v>#NUM!</v>
      </c>
      <c r="L177" s="33" t="str">
        <f t="shared" si="1"/>
        <v>#NUM!</v>
      </c>
      <c r="M177" s="32" t="str">
        <f t="shared" si="8"/>
        <v>#NUM!</v>
      </c>
      <c r="N177" s="36" t="str">
        <f t="shared" si="9"/>
        <v>#NUM!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7">
        <v>164.0</v>
      </c>
      <c r="F178" s="34">
        <f t="shared" si="2"/>
        <v>48457</v>
      </c>
      <c r="G178" s="32" t="str">
        <f t="shared" si="3"/>
        <v>#NUM!</v>
      </c>
      <c r="H178" s="32">
        <f t="shared" si="4"/>
        <v>706.6954536</v>
      </c>
      <c r="I178" s="32" t="str">
        <f t="shared" si="5"/>
        <v>#NUM!</v>
      </c>
      <c r="J178" s="32" t="str">
        <f t="shared" si="6"/>
        <v>#NUM!</v>
      </c>
      <c r="K178" s="32" t="str">
        <f t="shared" si="7"/>
        <v>#NUM!</v>
      </c>
      <c r="L178" s="33" t="str">
        <f t="shared" si="1"/>
        <v>#NUM!</v>
      </c>
      <c r="M178" s="32" t="str">
        <f t="shared" si="8"/>
        <v>#NUM!</v>
      </c>
      <c r="N178" s="36" t="str">
        <f t="shared" si="9"/>
        <v>#NUM!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7">
        <v>165.0</v>
      </c>
      <c r="F179" s="34">
        <f t="shared" si="2"/>
        <v>48487</v>
      </c>
      <c r="G179" s="32" t="str">
        <f t="shared" si="3"/>
        <v>#NUM!</v>
      </c>
      <c r="H179" s="32">
        <f t="shared" si="4"/>
        <v>706.6954536</v>
      </c>
      <c r="I179" s="32" t="str">
        <f t="shared" si="5"/>
        <v>#NUM!</v>
      </c>
      <c r="J179" s="32" t="str">
        <f t="shared" si="6"/>
        <v>#NUM!</v>
      </c>
      <c r="K179" s="32" t="str">
        <f t="shared" si="7"/>
        <v>#NUM!</v>
      </c>
      <c r="L179" s="33" t="str">
        <f t="shared" si="1"/>
        <v>#NUM!</v>
      </c>
      <c r="M179" s="32" t="str">
        <f t="shared" si="8"/>
        <v>#NUM!</v>
      </c>
      <c r="N179" s="36" t="str">
        <f t="shared" si="9"/>
        <v>#NUM!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7">
        <v>166.0</v>
      </c>
      <c r="F180" s="34">
        <f t="shared" si="2"/>
        <v>48518</v>
      </c>
      <c r="G180" s="32" t="str">
        <f t="shared" si="3"/>
        <v>#NUM!</v>
      </c>
      <c r="H180" s="32">
        <f t="shared" si="4"/>
        <v>706.6954536</v>
      </c>
      <c r="I180" s="32" t="str">
        <f t="shared" si="5"/>
        <v>#NUM!</v>
      </c>
      <c r="J180" s="32" t="str">
        <f t="shared" si="6"/>
        <v>#NUM!</v>
      </c>
      <c r="K180" s="32" t="str">
        <f t="shared" si="7"/>
        <v>#NUM!</v>
      </c>
      <c r="L180" s="33" t="str">
        <f t="shared" si="1"/>
        <v>#NUM!</v>
      </c>
      <c r="M180" s="32" t="str">
        <f t="shared" si="8"/>
        <v>#NUM!</v>
      </c>
      <c r="N180" s="36" t="str">
        <f t="shared" si="9"/>
        <v>#NUM!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7">
        <v>167.0</v>
      </c>
      <c r="F181" s="34">
        <f t="shared" si="2"/>
        <v>48548</v>
      </c>
      <c r="G181" s="32" t="str">
        <f t="shared" si="3"/>
        <v>#NUM!</v>
      </c>
      <c r="H181" s="32">
        <f t="shared" si="4"/>
        <v>706.6954536</v>
      </c>
      <c r="I181" s="32" t="str">
        <f t="shared" si="5"/>
        <v>#NUM!</v>
      </c>
      <c r="J181" s="32" t="str">
        <f t="shared" si="6"/>
        <v>#NUM!</v>
      </c>
      <c r="K181" s="32" t="str">
        <f t="shared" si="7"/>
        <v>#NUM!</v>
      </c>
      <c r="L181" s="33" t="str">
        <f t="shared" si="1"/>
        <v>#NUM!</v>
      </c>
      <c r="M181" s="32" t="str">
        <f t="shared" si="8"/>
        <v>#NUM!</v>
      </c>
      <c r="N181" s="36" t="str">
        <f t="shared" si="9"/>
        <v>#NUM!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7">
        <v>168.0</v>
      </c>
      <c r="F182" s="34">
        <f t="shared" si="2"/>
        <v>48579</v>
      </c>
      <c r="G182" s="32" t="str">
        <f t="shared" si="3"/>
        <v>#NUM!</v>
      </c>
      <c r="H182" s="32">
        <f t="shared" si="4"/>
        <v>706.6954536</v>
      </c>
      <c r="I182" s="32" t="str">
        <f t="shared" si="5"/>
        <v>#NUM!</v>
      </c>
      <c r="J182" s="32" t="str">
        <f t="shared" si="6"/>
        <v>#NUM!</v>
      </c>
      <c r="K182" s="32" t="str">
        <f t="shared" si="7"/>
        <v>#NUM!</v>
      </c>
      <c r="L182" s="33" t="str">
        <f t="shared" si="1"/>
        <v>#NUM!</v>
      </c>
      <c r="M182" s="32" t="str">
        <f t="shared" si="8"/>
        <v>#NUM!</v>
      </c>
      <c r="N182" s="36" t="str">
        <f t="shared" si="9"/>
        <v>#NUM!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4"/>
      <c r="G183" s="2"/>
      <c r="H183" s="32"/>
      <c r="I183" s="2"/>
      <c r="J183" s="2"/>
      <c r="K183" s="2"/>
      <c r="L183" s="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4"/>
      <c r="G184" s="2"/>
      <c r="H184" s="32"/>
      <c r="I184" s="2"/>
      <c r="J184" s="2"/>
      <c r="K184" s="2"/>
      <c r="L184" s="9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4"/>
      <c r="G185" s="2"/>
      <c r="H185" s="32"/>
      <c r="I185" s="2"/>
      <c r="J185" s="2"/>
      <c r="K185" s="2"/>
      <c r="L185" s="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4"/>
      <c r="G186" s="2"/>
      <c r="H186" s="32"/>
      <c r="I186" s="2"/>
      <c r="J186" s="2"/>
      <c r="K186" s="2"/>
      <c r="L186" s="9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4"/>
      <c r="G187" s="2"/>
      <c r="H187" s="32"/>
      <c r="I187" s="2"/>
      <c r="J187" s="2"/>
      <c r="K187" s="2"/>
      <c r="L187" s="9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4"/>
      <c r="G188" s="2"/>
      <c r="H188" s="32"/>
      <c r="I188" s="2"/>
      <c r="J188" s="2"/>
      <c r="K188" s="2"/>
      <c r="L188" s="9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4"/>
      <c r="G189" s="2"/>
      <c r="H189" s="32"/>
      <c r="I189" s="2"/>
      <c r="J189" s="2"/>
      <c r="K189" s="2"/>
      <c r="L189" s="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4"/>
      <c r="G190" s="2"/>
      <c r="H190" s="32"/>
      <c r="I190" s="2"/>
      <c r="J190" s="2"/>
      <c r="K190" s="2"/>
      <c r="L190" s="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4"/>
      <c r="G191" s="2"/>
      <c r="H191" s="32"/>
      <c r="I191" s="2"/>
      <c r="J191" s="2"/>
      <c r="K191" s="2"/>
      <c r="L191" s="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4"/>
      <c r="G192" s="2"/>
      <c r="H192" s="32"/>
      <c r="I192" s="2"/>
      <c r="J192" s="2"/>
      <c r="K192" s="2"/>
      <c r="L192" s="9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4"/>
      <c r="G193" s="2"/>
      <c r="H193" s="32"/>
      <c r="I193" s="2"/>
      <c r="J193" s="2"/>
      <c r="K193" s="2"/>
      <c r="L193" s="9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4"/>
      <c r="G194" s="2"/>
      <c r="H194" s="32"/>
      <c r="I194" s="2"/>
      <c r="J194" s="2"/>
      <c r="K194" s="2"/>
      <c r="L194" s="9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4"/>
      <c r="G195" s="2"/>
      <c r="H195" s="32"/>
      <c r="I195" s="2"/>
      <c r="J195" s="2"/>
      <c r="K195" s="2"/>
      <c r="L195" s="9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4"/>
      <c r="G196" s="2"/>
      <c r="H196" s="32"/>
      <c r="I196" s="2"/>
      <c r="J196" s="2"/>
      <c r="K196" s="2"/>
      <c r="L196" s="9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61</v>
      </c>
      <c r="B1" s="2"/>
      <c r="C1" s="2"/>
      <c r="D1" s="2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62</v>
      </c>
      <c r="B3" s="26">
        <v>50000.0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63</v>
      </c>
      <c r="B4" s="26">
        <v>80000.0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64</v>
      </c>
      <c r="B5" s="27">
        <v>0.05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65</v>
      </c>
      <c r="B6" s="13">
        <v>7.0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66</v>
      </c>
      <c r="B7" s="13" t="s">
        <v>51</v>
      </c>
      <c r="C7" s="28">
        <f>switch(B7,"Bi-Weekly",26,"Semi-Monthly",24,12)</f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67</v>
      </c>
      <c r="B8" s="13">
        <f>C7*B6</f>
        <v>84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68</v>
      </c>
      <c r="B9" s="16">
        <v>43465.0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69</v>
      </c>
      <c r="B11" s="29">
        <f>-CUMIPMT(B5/C7,B8,B3,1,B8,0)</f>
        <v>9362.418102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4" t="s">
        <v>70</v>
      </c>
      <c r="F13" s="4" t="s">
        <v>71</v>
      </c>
      <c r="G13" s="4" t="s">
        <v>72</v>
      </c>
      <c r="H13" s="4" t="s">
        <v>73</v>
      </c>
      <c r="I13" s="4" t="s">
        <v>74</v>
      </c>
      <c r="J13" s="4" t="s">
        <v>62</v>
      </c>
      <c r="K13" s="4" t="s">
        <v>75</v>
      </c>
      <c r="L13" s="4" t="s">
        <v>76</v>
      </c>
      <c r="M13" s="4" t="s">
        <v>77</v>
      </c>
      <c r="N13" s="4" t="s">
        <v>78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7">
        <v>0.0</v>
      </c>
      <c r="F14" s="12">
        <f>$B$9</f>
        <v>43465</v>
      </c>
      <c r="G14" s="30">
        <v>0.0</v>
      </c>
      <c r="H14" s="31"/>
      <c r="I14" s="31"/>
      <c r="J14" s="31"/>
      <c r="K14" s="32">
        <f>B3</f>
        <v>50000</v>
      </c>
      <c r="L14" s="33">
        <f t="shared" ref="L14:L182" si="1">K14/$B$4</f>
        <v>0.625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7">
        <v>1.0</v>
      </c>
      <c r="F15" s="34">
        <f t="shared" ref="F15:F182" si="2">IFS($C$7=26,F14+14,$C$7=12,EOMONTH(F14,1),$C$7=24,IF(EOMONTH(F14,0)=F14,F14+15,EOMONTH(F14,0)))</f>
        <v>43496</v>
      </c>
      <c r="G15" s="32">
        <f t="shared" ref="G15:G182" si="3">K14</f>
        <v>50000</v>
      </c>
      <c r="H15" s="32">
        <f t="shared" ref="H15:H182" si="4">-PMT($B$5/$C$7,$B$8,$B$3)</f>
        <v>706.6954536</v>
      </c>
      <c r="I15" s="32">
        <f t="shared" ref="I15:I182" si="5">-IPMT($B$5/$C$7,E15,$B$8,$B$3)</f>
        <v>208.3333333</v>
      </c>
      <c r="J15" s="32">
        <f t="shared" ref="J15:J182" si="6">-PPMT($B$5/$C$7,E15,$B$8,$B$3)</f>
        <v>498.3621203</v>
      </c>
      <c r="K15" s="32">
        <f t="shared" ref="K15:K182" si="7">G15-J15</f>
        <v>49501.63788</v>
      </c>
      <c r="L15" s="33">
        <f t="shared" si="1"/>
        <v>0.6187704735</v>
      </c>
      <c r="M15" s="32">
        <f t="shared" ref="M15:M182" si="8">-CUMIPMT($B$5/$C$7,$B$8,$B$3,1,E15,0)</f>
        <v>208.3333333</v>
      </c>
      <c r="N15" s="35">
        <f t="shared" ref="N15:N182" si="9">-CUMPRINC($B$5/$C$7,$B$8,$B$3,1,E15,0)</f>
        <v>498.3621203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7">
        <v>2.0</v>
      </c>
      <c r="F16" s="34">
        <f t="shared" si="2"/>
        <v>43524</v>
      </c>
      <c r="G16" s="32">
        <f t="shared" si="3"/>
        <v>49501.63788</v>
      </c>
      <c r="H16" s="32">
        <f t="shared" si="4"/>
        <v>706.6954536</v>
      </c>
      <c r="I16" s="32">
        <f t="shared" si="5"/>
        <v>206.2568245</v>
      </c>
      <c r="J16" s="32">
        <f t="shared" si="6"/>
        <v>500.4386291</v>
      </c>
      <c r="K16" s="32">
        <f t="shared" si="7"/>
        <v>49001.19925</v>
      </c>
      <c r="L16" s="33">
        <f t="shared" si="1"/>
        <v>0.6125149906</v>
      </c>
      <c r="M16" s="32">
        <f t="shared" si="8"/>
        <v>414.5901578</v>
      </c>
      <c r="N16" s="35">
        <f t="shared" si="9"/>
        <v>998.8007494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7">
        <v>3.0</v>
      </c>
      <c r="F17" s="34">
        <f t="shared" si="2"/>
        <v>43555</v>
      </c>
      <c r="G17" s="32">
        <f t="shared" si="3"/>
        <v>49001.19925</v>
      </c>
      <c r="H17" s="32">
        <f t="shared" si="4"/>
        <v>706.6954536</v>
      </c>
      <c r="I17" s="32">
        <f t="shared" si="5"/>
        <v>204.1716635</v>
      </c>
      <c r="J17" s="32">
        <f t="shared" si="6"/>
        <v>502.5237901</v>
      </c>
      <c r="K17" s="32">
        <f t="shared" si="7"/>
        <v>48498.67546</v>
      </c>
      <c r="L17" s="33">
        <f t="shared" si="1"/>
        <v>0.6062334433</v>
      </c>
      <c r="M17" s="32">
        <f t="shared" si="8"/>
        <v>618.7618214</v>
      </c>
      <c r="N17" s="35">
        <f t="shared" si="9"/>
        <v>1501.324539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7">
        <v>4.0</v>
      </c>
      <c r="F18" s="34">
        <f t="shared" si="2"/>
        <v>43585</v>
      </c>
      <c r="G18" s="32">
        <f t="shared" si="3"/>
        <v>48498.67546</v>
      </c>
      <c r="H18" s="32">
        <f t="shared" si="4"/>
        <v>706.6954536</v>
      </c>
      <c r="I18" s="32">
        <f t="shared" si="5"/>
        <v>202.0778144</v>
      </c>
      <c r="J18" s="32">
        <f t="shared" si="6"/>
        <v>504.6176392</v>
      </c>
      <c r="K18" s="32">
        <f t="shared" si="7"/>
        <v>47994.05782</v>
      </c>
      <c r="L18" s="33">
        <f t="shared" si="1"/>
        <v>0.5999257228</v>
      </c>
      <c r="M18" s="32">
        <f t="shared" si="8"/>
        <v>820.8396358</v>
      </c>
      <c r="N18" s="35">
        <f t="shared" si="9"/>
        <v>2005.942179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7">
        <v>5.0</v>
      </c>
      <c r="F19" s="34">
        <f t="shared" si="2"/>
        <v>43616</v>
      </c>
      <c r="G19" s="32">
        <f t="shared" si="3"/>
        <v>47994.05782</v>
      </c>
      <c r="H19" s="32">
        <f t="shared" si="4"/>
        <v>706.6954536</v>
      </c>
      <c r="I19" s="32">
        <f t="shared" si="5"/>
        <v>199.9752409</v>
      </c>
      <c r="J19" s="32">
        <f t="shared" si="6"/>
        <v>506.7202127</v>
      </c>
      <c r="K19" s="32">
        <f t="shared" si="7"/>
        <v>47487.33761</v>
      </c>
      <c r="L19" s="33">
        <f t="shared" si="1"/>
        <v>0.5935917201</v>
      </c>
      <c r="M19" s="32">
        <f t="shared" si="8"/>
        <v>1020.814877</v>
      </c>
      <c r="N19" s="35">
        <f t="shared" si="9"/>
        <v>2512.662391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7">
        <v>6.0</v>
      </c>
      <c r="F20" s="34">
        <f t="shared" si="2"/>
        <v>43646</v>
      </c>
      <c r="G20" s="32">
        <f t="shared" si="3"/>
        <v>47487.33761</v>
      </c>
      <c r="H20" s="32">
        <f t="shared" si="4"/>
        <v>706.6954536</v>
      </c>
      <c r="I20" s="32">
        <f t="shared" si="5"/>
        <v>197.8639067</v>
      </c>
      <c r="J20" s="32">
        <f t="shared" si="6"/>
        <v>508.8315469</v>
      </c>
      <c r="K20" s="32">
        <f t="shared" si="7"/>
        <v>46978.50606</v>
      </c>
      <c r="L20" s="33">
        <f t="shared" si="1"/>
        <v>0.5872313258</v>
      </c>
      <c r="M20" s="32">
        <f t="shared" si="8"/>
        <v>1218.678783</v>
      </c>
      <c r="N20" s="35">
        <f t="shared" si="9"/>
        <v>3021.493938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7">
        <v>7.0</v>
      </c>
      <c r="F21" s="34">
        <f t="shared" si="2"/>
        <v>43677</v>
      </c>
      <c r="G21" s="32">
        <f t="shared" si="3"/>
        <v>46978.50606</v>
      </c>
      <c r="H21" s="32">
        <f t="shared" si="4"/>
        <v>706.6954536</v>
      </c>
      <c r="I21" s="32">
        <f t="shared" si="5"/>
        <v>195.7437753</v>
      </c>
      <c r="J21" s="32">
        <f t="shared" si="6"/>
        <v>510.9516783</v>
      </c>
      <c r="K21" s="32">
        <f t="shared" si="7"/>
        <v>46467.55438</v>
      </c>
      <c r="L21" s="33">
        <f t="shared" si="1"/>
        <v>0.5808444298</v>
      </c>
      <c r="M21" s="32">
        <f t="shared" si="8"/>
        <v>1414.422559</v>
      </c>
      <c r="N21" s="35">
        <f t="shared" si="9"/>
        <v>3532.445616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7">
        <v>8.0</v>
      </c>
      <c r="F22" s="34">
        <f t="shared" si="2"/>
        <v>43708</v>
      </c>
      <c r="G22" s="32">
        <f t="shared" si="3"/>
        <v>46467.55438</v>
      </c>
      <c r="H22" s="32">
        <f t="shared" si="4"/>
        <v>706.6954536</v>
      </c>
      <c r="I22" s="32">
        <f t="shared" si="5"/>
        <v>193.6148099</v>
      </c>
      <c r="J22" s="32">
        <f t="shared" si="6"/>
        <v>513.0806437</v>
      </c>
      <c r="K22" s="32">
        <f t="shared" si="7"/>
        <v>45954.47374</v>
      </c>
      <c r="L22" s="33">
        <f t="shared" si="1"/>
        <v>0.5744309217</v>
      </c>
      <c r="M22" s="32">
        <f t="shared" si="8"/>
        <v>1608.037369</v>
      </c>
      <c r="N22" s="35">
        <f t="shared" si="9"/>
        <v>4045.52626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7">
        <v>9.0</v>
      </c>
      <c r="F23" s="34">
        <f t="shared" si="2"/>
        <v>43738</v>
      </c>
      <c r="G23" s="32">
        <f t="shared" si="3"/>
        <v>45954.47374</v>
      </c>
      <c r="H23" s="32">
        <f t="shared" si="4"/>
        <v>706.6954536</v>
      </c>
      <c r="I23" s="32">
        <f t="shared" si="5"/>
        <v>191.4769739</v>
      </c>
      <c r="J23" s="32">
        <f t="shared" si="6"/>
        <v>515.2184797</v>
      </c>
      <c r="K23" s="32">
        <f t="shared" si="7"/>
        <v>45439.25526</v>
      </c>
      <c r="L23" s="33">
        <f t="shared" si="1"/>
        <v>0.5679906908</v>
      </c>
      <c r="M23" s="32">
        <f t="shared" si="8"/>
        <v>1799.514343</v>
      </c>
      <c r="N23" s="35">
        <f t="shared" si="9"/>
        <v>4560.74474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7">
        <v>10.0</v>
      </c>
      <c r="F24" s="34">
        <f t="shared" si="2"/>
        <v>43769</v>
      </c>
      <c r="G24" s="32">
        <f t="shared" si="3"/>
        <v>45439.25526</v>
      </c>
      <c r="H24" s="32">
        <f t="shared" si="4"/>
        <v>706.6954536</v>
      </c>
      <c r="I24" s="32">
        <f t="shared" si="5"/>
        <v>189.3302303</v>
      </c>
      <c r="J24" s="32">
        <f t="shared" si="6"/>
        <v>517.3652233</v>
      </c>
      <c r="K24" s="32">
        <f t="shared" si="7"/>
        <v>44921.89004</v>
      </c>
      <c r="L24" s="33">
        <f t="shared" si="1"/>
        <v>0.5615236255</v>
      </c>
      <c r="M24" s="32">
        <f t="shared" si="8"/>
        <v>1988.844573</v>
      </c>
      <c r="N24" s="35">
        <f t="shared" si="9"/>
        <v>5078.109963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7">
        <v>11.0</v>
      </c>
      <c r="F25" s="34">
        <f t="shared" si="2"/>
        <v>43799</v>
      </c>
      <c r="G25" s="32">
        <f t="shared" si="3"/>
        <v>44921.89004</v>
      </c>
      <c r="H25" s="32">
        <f t="shared" si="4"/>
        <v>706.6954536</v>
      </c>
      <c r="I25" s="32">
        <f t="shared" si="5"/>
        <v>187.1745418</v>
      </c>
      <c r="J25" s="32">
        <f t="shared" si="6"/>
        <v>519.5209118</v>
      </c>
      <c r="K25" s="32">
        <f t="shared" si="7"/>
        <v>44402.36913</v>
      </c>
      <c r="L25" s="33">
        <f t="shared" si="1"/>
        <v>0.5550296141</v>
      </c>
      <c r="M25" s="32">
        <f t="shared" si="8"/>
        <v>2176.019115</v>
      </c>
      <c r="N25" s="35">
        <f t="shared" si="9"/>
        <v>5597.630875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7">
        <v>12.0</v>
      </c>
      <c r="F26" s="34">
        <f t="shared" si="2"/>
        <v>43830</v>
      </c>
      <c r="G26" s="32">
        <f t="shared" si="3"/>
        <v>44402.36913</v>
      </c>
      <c r="H26" s="32">
        <f t="shared" si="4"/>
        <v>706.6954536</v>
      </c>
      <c r="I26" s="32">
        <f t="shared" si="5"/>
        <v>185.0098714</v>
      </c>
      <c r="J26" s="32">
        <f t="shared" si="6"/>
        <v>521.6855822</v>
      </c>
      <c r="K26" s="32">
        <f t="shared" si="7"/>
        <v>43880.68354</v>
      </c>
      <c r="L26" s="33">
        <f t="shared" si="1"/>
        <v>0.5485085443</v>
      </c>
      <c r="M26" s="32">
        <f t="shared" si="8"/>
        <v>2361.028986</v>
      </c>
      <c r="N26" s="35">
        <f t="shared" si="9"/>
        <v>6119.316457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7">
        <v>13.0</v>
      </c>
      <c r="F27" s="34">
        <f t="shared" si="2"/>
        <v>43861</v>
      </c>
      <c r="G27" s="32">
        <f t="shared" si="3"/>
        <v>43880.68354</v>
      </c>
      <c r="H27" s="32">
        <f t="shared" si="4"/>
        <v>706.6954536</v>
      </c>
      <c r="I27" s="32">
        <f t="shared" si="5"/>
        <v>182.8361814</v>
      </c>
      <c r="J27" s="32">
        <f t="shared" si="6"/>
        <v>523.8592722</v>
      </c>
      <c r="K27" s="32">
        <f t="shared" si="7"/>
        <v>43356.82427</v>
      </c>
      <c r="L27" s="33">
        <f t="shared" si="1"/>
        <v>0.5419603034</v>
      </c>
      <c r="M27" s="32">
        <f t="shared" si="8"/>
        <v>2543.865167</v>
      </c>
      <c r="N27" s="35">
        <f t="shared" si="9"/>
        <v>6643.175729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7">
        <v>14.0</v>
      </c>
      <c r="F28" s="34">
        <f t="shared" si="2"/>
        <v>43890</v>
      </c>
      <c r="G28" s="32">
        <f t="shared" si="3"/>
        <v>43356.82427</v>
      </c>
      <c r="H28" s="32">
        <f t="shared" si="4"/>
        <v>706.6954536</v>
      </c>
      <c r="I28" s="32">
        <f t="shared" si="5"/>
        <v>180.6534345</v>
      </c>
      <c r="J28" s="32">
        <f t="shared" si="6"/>
        <v>526.0420191</v>
      </c>
      <c r="K28" s="32">
        <f t="shared" si="7"/>
        <v>42830.78225</v>
      </c>
      <c r="L28" s="33">
        <f t="shared" si="1"/>
        <v>0.5353847781</v>
      </c>
      <c r="M28" s="32">
        <f t="shared" si="8"/>
        <v>2724.518602</v>
      </c>
      <c r="N28" s="35">
        <f t="shared" si="9"/>
        <v>7169.217748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7">
        <v>15.0</v>
      </c>
      <c r="F29" s="34">
        <f t="shared" si="2"/>
        <v>43921</v>
      </c>
      <c r="G29" s="32">
        <f t="shared" si="3"/>
        <v>42830.78225</v>
      </c>
      <c r="H29" s="32">
        <f t="shared" si="4"/>
        <v>706.6954536</v>
      </c>
      <c r="I29" s="32">
        <f t="shared" si="5"/>
        <v>178.4615927</v>
      </c>
      <c r="J29" s="32">
        <f t="shared" si="6"/>
        <v>528.2338609</v>
      </c>
      <c r="K29" s="32">
        <f t="shared" si="7"/>
        <v>42302.54839</v>
      </c>
      <c r="L29" s="33">
        <f t="shared" si="1"/>
        <v>0.5287818549</v>
      </c>
      <c r="M29" s="32">
        <f t="shared" si="8"/>
        <v>2902.980195</v>
      </c>
      <c r="N29" s="35">
        <f t="shared" si="9"/>
        <v>7697.451609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7">
        <v>16.0</v>
      </c>
      <c r="F30" s="34">
        <f t="shared" si="2"/>
        <v>43951</v>
      </c>
      <c r="G30" s="32">
        <f t="shared" si="3"/>
        <v>42302.54839</v>
      </c>
      <c r="H30" s="32">
        <f t="shared" si="4"/>
        <v>706.6954536</v>
      </c>
      <c r="I30" s="32">
        <f t="shared" si="5"/>
        <v>176.2606183</v>
      </c>
      <c r="J30" s="32">
        <f t="shared" si="6"/>
        <v>530.4348353</v>
      </c>
      <c r="K30" s="32">
        <f t="shared" si="7"/>
        <v>41772.11356</v>
      </c>
      <c r="L30" s="33">
        <f t="shared" si="1"/>
        <v>0.5221514194</v>
      </c>
      <c r="M30" s="32">
        <f t="shared" si="8"/>
        <v>3079.240813</v>
      </c>
      <c r="N30" s="35">
        <f t="shared" si="9"/>
        <v>8227.886445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7">
        <v>17.0</v>
      </c>
      <c r="F31" s="34">
        <f t="shared" si="2"/>
        <v>43982</v>
      </c>
      <c r="G31" s="32">
        <f t="shared" si="3"/>
        <v>41772.11356</v>
      </c>
      <c r="H31" s="32">
        <f t="shared" si="4"/>
        <v>706.6954536</v>
      </c>
      <c r="I31" s="32">
        <f t="shared" si="5"/>
        <v>174.0504731</v>
      </c>
      <c r="J31" s="32">
        <f t="shared" si="6"/>
        <v>532.6449804</v>
      </c>
      <c r="K31" s="32">
        <f t="shared" si="7"/>
        <v>41239.46857</v>
      </c>
      <c r="L31" s="33">
        <f t="shared" si="1"/>
        <v>0.5154933572</v>
      </c>
      <c r="M31" s="32">
        <f t="shared" si="8"/>
        <v>3253.291286</v>
      </c>
      <c r="N31" s="35">
        <f t="shared" si="9"/>
        <v>8760.531425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7">
        <v>18.0</v>
      </c>
      <c r="F32" s="34">
        <f t="shared" si="2"/>
        <v>44012</v>
      </c>
      <c r="G32" s="32">
        <f t="shared" si="3"/>
        <v>41239.46857</v>
      </c>
      <c r="H32" s="32">
        <f t="shared" si="4"/>
        <v>706.6954536</v>
      </c>
      <c r="I32" s="32">
        <f t="shared" si="5"/>
        <v>171.8311191</v>
      </c>
      <c r="J32" s="32">
        <f t="shared" si="6"/>
        <v>534.8643345</v>
      </c>
      <c r="K32" s="32">
        <f t="shared" si="7"/>
        <v>40704.60424</v>
      </c>
      <c r="L32" s="33">
        <f t="shared" si="1"/>
        <v>0.508807553</v>
      </c>
      <c r="M32" s="32">
        <f t="shared" si="8"/>
        <v>3425.122405</v>
      </c>
      <c r="N32" s="35">
        <f t="shared" si="9"/>
        <v>9295.39576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7">
        <v>19.0</v>
      </c>
      <c r="F33" s="34">
        <f t="shared" si="2"/>
        <v>44043</v>
      </c>
      <c r="G33" s="32">
        <f t="shared" si="3"/>
        <v>40704.60424</v>
      </c>
      <c r="H33" s="32">
        <f t="shared" si="4"/>
        <v>706.6954536</v>
      </c>
      <c r="I33" s="32">
        <f t="shared" si="5"/>
        <v>169.6025177</v>
      </c>
      <c r="J33" s="32">
        <f t="shared" si="6"/>
        <v>537.0929359</v>
      </c>
      <c r="K33" s="32">
        <f t="shared" si="7"/>
        <v>40167.5113</v>
      </c>
      <c r="L33" s="33">
        <f t="shared" si="1"/>
        <v>0.5020938913</v>
      </c>
      <c r="M33" s="32">
        <f t="shared" si="8"/>
        <v>3594.724923</v>
      </c>
      <c r="N33" s="35">
        <f t="shared" si="9"/>
        <v>9832.488696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7">
        <v>20.0</v>
      </c>
      <c r="F34" s="34">
        <f t="shared" si="2"/>
        <v>44074</v>
      </c>
      <c r="G34" s="32">
        <f t="shared" si="3"/>
        <v>40167.5113</v>
      </c>
      <c r="H34" s="32">
        <f t="shared" si="4"/>
        <v>706.6954536</v>
      </c>
      <c r="I34" s="32">
        <f t="shared" si="5"/>
        <v>167.3646304</v>
      </c>
      <c r="J34" s="32">
        <f t="shared" si="6"/>
        <v>539.3308232</v>
      </c>
      <c r="K34" s="32">
        <f t="shared" si="7"/>
        <v>39628.18048</v>
      </c>
      <c r="L34" s="33">
        <f t="shared" si="1"/>
        <v>0.495352256</v>
      </c>
      <c r="M34" s="32">
        <f t="shared" si="8"/>
        <v>3762.089553</v>
      </c>
      <c r="N34" s="35">
        <f t="shared" si="9"/>
        <v>10371.81952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7">
        <v>21.0</v>
      </c>
      <c r="F35" s="34">
        <f t="shared" si="2"/>
        <v>44104</v>
      </c>
      <c r="G35" s="32">
        <f t="shared" si="3"/>
        <v>39628.18048</v>
      </c>
      <c r="H35" s="32">
        <f t="shared" si="4"/>
        <v>706.6954536</v>
      </c>
      <c r="I35" s="32">
        <f t="shared" si="5"/>
        <v>165.1174187</v>
      </c>
      <c r="J35" s="32">
        <f t="shared" si="6"/>
        <v>541.5780349</v>
      </c>
      <c r="K35" s="32">
        <f t="shared" si="7"/>
        <v>39086.60245</v>
      </c>
      <c r="L35" s="33">
        <f t="shared" si="1"/>
        <v>0.4885825306</v>
      </c>
      <c r="M35" s="32">
        <f t="shared" si="8"/>
        <v>3927.206972</v>
      </c>
      <c r="N35" s="35">
        <f t="shared" si="9"/>
        <v>10913.39755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7">
        <v>22.0</v>
      </c>
      <c r="F36" s="34">
        <f t="shared" si="2"/>
        <v>44135</v>
      </c>
      <c r="G36" s="32">
        <f t="shared" si="3"/>
        <v>39086.60245</v>
      </c>
      <c r="H36" s="32">
        <f t="shared" si="4"/>
        <v>706.6954536</v>
      </c>
      <c r="I36" s="32">
        <f t="shared" si="5"/>
        <v>162.8608435</v>
      </c>
      <c r="J36" s="32">
        <f t="shared" si="6"/>
        <v>543.8346101</v>
      </c>
      <c r="K36" s="32">
        <f t="shared" si="7"/>
        <v>38542.76784</v>
      </c>
      <c r="L36" s="33">
        <f t="shared" si="1"/>
        <v>0.481784598</v>
      </c>
      <c r="M36" s="32">
        <f t="shared" si="8"/>
        <v>4090.067815</v>
      </c>
      <c r="N36" s="35">
        <f t="shared" si="9"/>
        <v>11457.23216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7">
        <v>23.0</v>
      </c>
      <c r="F37" s="34">
        <f t="shared" si="2"/>
        <v>44165</v>
      </c>
      <c r="G37" s="32">
        <f t="shared" si="3"/>
        <v>38542.76784</v>
      </c>
      <c r="H37" s="32">
        <f t="shared" si="4"/>
        <v>706.6954536</v>
      </c>
      <c r="I37" s="32">
        <f t="shared" si="5"/>
        <v>160.594866</v>
      </c>
      <c r="J37" s="32">
        <f t="shared" si="6"/>
        <v>546.1005876</v>
      </c>
      <c r="K37" s="32">
        <f t="shared" si="7"/>
        <v>37996.66725</v>
      </c>
      <c r="L37" s="33">
        <f t="shared" si="1"/>
        <v>0.4749583406</v>
      </c>
      <c r="M37" s="32">
        <f t="shared" si="8"/>
        <v>4250.662681</v>
      </c>
      <c r="N37" s="35">
        <f t="shared" si="9"/>
        <v>12003.33275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7">
        <v>24.0</v>
      </c>
      <c r="F38" s="34">
        <f t="shared" si="2"/>
        <v>44196</v>
      </c>
      <c r="G38" s="32">
        <f t="shared" si="3"/>
        <v>37996.66725</v>
      </c>
      <c r="H38" s="32">
        <f t="shared" si="4"/>
        <v>706.6954536</v>
      </c>
      <c r="I38" s="32">
        <f t="shared" si="5"/>
        <v>158.3194469</v>
      </c>
      <c r="J38" s="32">
        <f t="shared" si="6"/>
        <v>548.3760067</v>
      </c>
      <c r="K38" s="32">
        <f t="shared" si="7"/>
        <v>37448.29124</v>
      </c>
      <c r="L38" s="33">
        <f t="shared" si="1"/>
        <v>0.4681036405</v>
      </c>
      <c r="M38" s="32">
        <f t="shared" si="8"/>
        <v>4408.982128</v>
      </c>
      <c r="N38" s="35">
        <f t="shared" si="9"/>
        <v>12551.70876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7">
        <v>25.0</v>
      </c>
      <c r="F39" s="34">
        <f t="shared" si="2"/>
        <v>44227</v>
      </c>
      <c r="G39" s="32">
        <f t="shared" si="3"/>
        <v>37448.29124</v>
      </c>
      <c r="H39" s="32">
        <f t="shared" si="4"/>
        <v>706.6954536</v>
      </c>
      <c r="I39" s="32">
        <f t="shared" si="5"/>
        <v>156.0345468</v>
      </c>
      <c r="J39" s="32">
        <f t="shared" si="6"/>
        <v>550.6609068</v>
      </c>
      <c r="K39" s="32">
        <f t="shared" si="7"/>
        <v>36897.63034</v>
      </c>
      <c r="L39" s="33">
        <f t="shared" si="1"/>
        <v>0.4612203792</v>
      </c>
      <c r="M39" s="32">
        <f t="shared" si="8"/>
        <v>4565.016675</v>
      </c>
      <c r="N39" s="35">
        <f t="shared" si="9"/>
        <v>13102.36966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7">
        <v>26.0</v>
      </c>
      <c r="F40" s="34">
        <f t="shared" si="2"/>
        <v>44255</v>
      </c>
      <c r="G40" s="32">
        <f t="shared" si="3"/>
        <v>36897.63034</v>
      </c>
      <c r="H40" s="32">
        <f t="shared" si="4"/>
        <v>706.6954536</v>
      </c>
      <c r="I40" s="32">
        <f t="shared" si="5"/>
        <v>153.7401264</v>
      </c>
      <c r="J40" s="32">
        <f t="shared" si="6"/>
        <v>552.9553272</v>
      </c>
      <c r="K40" s="32">
        <f t="shared" si="7"/>
        <v>36344.67501</v>
      </c>
      <c r="L40" s="33">
        <f t="shared" si="1"/>
        <v>0.4543084376</v>
      </c>
      <c r="M40" s="32">
        <f t="shared" si="8"/>
        <v>4718.756801</v>
      </c>
      <c r="N40" s="35">
        <f t="shared" si="9"/>
        <v>13655.32499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7">
        <v>27.0</v>
      </c>
      <c r="F41" s="34">
        <f t="shared" si="2"/>
        <v>44286</v>
      </c>
      <c r="G41" s="32">
        <f t="shared" si="3"/>
        <v>36344.67501</v>
      </c>
      <c r="H41" s="32">
        <f t="shared" si="4"/>
        <v>706.6954536</v>
      </c>
      <c r="I41" s="32">
        <f t="shared" si="5"/>
        <v>151.4361459</v>
      </c>
      <c r="J41" s="32">
        <f t="shared" si="6"/>
        <v>555.2593077</v>
      </c>
      <c r="K41" s="32">
        <f t="shared" si="7"/>
        <v>35789.4157</v>
      </c>
      <c r="L41" s="33">
        <f t="shared" si="1"/>
        <v>0.4473676963</v>
      </c>
      <c r="M41" s="32">
        <f t="shared" si="8"/>
        <v>4870.192947</v>
      </c>
      <c r="N41" s="35">
        <f t="shared" si="9"/>
        <v>14210.5843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7">
        <v>28.0</v>
      </c>
      <c r="F42" s="34">
        <f t="shared" si="2"/>
        <v>44316</v>
      </c>
      <c r="G42" s="32">
        <f t="shared" si="3"/>
        <v>35789.4157</v>
      </c>
      <c r="H42" s="32">
        <f t="shared" si="4"/>
        <v>706.6954536</v>
      </c>
      <c r="I42" s="32">
        <f t="shared" si="5"/>
        <v>149.1225654</v>
      </c>
      <c r="J42" s="32">
        <f t="shared" si="6"/>
        <v>557.5728882</v>
      </c>
      <c r="K42" s="32">
        <f t="shared" si="7"/>
        <v>35231.84281</v>
      </c>
      <c r="L42" s="33">
        <f t="shared" si="1"/>
        <v>0.4403980352</v>
      </c>
      <c r="M42" s="32">
        <f t="shared" si="8"/>
        <v>5019.315513</v>
      </c>
      <c r="N42" s="35">
        <f t="shared" si="9"/>
        <v>14768.15719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7">
        <v>29.0</v>
      </c>
      <c r="F43" s="34">
        <f t="shared" si="2"/>
        <v>44347</v>
      </c>
      <c r="G43" s="32">
        <f t="shared" si="3"/>
        <v>35231.84281</v>
      </c>
      <c r="H43" s="32">
        <f t="shared" si="4"/>
        <v>706.6954536</v>
      </c>
      <c r="I43" s="32">
        <f t="shared" si="5"/>
        <v>146.7993451</v>
      </c>
      <c r="J43" s="32">
        <f t="shared" si="6"/>
        <v>559.8961085</v>
      </c>
      <c r="K43" s="32">
        <f t="shared" si="7"/>
        <v>34671.9467</v>
      </c>
      <c r="L43" s="33">
        <f t="shared" si="1"/>
        <v>0.4333993338</v>
      </c>
      <c r="M43" s="32">
        <f t="shared" si="8"/>
        <v>5166.114858</v>
      </c>
      <c r="N43" s="35">
        <f t="shared" si="9"/>
        <v>15328.0533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7">
        <v>30.0</v>
      </c>
      <c r="F44" s="34">
        <f t="shared" si="2"/>
        <v>44377</v>
      </c>
      <c r="G44" s="32">
        <f t="shared" si="3"/>
        <v>34671.9467</v>
      </c>
      <c r="H44" s="32">
        <f t="shared" si="4"/>
        <v>706.6954536</v>
      </c>
      <c r="I44" s="32">
        <f t="shared" si="5"/>
        <v>144.4664446</v>
      </c>
      <c r="J44" s="32">
        <f t="shared" si="6"/>
        <v>562.229009</v>
      </c>
      <c r="K44" s="32">
        <f t="shared" si="7"/>
        <v>34109.71769</v>
      </c>
      <c r="L44" s="33">
        <f t="shared" si="1"/>
        <v>0.4263714712</v>
      </c>
      <c r="M44" s="32">
        <f t="shared" si="8"/>
        <v>5310.581302</v>
      </c>
      <c r="N44" s="35">
        <f t="shared" si="9"/>
        <v>15890.28231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7">
        <v>31.0</v>
      </c>
      <c r="F45" s="34">
        <f t="shared" si="2"/>
        <v>44408</v>
      </c>
      <c r="G45" s="32">
        <f t="shared" si="3"/>
        <v>34109.71769</v>
      </c>
      <c r="H45" s="32">
        <f t="shared" si="4"/>
        <v>706.6954536</v>
      </c>
      <c r="I45" s="32">
        <f t="shared" si="5"/>
        <v>142.1238237</v>
      </c>
      <c r="J45" s="32">
        <f t="shared" si="6"/>
        <v>564.5716299</v>
      </c>
      <c r="K45" s="32">
        <f t="shared" si="7"/>
        <v>33545.14606</v>
      </c>
      <c r="L45" s="33">
        <f t="shared" si="1"/>
        <v>0.4193143258</v>
      </c>
      <c r="M45" s="32">
        <f t="shared" si="8"/>
        <v>5452.705126</v>
      </c>
      <c r="N45" s="35">
        <f t="shared" si="9"/>
        <v>16454.85394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7">
        <v>32.0</v>
      </c>
      <c r="F46" s="34">
        <f t="shared" si="2"/>
        <v>44439</v>
      </c>
      <c r="G46" s="32">
        <f t="shared" si="3"/>
        <v>33545.14606</v>
      </c>
      <c r="H46" s="32">
        <f t="shared" si="4"/>
        <v>706.6954536</v>
      </c>
      <c r="I46" s="32">
        <f t="shared" si="5"/>
        <v>139.7714419</v>
      </c>
      <c r="J46" s="32">
        <f t="shared" si="6"/>
        <v>566.9240117</v>
      </c>
      <c r="K46" s="32">
        <f t="shared" si="7"/>
        <v>32978.22205</v>
      </c>
      <c r="L46" s="33">
        <f t="shared" si="1"/>
        <v>0.4122277757</v>
      </c>
      <c r="M46" s="32">
        <f t="shared" si="8"/>
        <v>5592.476568</v>
      </c>
      <c r="N46" s="35">
        <f t="shared" si="9"/>
        <v>17021.77795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7">
        <v>33.0</v>
      </c>
      <c r="F47" s="34">
        <f t="shared" si="2"/>
        <v>44469</v>
      </c>
      <c r="G47" s="32">
        <f t="shared" si="3"/>
        <v>32978.22205</v>
      </c>
      <c r="H47" s="32">
        <f t="shared" si="4"/>
        <v>706.6954536</v>
      </c>
      <c r="I47" s="32">
        <f t="shared" si="5"/>
        <v>137.4092586</v>
      </c>
      <c r="J47" s="32">
        <f t="shared" si="6"/>
        <v>569.286195</v>
      </c>
      <c r="K47" s="32">
        <f t="shared" si="7"/>
        <v>32408.93586</v>
      </c>
      <c r="L47" s="33">
        <f t="shared" si="1"/>
        <v>0.4051116982</v>
      </c>
      <c r="M47" s="32">
        <f t="shared" si="8"/>
        <v>5729.885827</v>
      </c>
      <c r="N47" s="35">
        <f t="shared" si="9"/>
        <v>17591.06414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7">
        <v>34.0</v>
      </c>
      <c r="F48" s="34">
        <f t="shared" si="2"/>
        <v>44500</v>
      </c>
      <c r="G48" s="32">
        <f t="shared" si="3"/>
        <v>32408.93586</v>
      </c>
      <c r="H48" s="32">
        <f t="shared" si="4"/>
        <v>706.6954536</v>
      </c>
      <c r="I48" s="32">
        <f t="shared" si="5"/>
        <v>135.0372327</v>
      </c>
      <c r="J48" s="32">
        <f t="shared" si="6"/>
        <v>571.6582209</v>
      </c>
      <c r="K48" s="32">
        <f t="shared" si="7"/>
        <v>31837.27764</v>
      </c>
      <c r="L48" s="33">
        <f t="shared" si="1"/>
        <v>0.3979659705</v>
      </c>
      <c r="M48" s="32">
        <f t="shared" si="8"/>
        <v>5864.923059</v>
      </c>
      <c r="N48" s="35">
        <f t="shared" si="9"/>
        <v>18162.72236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7">
        <v>35.0</v>
      </c>
      <c r="F49" s="34">
        <f t="shared" si="2"/>
        <v>44530</v>
      </c>
      <c r="G49" s="32">
        <f t="shared" si="3"/>
        <v>31837.27764</v>
      </c>
      <c r="H49" s="32">
        <f t="shared" si="4"/>
        <v>706.6954536</v>
      </c>
      <c r="I49" s="32">
        <f t="shared" si="5"/>
        <v>132.6553235</v>
      </c>
      <c r="J49" s="32">
        <f t="shared" si="6"/>
        <v>574.0401301</v>
      </c>
      <c r="K49" s="32">
        <f t="shared" si="7"/>
        <v>31263.23751</v>
      </c>
      <c r="L49" s="33">
        <f t="shared" si="1"/>
        <v>0.3907904688</v>
      </c>
      <c r="M49" s="32">
        <f t="shared" si="8"/>
        <v>5997.578383</v>
      </c>
      <c r="N49" s="35">
        <f t="shared" si="9"/>
        <v>18736.76249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7">
        <v>36.0</v>
      </c>
      <c r="F50" s="34">
        <f t="shared" si="2"/>
        <v>44561</v>
      </c>
      <c r="G50" s="32">
        <f t="shared" si="3"/>
        <v>31263.23751</v>
      </c>
      <c r="H50" s="32">
        <f t="shared" si="4"/>
        <v>706.6954536</v>
      </c>
      <c r="I50" s="32">
        <f t="shared" si="5"/>
        <v>130.2634896</v>
      </c>
      <c r="J50" s="32">
        <f t="shared" si="6"/>
        <v>576.431964</v>
      </c>
      <c r="K50" s="32">
        <f t="shared" si="7"/>
        <v>30686.80554</v>
      </c>
      <c r="L50" s="33">
        <f t="shared" si="1"/>
        <v>0.3835850693</v>
      </c>
      <c r="M50" s="32">
        <f t="shared" si="8"/>
        <v>6127.841872</v>
      </c>
      <c r="N50" s="35">
        <f t="shared" si="9"/>
        <v>19313.19446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7">
        <v>37.0</v>
      </c>
      <c r="F51" s="34">
        <f t="shared" si="2"/>
        <v>44592</v>
      </c>
      <c r="G51" s="32">
        <f t="shared" si="3"/>
        <v>30686.80554</v>
      </c>
      <c r="H51" s="32">
        <f t="shared" si="4"/>
        <v>706.6954536</v>
      </c>
      <c r="I51" s="32">
        <f t="shared" si="5"/>
        <v>127.8616898</v>
      </c>
      <c r="J51" s="32">
        <f t="shared" si="6"/>
        <v>578.8337638</v>
      </c>
      <c r="K51" s="32">
        <f t="shared" si="7"/>
        <v>30107.97178</v>
      </c>
      <c r="L51" s="33">
        <f t="shared" si="1"/>
        <v>0.3763496472</v>
      </c>
      <c r="M51" s="32">
        <f t="shared" si="8"/>
        <v>6255.703562</v>
      </c>
      <c r="N51" s="35">
        <f t="shared" si="9"/>
        <v>19892.02822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7">
        <v>38.0</v>
      </c>
      <c r="F52" s="34">
        <f t="shared" si="2"/>
        <v>44620</v>
      </c>
      <c r="G52" s="32">
        <f t="shared" si="3"/>
        <v>30107.97178</v>
      </c>
      <c r="H52" s="32">
        <f t="shared" si="4"/>
        <v>706.6954536</v>
      </c>
      <c r="I52" s="32">
        <f t="shared" si="5"/>
        <v>125.4498824</v>
      </c>
      <c r="J52" s="32">
        <f t="shared" si="6"/>
        <v>581.2455712</v>
      </c>
      <c r="K52" s="32">
        <f t="shared" si="7"/>
        <v>29526.72621</v>
      </c>
      <c r="L52" s="33">
        <f t="shared" si="1"/>
        <v>0.3690840776</v>
      </c>
      <c r="M52" s="32">
        <f t="shared" si="8"/>
        <v>6381.153445</v>
      </c>
      <c r="N52" s="35">
        <f t="shared" si="9"/>
        <v>20473.27379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7">
        <v>39.0</v>
      </c>
      <c r="F53" s="34">
        <f t="shared" si="2"/>
        <v>44651</v>
      </c>
      <c r="G53" s="32">
        <f t="shared" si="3"/>
        <v>29526.72621</v>
      </c>
      <c r="H53" s="32">
        <f t="shared" si="4"/>
        <v>706.6954536</v>
      </c>
      <c r="I53" s="32">
        <f t="shared" si="5"/>
        <v>123.0280259</v>
      </c>
      <c r="J53" s="32">
        <f t="shared" si="6"/>
        <v>583.6674277</v>
      </c>
      <c r="K53" s="32">
        <f t="shared" si="7"/>
        <v>28943.05878</v>
      </c>
      <c r="L53" s="33">
        <f t="shared" si="1"/>
        <v>0.3617882348</v>
      </c>
      <c r="M53" s="32">
        <f t="shared" si="8"/>
        <v>6504.18147</v>
      </c>
      <c r="N53" s="35">
        <f t="shared" si="9"/>
        <v>21056.94122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7">
        <v>40.0</v>
      </c>
      <c r="F54" s="34">
        <f t="shared" si="2"/>
        <v>44681</v>
      </c>
      <c r="G54" s="32">
        <f t="shared" si="3"/>
        <v>28943.05878</v>
      </c>
      <c r="H54" s="32">
        <f t="shared" si="4"/>
        <v>706.6954536</v>
      </c>
      <c r="I54" s="32">
        <f t="shared" si="5"/>
        <v>120.5960783</v>
      </c>
      <c r="J54" s="32">
        <f t="shared" si="6"/>
        <v>586.0993753</v>
      </c>
      <c r="K54" s="32">
        <f t="shared" si="7"/>
        <v>28356.9594</v>
      </c>
      <c r="L54" s="33">
        <f t="shared" si="1"/>
        <v>0.3544619926</v>
      </c>
      <c r="M54" s="32">
        <f t="shared" si="8"/>
        <v>6624.777549</v>
      </c>
      <c r="N54" s="35">
        <f t="shared" si="9"/>
        <v>21643.0406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7">
        <v>41.0</v>
      </c>
      <c r="F55" s="34">
        <f t="shared" si="2"/>
        <v>44712</v>
      </c>
      <c r="G55" s="32">
        <f t="shared" si="3"/>
        <v>28356.9594</v>
      </c>
      <c r="H55" s="32">
        <f t="shared" si="4"/>
        <v>706.6954536</v>
      </c>
      <c r="I55" s="32">
        <f t="shared" si="5"/>
        <v>118.1539975</v>
      </c>
      <c r="J55" s="32">
        <f t="shared" si="6"/>
        <v>588.5414561</v>
      </c>
      <c r="K55" s="32">
        <f t="shared" si="7"/>
        <v>27768.41795</v>
      </c>
      <c r="L55" s="33">
        <f t="shared" si="1"/>
        <v>0.3471052244</v>
      </c>
      <c r="M55" s="32">
        <f t="shared" si="8"/>
        <v>6742.931546</v>
      </c>
      <c r="N55" s="35">
        <f t="shared" si="9"/>
        <v>22231.58205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7">
        <v>42.0</v>
      </c>
      <c r="F56" s="34">
        <f t="shared" si="2"/>
        <v>44742</v>
      </c>
      <c r="G56" s="32">
        <f t="shared" si="3"/>
        <v>27768.41795</v>
      </c>
      <c r="H56" s="32">
        <f t="shared" si="4"/>
        <v>706.6954536</v>
      </c>
      <c r="I56" s="32">
        <f t="shared" si="5"/>
        <v>115.7017415</v>
      </c>
      <c r="J56" s="32">
        <f t="shared" si="6"/>
        <v>590.9937121</v>
      </c>
      <c r="K56" s="32">
        <f t="shared" si="7"/>
        <v>27177.42424</v>
      </c>
      <c r="L56" s="33">
        <f t="shared" si="1"/>
        <v>0.339717803</v>
      </c>
      <c r="M56" s="32">
        <f t="shared" si="8"/>
        <v>6858.633288</v>
      </c>
      <c r="N56" s="35">
        <f t="shared" si="9"/>
        <v>22822.57576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7">
        <v>43.0</v>
      </c>
      <c r="F57" s="34">
        <f t="shared" si="2"/>
        <v>44773</v>
      </c>
      <c r="G57" s="32">
        <f t="shared" si="3"/>
        <v>27177.42424</v>
      </c>
      <c r="H57" s="32">
        <f t="shared" si="4"/>
        <v>706.6954536</v>
      </c>
      <c r="I57" s="32">
        <f t="shared" si="5"/>
        <v>113.2392677</v>
      </c>
      <c r="J57" s="32">
        <f t="shared" si="6"/>
        <v>593.4561859</v>
      </c>
      <c r="K57" s="32">
        <f t="shared" si="7"/>
        <v>26583.96805</v>
      </c>
      <c r="L57" s="33">
        <f t="shared" si="1"/>
        <v>0.3322996006</v>
      </c>
      <c r="M57" s="32">
        <f t="shared" si="8"/>
        <v>6971.872555</v>
      </c>
      <c r="N57" s="35">
        <f t="shared" si="9"/>
        <v>23416.03195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7">
        <v>44.0</v>
      </c>
      <c r="F58" s="34">
        <f t="shared" si="2"/>
        <v>44804</v>
      </c>
      <c r="G58" s="32">
        <f t="shared" si="3"/>
        <v>26583.96805</v>
      </c>
      <c r="H58" s="32">
        <f t="shared" si="4"/>
        <v>706.6954536</v>
      </c>
      <c r="I58" s="32">
        <f t="shared" si="5"/>
        <v>110.7665335</v>
      </c>
      <c r="J58" s="32">
        <f t="shared" si="6"/>
        <v>595.9289201</v>
      </c>
      <c r="K58" s="32">
        <f t="shared" si="7"/>
        <v>25988.03913</v>
      </c>
      <c r="L58" s="33">
        <f t="shared" si="1"/>
        <v>0.3248504891</v>
      </c>
      <c r="M58" s="32">
        <f t="shared" si="8"/>
        <v>7082.639089</v>
      </c>
      <c r="N58" s="35">
        <f t="shared" si="9"/>
        <v>24011.96087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7">
        <v>45.0</v>
      </c>
      <c r="F59" s="34">
        <f t="shared" si="2"/>
        <v>44834</v>
      </c>
      <c r="G59" s="32">
        <f t="shared" si="3"/>
        <v>25988.03913</v>
      </c>
      <c r="H59" s="32">
        <f t="shared" si="4"/>
        <v>706.6954536</v>
      </c>
      <c r="I59" s="32">
        <f t="shared" si="5"/>
        <v>108.2834964</v>
      </c>
      <c r="J59" s="32">
        <f t="shared" si="6"/>
        <v>598.4119572</v>
      </c>
      <c r="K59" s="32">
        <f t="shared" si="7"/>
        <v>25389.62717</v>
      </c>
      <c r="L59" s="33">
        <f t="shared" si="1"/>
        <v>0.3173703397</v>
      </c>
      <c r="M59" s="32">
        <f t="shared" si="8"/>
        <v>7190.922585</v>
      </c>
      <c r="N59" s="35">
        <f t="shared" si="9"/>
        <v>24610.37283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7">
        <v>46.0</v>
      </c>
      <c r="F60" s="34">
        <f t="shared" si="2"/>
        <v>44865</v>
      </c>
      <c r="G60" s="32">
        <f t="shared" si="3"/>
        <v>25389.62717</v>
      </c>
      <c r="H60" s="32">
        <f t="shared" si="4"/>
        <v>706.6954536</v>
      </c>
      <c r="I60" s="32">
        <f t="shared" si="5"/>
        <v>105.7901132</v>
      </c>
      <c r="J60" s="32">
        <f t="shared" si="6"/>
        <v>600.9053404</v>
      </c>
      <c r="K60" s="32">
        <f t="shared" si="7"/>
        <v>24788.72183</v>
      </c>
      <c r="L60" s="33">
        <f t="shared" si="1"/>
        <v>0.3098590229</v>
      </c>
      <c r="M60" s="32">
        <f t="shared" si="8"/>
        <v>7296.712699</v>
      </c>
      <c r="N60" s="35">
        <f t="shared" si="9"/>
        <v>25211.27817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7">
        <v>47.0</v>
      </c>
      <c r="F61" s="34">
        <f t="shared" si="2"/>
        <v>44895</v>
      </c>
      <c r="G61" s="32">
        <f t="shared" si="3"/>
        <v>24788.72183</v>
      </c>
      <c r="H61" s="32">
        <f t="shared" si="4"/>
        <v>706.6954536</v>
      </c>
      <c r="I61" s="32">
        <f t="shared" si="5"/>
        <v>103.286341</v>
      </c>
      <c r="J61" s="32">
        <f t="shared" si="6"/>
        <v>603.4091126</v>
      </c>
      <c r="K61" s="32">
        <f t="shared" si="7"/>
        <v>24185.31272</v>
      </c>
      <c r="L61" s="33">
        <f t="shared" si="1"/>
        <v>0.302316409</v>
      </c>
      <c r="M61" s="32">
        <f t="shared" si="8"/>
        <v>7399.999039</v>
      </c>
      <c r="N61" s="35">
        <f t="shared" si="9"/>
        <v>25814.68728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7">
        <v>48.0</v>
      </c>
      <c r="F62" s="34">
        <f t="shared" si="2"/>
        <v>44926</v>
      </c>
      <c r="G62" s="32">
        <f t="shared" si="3"/>
        <v>24185.31272</v>
      </c>
      <c r="H62" s="32">
        <f t="shared" si="4"/>
        <v>706.6954536</v>
      </c>
      <c r="I62" s="32">
        <f t="shared" si="5"/>
        <v>100.7721363</v>
      </c>
      <c r="J62" s="32">
        <f t="shared" si="6"/>
        <v>605.9233173</v>
      </c>
      <c r="K62" s="32">
        <f t="shared" si="7"/>
        <v>23579.3894</v>
      </c>
      <c r="L62" s="33">
        <f t="shared" si="1"/>
        <v>0.2947423675</v>
      </c>
      <c r="M62" s="32">
        <f t="shared" si="8"/>
        <v>7500.771176</v>
      </c>
      <c r="N62" s="35">
        <f t="shared" si="9"/>
        <v>26420.6106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7">
        <v>49.0</v>
      </c>
      <c r="F63" s="34">
        <f t="shared" si="2"/>
        <v>44957</v>
      </c>
      <c r="G63" s="32">
        <f t="shared" si="3"/>
        <v>23579.3894</v>
      </c>
      <c r="H63" s="32">
        <f t="shared" si="4"/>
        <v>706.6954536</v>
      </c>
      <c r="I63" s="32">
        <f t="shared" si="5"/>
        <v>98.24745585</v>
      </c>
      <c r="J63" s="32">
        <f t="shared" si="6"/>
        <v>608.4479977</v>
      </c>
      <c r="K63" s="32">
        <f t="shared" si="7"/>
        <v>22970.94141</v>
      </c>
      <c r="L63" s="33">
        <f t="shared" si="1"/>
        <v>0.2871367676</v>
      </c>
      <c r="M63" s="32">
        <f t="shared" si="8"/>
        <v>7599.018632</v>
      </c>
      <c r="N63" s="35">
        <f t="shared" si="9"/>
        <v>27029.05859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7">
        <v>50.0</v>
      </c>
      <c r="F64" s="34">
        <f t="shared" si="2"/>
        <v>44985</v>
      </c>
      <c r="G64" s="32">
        <f t="shared" si="3"/>
        <v>22970.94141</v>
      </c>
      <c r="H64" s="32">
        <f t="shared" si="4"/>
        <v>706.6954536</v>
      </c>
      <c r="I64" s="32">
        <f t="shared" si="5"/>
        <v>95.71225586</v>
      </c>
      <c r="J64" s="32">
        <f t="shared" si="6"/>
        <v>610.9831977</v>
      </c>
      <c r="K64" s="32">
        <f t="shared" si="7"/>
        <v>22359.95821</v>
      </c>
      <c r="L64" s="33">
        <f t="shared" si="1"/>
        <v>0.2794994776</v>
      </c>
      <c r="M64" s="32">
        <f t="shared" si="8"/>
        <v>7694.730888</v>
      </c>
      <c r="N64" s="35">
        <f t="shared" si="9"/>
        <v>27640.04179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7">
        <v>51.0</v>
      </c>
      <c r="F65" s="34">
        <f t="shared" si="2"/>
        <v>45016</v>
      </c>
      <c r="G65" s="32">
        <f t="shared" si="3"/>
        <v>22359.95821</v>
      </c>
      <c r="H65" s="32">
        <f t="shared" si="4"/>
        <v>706.6954536</v>
      </c>
      <c r="I65" s="32">
        <f t="shared" si="5"/>
        <v>93.16649253</v>
      </c>
      <c r="J65" s="32">
        <f t="shared" si="6"/>
        <v>613.5289611</v>
      </c>
      <c r="K65" s="32">
        <f t="shared" si="7"/>
        <v>21746.42925</v>
      </c>
      <c r="L65" s="33">
        <f t="shared" si="1"/>
        <v>0.2718303656</v>
      </c>
      <c r="M65" s="32">
        <f t="shared" si="8"/>
        <v>7787.89738</v>
      </c>
      <c r="N65" s="35">
        <f t="shared" si="9"/>
        <v>28253.57075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7">
        <v>52.0</v>
      </c>
      <c r="F66" s="34">
        <f t="shared" si="2"/>
        <v>45046</v>
      </c>
      <c r="G66" s="32">
        <f t="shared" si="3"/>
        <v>21746.42925</v>
      </c>
      <c r="H66" s="32">
        <f t="shared" si="4"/>
        <v>706.6954536</v>
      </c>
      <c r="I66" s="32">
        <f t="shared" si="5"/>
        <v>90.61012186</v>
      </c>
      <c r="J66" s="32">
        <f t="shared" si="6"/>
        <v>616.0853317</v>
      </c>
      <c r="K66" s="32">
        <f t="shared" si="7"/>
        <v>21130.34391</v>
      </c>
      <c r="L66" s="33">
        <f t="shared" si="1"/>
        <v>0.2641292989</v>
      </c>
      <c r="M66" s="32">
        <f t="shared" si="8"/>
        <v>7878.507502</v>
      </c>
      <c r="N66" s="35">
        <f t="shared" si="9"/>
        <v>28869.65609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7">
        <v>53.0</v>
      </c>
      <c r="F67" s="34">
        <f t="shared" si="2"/>
        <v>45077</v>
      </c>
      <c r="G67" s="32">
        <f t="shared" si="3"/>
        <v>21130.34391</v>
      </c>
      <c r="H67" s="32">
        <f t="shared" si="4"/>
        <v>706.6954536</v>
      </c>
      <c r="I67" s="32">
        <f t="shared" si="5"/>
        <v>88.04309965</v>
      </c>
      <c r="J67" s="32">
        <f t="shared" si="6"/>
        <v>618.6523539</v>
      </c>
      <c r="K67" s="32">
        <f t="shared" si="7"/>
        <v>20511.69156</v>
      </c>
      <c r="L67" s="33">
        <f t="shared" si="1"/>
        <v>0.2563961445</v>
      </c>
      <c r="M67" s="32">
        <f t="shared" si="8"/>
        <v>7966.550602</v>
      </c>
      <c r="N67" s="35">
        <f t="shared" si="9"/>
        <v>29488.30844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7">
        <v>54.0</v>
      </c>
      <c r="F68" s="34">
        <f t="shared" si="2"/>
        <v>45107</v>
      </c>
      <c r="G68" s="32">
        <f t="shared" si="3"/>
        <v>20511.69156</v>
      </c>
      <c r="H68" s="32">
        <f t="shared" si="4"/>
        <v>706.6954536</v>
      </c>
      <c r="I68" s="32">
        <f t="shared" si="5"/>
        <v>85.4653815</v>
      </c>
      <c r="J68" s="32">
        <f t="shared" si="6"/>
        <v>621.2300721</v>
      </c>
      <c r="K68" s="32">
        <f t="shared" si="7"/>
        <v>19890.46149</v>
      </c>
      <c r="L68" s="33">
        <f t="shared" si="1"/>
        <v>0.2486307686</v>
      </c>
      <c r="M68" s="32">
        <f t="shared" si="8"/>
        <v>8052.015983</v>
      </c>
      <c r="N68" s="35">
        <f t="shared" si="9"/>
        <v>30109.53851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7">
        <v>55.0</v>
      </c>
      <c r="F69" s="34">
        <f t="shared" si="2"/>
        <v>45138</v>
      </c>
      <c r="G69" s="32">
        <f t="shared" si="3"/>
        <v>19890.46149</v>
      </c>
      <c r="H69" s="32">
        <f t="shared" si="4"/>
        <v>706.6954536</v>
      </c>
      <c r="I69" s="32">
        <f t="shared" si="5"/>
        <v>82.87692287</v>
      </c>
      <c r="J69" s="32">
        <f t="shared" si="6"/>
        <v>623.8185307</v>
      </c>
      <c r="K69" s="32">
        <f t="shared" si="7"/>
        <v>19266.64296</v>
      </c>
      <c r="L69" s="33">
        <f t="shared" si="1"/>
        <v>0.240833037</v>
      </c>
      <c r="M69" s="32">
        <f t="shared" si="8"/>
        <v>8134.892906</v>
      </c>
      <c r="N69" s="35">
        <f t="shared" si="9"/>
        <v>30733.35704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7">
        <v>56.0</v>
      </c>
      <c r="F70" s="34">
        <f t="shared" si="2"/>
        <v>45169</v>
      </c>
      <c r="G70" s="32">
        <f t="shared" si="3"/>
        <v>19266.64296</v>
      </c>
      <c r="H70" s="32">
        <f t="shared" si="4"/>
        <v>706.6954536</v>
      </c>
      <c r="I70" s="32">
        <f t="shared" si="5"/>
        <v>80.27767899</v>
      </c>
      <c r="J70" s="32">
        <f t="shared" si="6"/>
        <v>626.4177746</v>
      </c>
      <c r="K70" s="32">
        <f t="shared" si="7"/>
        <v>18640.22518</v>
      </c>
      <c r="L70" s="33">
        <f t="shared" si="1"/>
        <v>0.2330028148</v>
      </c>
      <c r="M70" s="32">
        <f t="shared" si="8"/>
        <v>8215.170585</v>
      </c>
      <c r="N70" s="35">
        <f t="shared" si="9"/>
        <v>31359.77482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7">
        <v>57.0</v>
      </c>
      <c r="F71" s="34">
        <f t="shared" si="2"/>
        <v>45199</v>
      </c>
      <c r="G71" s="32">
        <f t="shared" si="3"/>
        <v>18640.22518</v>
      </c>
      <c r="H71" s="32">
        <f t="shared" si="4"/>
        <v>706.6954536</v>
      </c>
      <c r="I71" s="32">
        <f t="shared" si="5"/>
        <v>77.66760493</v>
      </c>
      <c r="J71" s="32">
        <f t="shared" si="6"/>
        <v>629.0278487</v>
      </c>
      <c r="K71" s="32">
        <f t="shared" si="7"/>
        <v>18011.19733</v>
      </c>
      <c r="L71" s="33">
        <f t="shared" si="1"/>
        <v>0.2251399667</v>
      </c>
      <c r="M71" s="32">
        <f t="shared" si="8"/>
        <v>8292.83819</v>
      </c>
      <c r="N71" s="35">
        <f t="shared" si="9"/>
        <v>31988.80267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7">
        <v>58.0</v>
      </c>
      <c r="F72" s="34">
        <f t="shared" si="2"/>
        <v>45230</v>
      </c>
      <c r="G72" s="32">
        <f t="shared" si="3"/>
        <v>18011.19733</v>
      </c>
      <c r="H72" s="32">
        <f t="shared" si="4"/>
        <v>706.6954536</v>
      </c>
      <c r="I72" s="32">
        <f t="shared" si="5"/>
        <v>75.04665556</v>
      </c>
      <c r="J72" s="32">
        <f t="shared" si="6"/>
        <v>631.648798</v>
      </c>
      <c r="K72" s="32">
        <f t="shared" si="7"/>
        <v>17379.54854</v>
      </c>
      <c r="L72" s="33">
        <f t="shared" si="1"/>
        <v>0.2172443567</v>
      </c>
      <c r="M72" s="32">
        <f t="shared" si="8"/>
        <v>8367.884845</v>
      </c>
      <c r="N72" s="35">
        <f t="shared" si="9"/>
        <v>32620.45146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7">
        <v>59.0</v>
      </c>
      <c r="F73" s="34">
        <f t="shared" si="2"/>
        <v>45260</v>
      </c>
      <c r="G73" s="32">
        <f t="shared" si="3"/>
        <v>17379.54854</v>
      </c>
      <c r="H73" s="32">
        <f t="shared" si="4"/>
        <v>706.6954536</v>
      </c>
      <c r="I73" s="32">
        <f t="shared" si="5"/>
        <v>72.41478557</v>
      </c>
      <c r="J73" s="32">
        <f t="shared" si="6"/>
        <v>634.280668</v>
      </c>
      <c r="K73" s="32">
        <f t="shared" si="7"/>
        <v>16745.26787</v>
      </c>
      <c r="L73" s="33">
        <f t="shared" si="1"/>
        <v>0.2093158484</v>
      </c>
      <c r="M73" s="32">
        <f t="shared" si="8"/>
        <v>8440.299631</v>
      </c>
      <c r="N73" s="35">
        <f t="shared" si="9"/>
        <v>33254.73213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7">
        <v>60.0</v>
      </c>
      <c r="F74" s="34">
        <f t="shared" si="2"/>
        <v>45291</v>
      </c>
      <c r="G74" s="32">
        <f t="shared" si="3"/>
        <v>16745.26787</v>
      </c>
      <c r="H74" s="32">
        <f t="shared" si="4"/>
        <v>706.6954536</v>
      </c>
      <c r="I74" s="32">
        <f t="shared" si="5"/>
        <v>69.77194945</v>
      </c>
      <c r="J74" s="32">
        <f t="shared" si="6"/>
        <v>636.9235041</v>
      </c>
      <c r="K74" s="32">
        <f t="shared" si="7"/>
        <v>16108.34436</v>
      </c>
      <c r="L74" s="33">
        <f t="shared" si="1"/>
        <v>0.2013543046</v>
      </c>
      <c r="M74" s="32">
        <f t="shared" si="8"/>
        <v>8510.07158</v>
      </c>
      <c r="N74" s="35">
        <f t="shared" si="9"/>
        <v>33891.65564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7">
        <v>61.0</v>
      </c>
      <c r="F75" s="34">
        <f t="shared" si="2"/>
        <v>45322</v>
      </c>
      <c r="G75" s="32">
        <f t="shared" si="3"/>
        <v>16108.34436</v>
      </c>
      <c r="H75" s="32">
        <f t="shared" si="4"/>
        <v>706.6954536</v>
      </c>
      <c r="I75" s="32">
        <f t="shared" si="5"/>
        <v>67.11810152</v>
      </c>
      <c r="J75" s="32">
        <f t="shared" si="6"/>
        <v>639.5773521</v>
      </c>
      <c r="K75" s="32">
        <f t="shared" si="7"/>
        <v>15468.76701</v>
      </c>
      <c r="L75" s="33">
        <f t="shared" si="1"/>
        <v>0.1933595877</v>
      </c>
      <c r="M75" s="32">
        <f t="shared" si="8"/>
        <v>8577.189682</v>
      </c>
      <c r="N75" s="35">
        <f t="shared" si="9"/>
        <v>34531.23299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7">
        <v>62.0</v>
      </c>
      <c r="F76" s="34">
        <f t="shared" si="2"/>
        <v>45351</v>
      </c>
      <c r="G76" s="32">
        <f t="shared" si="3"/>
        <v>15468.76701</v>
      </c>
      <c r="H76" s="32">
        <f t="shared" si="4"/>
        <v>706.6954536</v>
      </c>
      <c r="I76" s="32">
        <f t="shared" si="5"/>
        <v>64.45319589</v>
      </c>
      <c r="J76" s="32">
        <f t="shared" si="6"/>
        <v>642.2422577</v>
      </c>
      <c r="K76" s="32">
        <f t="shared" si="7"/>
        <v>14826.52475</v>
      </c>
      <c r="L76" s="33">
        <f t="shared" si="1"/>
        <v>0.1853315594</v>
      </c>
      <c r="M76" s="32">
        <f t="shared" si="8"/>
        <v>8641.642878</v>
      </c>
      <c r="N76" s="35">
        <f t="shared" si="9"/>
        <v>35173.47525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7">
        <v>63.0</v>
      </c>
      <c r="F77" s="34">
        <f t="shared" si="2"/>
        <v>45382</v>
      </c>
      <c r="G77" s="32">
        <f t="shared" si="3"/>
        <v>14826.52475</v>
      </c>
      <c r="H77" s="32">
        <f t="shared" si="4"/>
        <v>706.6954536</v>
      </c>
      <c r="I77" s="32">
        <f t="shared" si="5"/>
        <v>61.77718648</v>
      </c>
      <c r="J77" s="32">
        <f t="shared" si="6"/>
        <v>644.9182671</v>
      </c>
      <c r="K77" s="32">
        <f t="shared" si="7"/>
        <v>14181.60649</v>
      </c>
      <c r="L77" s="33">
        <f t="shared" si="1"/>
        <v>0.1772700811</v>
      </c>
      <c r="M77" s="32">
        <f t="shared" si="8"/>
        <v>8703.420064</v>
      </c>
      <c r="N77" s="35">
        <f t="shared" si="9"/>
        <v>35818.39351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7">
        <v>64.0</v>
      </c>
      <c r="F78" s="34">
        <f t="shared" si="2"/>
        <v>45412</v>
      </c>
      <c r="G78" s="32">
        <f t="shared" si="3"/>
        <v>14181.60649</v>
      </c>
      <c r="H78" s="32">
        <f t="shared" si="4"/>
        <v>706.6954536</v>
      </c>
      <c r="I78" s="32">
        <f t="shared" si="5"/>
        <v>59.09002703</v>
      </c>
      <c r="J78" s="32">
        <f t="shared" si="6"/>
        <v>647.6054266</v>
      </c>
      <c r="K78" s="32">
        <f t="shared" si="7"/>
        <v>13534.00106</v>
      </c>
      <c r="L78" s="33">
        <f t="shared" si="1"/>
        <v>0.1691750133</v>
      </c>
      <c r="M78" s="32">
        <f t="shared" si="8"/>
        <v>8762.510091</v>
      </c>
      <c r="N78" s="35">
        <f t="shared" si="9"/>
        <v>36465.99894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7">
        <v>65.0</v>
      </c>
      <c r="F79" s="34">
        <f t="shared" si="2"/>
        <v>45443</v>
      </c>
      <c r="G79" s="32">
        <f t="shared" si="3"/>
        <v>13534.00106</v>
      </c>
      <c r="H79" s="32">
        <f t="shared" si="4"/>
        <v>706.6954536</v>
      </c>
      <c r="I79" s="32">
        <f t="shared" si="5"/>
        <v>56.39167109</v>
      </c>
      <c r="J79" s="32">
        <f t="shared" si="6"/>
        <v>650.3037825</v>
      </c>
      <c r="K79" s="32">
        <f t="shared" si="7"/>
        <v>12883.69728</v>
      </c>
      <c r="L79" s="33">
        <f t="shared" si="1"/>
        <v>0.161046216</v>
      </c>
      <c r="M79" s="32">
        <f t="shared" si="8"/>
        <v>8818.901762</v>
      </c>
      <c r="N79" s="35">
        <f t="shared" si="9"/>
        <v>37116.30272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7">
        <v>66.0</v>
      </c>
      <c r="F80" s="34">
        <f t="shared" si="2"/>
        <v>45473</v>
      </c>
      <c r="G80" s="32">
        <f t="shared" si="3"/>
        <v>12883.69728</v>
      </c>
      <c r="H80" s="32">
        <f t="shared" si="4"/>
        <v>706.6954536</v>
      </c>
      <c r="I80" s="32">
        <f t="shared" si="5"/>
        <v>53.68207199</v>
      </c>
      <c r="J80" s="32">
        <f t="shared" si="6"/>
        <v>653.0133816</v>
      </c>
      <c r="K80" s="32">
        <f t="shared" si="7"/>
        <v>12230.6839</v>
      </c>
      <c r="L80" s="33">
        <f t="shared" si="1"/>
        <v>0.1528835487</v>
      </c>
      <c r="M80" s="32">
        <f t="shared" si="8"/>
        <v>8872.583834</v>
      </c>
      <c r="N80" s="35">
        <f t="shared" si="9"/>
        <v>37769.3161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7">
        <v>67.0</v>
      </c>
      <c r="F81" s="34">
        <f t="shared" si="2"/>
        <v>45504</v>
      </c>
      <c r="G81" s="32">
        <f t="shared" si="3"/>
        <v>12230.6839</v>
      </c>
      <c r="H81" s="32">
        <f t="shared" si="4"/>
        <v>706.6954536</v>
      </c>
      <c r="I81" s="32">
        <f t="shared" si="5"/>
        <v>50.9611829</v>
      </c>
      <c r="J81" s="32">
        <f t="shared" si="6"/>
        <v>655.7342707</v>
      </c>
      <c r="K81" s="32">
        <f t="shared" si="7"/>
        <v>11574.94963</v>
      </c>
      <c r="L81" s="33">
        <f t="shared" si="1"/>
        <v>0.1446868703</v>
      </c>
      <c r="M81" s="32">
        <f t="shared" si="8"/>
        <v>8923.545017</v>
      </c>
      <c r="N81" s="35">
        <f t="shared" si="9"/>
        <v>38425.05037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7">
        <v>68.0</v>
      </c>
      <c r="F82" s="34">
        <f t="shared" si="2"/>
        <v>45535</v>
      </c>
      <c r="G82" s="32">
        <f t="shared" si="3"/>
        <v>11574.94963</v>
      </c>
      <c r="H82" s="32">
        <f t="shared" si="4"/>
        <v>706.6954536</v>
      </c>
      <c r="I82" s="32">
        <f t="shared" si="5"/>
        <v>48.22895678</v>
      </c>
      <c r="J82" s="32">
        <f t="shared" si="6"/>
        <v>658.4664968</v>
      </c>
      <c r="K82" s="32">
        <f t="shared" si="7"/>
        <v>10916.48313</v>
      </c>
      <c r="L82" s="33">
        <f t="shared" si="1"/>
        <v>0.1364560391</v>
      </c>
      <c r="M82" s="32">
        <f t="shared" si="8"/>
        <v>8971.773974</v>
      </c>
      <c r="N82" s="35">
        <f t="shared" si="9"/>
        <v>39083.51687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7">
        <v>69.0</v>
      </c>
      <c r="F83" s="34">
        <f t="shared" si="2"/>
        <v>45565</v>
      </c>
      <c r="G83" s="32">
        <f t="shared" si="3"/>
        <v>10916.48313</v>
      </c>
      <c r="H83" s="32">
        <f t="shared" si="4"/>
        <v>706.6954536</v>
      </c>
      <c r="I83" s="32">
        <f t="shared" si="5"/>
        <v>45.48534637</v>
      </c>
      <c r="J83" s="32">
        <f t="shared" si="6"/>
        <v>661.2101072</v>
      </c>
      <c r="K83" s="32">
        <f t="shared" si="7"/>
        <v>10255.27302</v>
      </c>
      <c r="L83" s="33">
        <f t="shared" si="1"/>
        <v>0.1281909128</v>
      </c>
      <c r="M83" s="32">
        <f t="shared" si="8"/>
        <v>9017.25932</v>
      </c>
      <c r="N83" s="35">
        <f t="shared" si="9"/>
        <v>39744.72698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7">
        <v>70.0</v>
      </c>
      <c r="F84" s="34">
        <f t="shared" si="2"/>
        <v>45596</v>
      </c>
      <c r="G84" s="32">
        <f t="shared" si="3"/>
        <v>10255.27302</v>
      </c>
      <c r="H84" s="32">
        <f t="shared" si="4"/>
        <v>706.6954536</v>
      </c>
      <c r="I84" s="32">
        <f t="shared" si="5"/>
        <v>42.73030426</v>
      </c>
      <c r="J84" s="32">
        <f t="shared" si="6"/>
        <v>663.9651493</v>
      </c>
      <c r="K84" s="32">
        <f t="shared" si="7"/>
        <v>9591.307873</v>
      </c>
      <c r="L84" s="33">
        <f t="shared" si="1"/>
        <v>0.1198913484</v>
      </c>
      <c r="M84" s="32">
        <f t="shared" si="8"/>
        <v>9059.989625</v>
      </c>
      <c r="N84" s="35">
        <f t="shared" si="9"/>
        <v>40408.69213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7">
        <v>71.0</v>
      </c>
      <c r="F85" s="34">
        <f t="shared" si="2"/>
        <v>45626</v>
      </c>
      <c r="G85" s="32">
        <f t="shared" si="3"/>
        <v>9591.307873</v>
      </c>
      <c r="H85" s="32">
        <f t="shared" si="4"/>
        <v>706.6954536</v>
      </c>
      <c r="I85" s="32">
        <f t="shared" si="5"/>
        <v>39.9637828</v>
      </c>
      <c r="J85" s="32">
        <f t="shared" si="6"/>
        <v>666.7316708</v>
      </c>
      <c r="K85" s="32">
        <f t="shared" si="7"/>
        <v>8924.576202</v>
      </c>
      <c r="L85" s="33">
        <f t="shared" si="1"/>
        <v>0.1115572025</v>
      </c>
      <c r="M85" s="32">
        <f t="shared" si="8"/>
        <v>9099.953408</v>
      </c>
      <c r="N85" s="35">
        <f t="shared" si="9"/>
        <v>41075.4238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7">
        <v>72.0</v>
      </c>
      <c r="F86" s="34">
        <f t="shared" si="2"/>
        <v>45657</v>
      </c>
      <c r="G86" s="32">
        <f t="shared" si="3"/>
        <v>8924.576202</v>
      </c>
      <c r="H86" s="32">
        <f t="shared" si="4"/>
        <v>706.6954536</v>
      </c>
      <c r="I86" s="32">
        <f t="shared" si="5"/>
        <v>37.18573418</v>
      </c>
      <c r="J86" s="32">
        <f t="shared" si="6"/>
        <v>669.5097194</v>
      </c>
      <c r="K86" s="32">
        <f t="shared" si="7"/>
        <v>8255.066483</v>
      </c>
      <c r="L86" s="33">
        <f t="shared" si="1"/>
        <v>0.103188331</v>
      </c>
      <c r="M86" s="32">
        <f t="shared" si="8"/>
        <v>9137.139142</v>
      </c>
      <c r="N86" s="35">
        <f t="shared" si="9"/>
        <v>41744.93352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7">
        <v>73.0</v>
      </c>
      <c r="F87" s="34">
        <f t="shared" si="2"/>
        <v>45688</v>
      </c>
      <c r="G87" s="32">
        <f t="shared" si="3"/>
        <v>8255.066483</v>
      </c>
      <c r="H87" s="32">
        <f t="shared" si="4"/>
        <v>706.6954536</v>
      </c>
      <c r="I87" s="32">
        <f t="shared" si="5"/>
        <v>34.39611035</v>
      </c>
      <c r="J87" s="32">
        <f t="shared" si="6"/>
        <v>672.2993433</v>
      </c>
      <c r="K87" s="32">
        <f t="shared" si="7"/>
        <v>7582.76714</v>
      </c>
      <c r="L87" s="33">
        <f t="shared" si="1"/>
        <v>0.09478458925</v>
      </c>
      <c r="M87" s="32">
        <f t="shared" si="8"/>
        <v>9171.535252</v>
      </c>
      <c r="N87" s="35">
        <f t="shared" si="9"/>
        <v>42417.23286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7">
        <v>74.0</v>
      </c>
      <c r="F88" s="34">
        <f t="shared" si="2"/>
        <v>45716</v>
      </c>
      <c r="G88" s="32">
        <f t="shared" si="3"/>
        <v>7582.76714</v>
      </c>
      <c r="H88" s="32">
        <f t="shared" si="4"/>
        <v>706.6954536</v>
      </c>
      <c r="I88" s="32">
        <f t="shared" si="5"/>
        <v>31.59486308</v>
      </c>
      <c r="J88" s="32">
        <f t="shared" si="6"/>
        <v>675.1005905</v>
      </c>
      <c r="K88" s="32">
        <f t="shared" si="7"/>
        <v>6907.666549</v>
      </c>
      <c r="L88" s="33">
        <f t="shared" si="1"/>
        <v>0.08634583186</v>
      </c>
      <c r="M88" s="32">
        <f t="shared" si="8"/>
        <v>9203.130115</v>
      </c>
      <c r="N88" s="35">
        <f t="shared" si="9"/>
        <v>43092.33345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7">
        <v>75.0</v>
      </c>
      <c r="F89" s="34">
        <f t="shared" si="2"/>
        <v>45747</v>
      </c>
      <c r="G89" s="32">
        <f t="shared" si="3"/>
        <v>6907.666549</v>
      </c>
      <c r="H89" s="32">
        <f t="shared" si="4"/>
        <v>706.6954536</v>
      </c>
      <c r="I89" s="32">
        <f t="shared" si="5"/>
        <v>28.78194395</v>
      </c>
      <c r="J89" s="32">
        <f t="shared" si="6"/>
        <v>677.9135096</v>
      </c>
      <c r="K89" s="32">
        <f t="shared" si="7"/>
        <v>6229.753039</v>
      </c>
      <c r="L89" s="33">
        <f t="shared" si="1"/>
        <v>0.07787191299</v>
      </c>
      <c r="M89" s="32">
        <f t="shared" si="8"/>
        <v>9231.912059</v>
      </c>
      <c r="N89" s="35">
        <f t="shared" si="9"/>
        <v>43770.24696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7">
        <v>76.0</v>
      </c>
      <c r="F90" s="34">
        <f t="shared" si="2"/>
        <v>45777</v>
      </c>
      <c r="G90" s="32">
        <f t="shared" si="3"/>
        <v>6229.753039</v>
      </c>
      <c r="H90" s="32">
        <f t="shared" si="4"/>
        <v>706.6954536</v>
      </c>
      <c r="I90" s="32">
        <f t="shared" si="5"/>
        <v>25.95730433</v>
      </c>
      <c r="J90" s="32">
        <f t="shared" si="6"/>
        <v>680.7381493</v>
      </c>
      <c r="K90" s="32">
        <f t="shared" si="7"/>
        <v>5549.01489</v>
      </c>
      <c r="L90" s="33">
        <f t="shared" si="1"/>
        <v>0.06936268613</v>
      </c>
      <c r="M90" s="32">
        <f t="shared" si="8"/>
        <v>9257.869363</v>
      </c>
      <c r="N90" s="35">
        <f t="shared" si="9"/>
        <v>44450.98511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7">
        <v>77.0</v>
      </c>
      <c r="F91" s="34">
        <f t="shared" si="2"/>
        <v>45808</v>
      </c>
      <c r="G91" s="32">
        <f t="shared" si="3"/>
        <v>5549.01489</v>
      </c>
      <c r="H91" s="32">
        <f t="shared" si="4"/>
        <v>706.6954536</v>
      </c>
      <c r="I91" s="32">
        <f t="shared" si="5"/>
        <v>23.12089538</v>
      </c>
      <c r="J91" s="32">
        <f t="shared" si="6"/>
        <v>683.5745582</v>
      </c>
      <c r="K91" s="32">
        <f t="shared" si="7"/>
        <v>4865.440332</v>
      </c>
      <c r="L91" s="33">
        <f t="shared" si="1"/>
        <v>0.06081800415</v>
      </c>
      <c r="M91" s="32">
        <f t="shared" si="8"/>
        <v>9280.990259</v>
      </c>
      <c r="N91" s="35">
        <f t="shared" si="9"/>
        <v>45134.55967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7">
        <v>78.0</v>
      </c>
      <c r="F92" s="34">
        <f t="shared" si="2"/>
        <v>45838</v>
      </c>
      <c r="G92" s="32">
        <f t="shared" si="3"/>
        <v>4865.440332</v>
      </c>
      <c r="H92" s="32">
        <f t="shared" si="4"/>
        <v>706.6954536</v>
      </c>
      <c r="I92" s="32">
        <f t="shared" si="5"/>
        <v>20.27266805</v>
      </c>
      <c r="J92" s="32">
        <f t="shared" si="6"/>
        <v>686.4227855</v>
      </c>
      <c r="K92" s="32">
        <f t="shared" si="7"/>
        <v>4179.017546</v>
      </c>
      <c r="L92" s="33">
        <f t="shared" si="1"/>
        <v>0.05223771933</v>
      </c>
      <c r="M92" s="32">
        <f t="shared" si="8"/>
        <v>9301.262927</v>
      </c>
      <c r="N92" s="35">
        <f t="shared" si="9"/>
        <v>45820.98245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7">
        <v>79.0</v>
      </c>
      <c r="F93" s="34">
        <f t="shared" si="2"/>
        <v>45869</v>
      </c>
      <c r="G93" s="32">
        <f t="shared" si="3"/>
        <v>4179.017546</v>
      </c>
      <c r="H93" s="32">
        <f t="shared" si="4"/>
        <v>706.6954536</v>
      </c>
      <c r="I93" s="32">
        <f t="shared" si="5"/>
        <v>17.41257311</v>
      </c>
      <c r="J93" s="32">
        <f t="shared" si="6"/>
        <v>689.2828805</v>
      </c>
      <c r="K93" s="32">
        <f t="shared" si="7"/>
        <v>3489.734666</v>
      </c>
      <c r="L93" s="33">
        <f t="shared" si="1"/>
        <v>0.04362168332</v>
      </c>
      <c r="M93" s="32">
        <f t="shared" si="8"/>
        <v>9318.6755</v>
      </c>
      <c r="N93" s="35">
        <f t="shared" si="9"/>
        <v>46510.26533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7">
        <v>80.0</v>
      </c>
      <c r="F94" s="34">
        <f t="shared" si="2"/>
        <v>45900</v>
      </c>
      <c r="G94" s="32">
        <f t="shared" si="3"/>
        <v>3489.734666</v>
      </c>
      <c r="H94" s="32">
        <f t="shared" si="4"/>
        <v>706.6954536</v>
      </c>
      <c r="I94" s="32">
        <f t="shared" si="5"/>
        <v>14.54056111</v>
      </c>
      <c r="J94" s="32">
        <f t="shared" si="6"/>
        <v>692.1548925</v>
      </c>
      <c r="K94" s="32">
        <f t="shared" si="7"/>
        <v>2797.579773</v>
      </c>
      <c r="L94" s="33">
        <f t="shared" si="1"/>
        <v>0.03496974717</v>
      </c>
      <c r="M94" s="32">
        <f t="shared" si="8"/>
        <v>9333.216061</v>
      </c>
      <c r="N94" s="35">
        <f t="shared" si="9"/>
        <v>47202.42023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7">
        <v>81.0</v>
      </c>
      <c r="F95" s="34">
        <f t="shared" si="2"/>
        <v>45930</v>
      </c>
      <c r="G95" s="32">
        <f t="shared" si="3"/>
        <v>2797.579773</v>
      </c>
      <c r="H95" s="32">
        <f t="shared" si="4"/>
        <v>706.6954536</v>
      </c>
      <c r="I95" s="32">
        <f t="shared" si="5"/>
        <v>11.65658239</v>
      </c>
      <c r="J95" s="32">
        <f t="shared" si="6"/>
        <v>695.0388712</v>
      </c>
      <c r="K95" s="32">
        <f t="shared" si="7"/>
        <v>2102.540902</v>
      </c>
      <c r="L95" s="33">
        <f t="shared" si="1"/>
        <v>0.02628176128</v>
      </c>
      <c r="M95" s="32">
        <f t="shared" si="8"/>
        <v>9344.872643</v>
      </c>
      <c r="N95" s="35">
        <f t="shared" si="9"/>
        <v>47897.4591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7">
        <v>82.0</v>
      </c>
      <c r="F96" s="34">
        <f t="shared" si="2"/>
        <v>45961</v>
      </c>
      <c r="G96" s="32">
        <f t="shared" si="3"/>
        <v>2102.540902</v>
      </c>
      <c r="H96" s="32">
        <f t="shared" si="4"/>
        <v>706.6954536</v>
      </c>
      <c r="I96" s="32">
        <f t="shared" si="5"/>
        <v>8.760587093</v>
      </c>
      <c r="J96" s="32">
        <f t="shared" si="6"/>
        <v>697.9348665</v>
      </c>
      <c r="K96" s="32">
        <f t="shared" si="7"/>
        <v>1404.606036</v>
      </c>
      <c r="L96" s="33">
        <f t="shared" si="1"/>
        <v>0.01755757545</v>
      </c>
      <c r="M96" s="32">
        <f t="shared" si="8"/>
        <v>9353.633231</v>
      </c>
      <c r="N96" s="35">
        <f t="shared" si="9"/>
        <v>48595.39396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7">
        <v>83.0</v>
      </c>
      <c r="F97" s="34">
        <f t="shared" si="2"/>
        <v>45991</v>
      </c>
      <c r="G97" s="32">
        <f t="shared" si="3"/>
        <v>1404.606036</v>
      </c>
      <c r="H97" s="32">
        <f t="shared" si="4"/>
        <v>706.6954536</v>
      </c>
      <c r="I97" s="32">
        <f t="shared" si="5"/>
        <v>5.852525149</v>
      </c>
      <c r="J97" s="32">
        <f t="shared" si="6"/>
        <v>700.8429284</v>
      </c>
      <c r="K97" s="32">
        <f t="shared" si="7"/>
        <v>703.7631073</v>
      </c>
      <c r="L97" s="33">
        <f t="shared" si="1"/>
        <v>0.008797038841</v>
      </c>
      <c r="M97" s="32">
        <f t="shared" si="8"/>
        <v>9359.485756</v>
      </c>
      <c r="N97" s="35">
        <f t="shared" si="9"/>
        <v>49296.23689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7">
        <v>84.0</v>
      </c>
      <c r="F98" s="34">
        <f t="shared" si="2"/>
        <v>46022</v>
      </c>
      <c r="G98" s="32">
        <f t="shared" si="3"/>
        <v>703.7631073</v>
      </c>
      <c r="H98" s="32">
        <f t="shared" si="4"/>
        <v>706.6954536</v>
      </c>
      <c r="I98" s="32">
        <f t="shared" si="5"/>
        <v>2.93234628</v>
      </c>
      <c r="J98" s="32">
        <f t="shared" si="6"/>
        <v>703.7631073</v>
      </c>
      <c r="K98" s="32">
        <f t="shared" si="7"/>
        <v>-0.0000000001668922778</v>
      </c>
      <c r="L98" s="33">
        <f t="shared" si="1"/>
        <v>0</v>
      </c>
      <c r="M98" s="32">
        <f t="shared" si="8"/>
        <v>9362.418102</v>
      </c>
      <c r="N98" s="35">
        <f t="shared" si="9"/>
        <v>50000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7">
        <v>85.0</v>
      </c>
      <c r="F99" s="34">
        <f t="shared" si="2"/>
        <v>46053</v>
      </c>
      <c r="G99" s="32">
        <f t="shared" si="3"/>
        <v>-0.0000000001668922778</v>
      </c>
      <c r="H99" s="32">
        <f t="shared" si="4"/>
        <v>706.6954536</v>
      </c>
      <c r="I99" s="32" t="str">
        <f t="shared" si="5"/>
        <v>#NUM!</v>
      </c>
      <c r="J99" s="32" t="str">
        <f t="shared" si="6"/>
        <v>#NUM!</v>
      </c>
      <c r="K99" s="32" t="str">
        <f t="shared" si="7"/>
        <v>#NUM!</v>
      </c>
      <c r="L99" s="33" t="str">
        <f t="shared" si="1"/>
        <v>#NUM!</v>
      </c>
      <c r="M99" s="32" t="str">
        <f t="shared" si="8"/>
        <v>#NUM!</v>
      </c>
      <c r="N99" s="36" t="str">
        <f t="shared" si="9"/>
        <v>#NUM!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7">
        <v>86.0</v>
      </c>
      <c r="F100" s="34">
        <f t="shared" si="2"/>
        <v>46081</v>
      </c>
      <c r="G100" s="32" t="str">
        <f t="shared" si="3"/>
        <v>#NUM!</v>
      </c>
      <c r="H100" s="32">
        <f t="shared" si="4"/>
        <v>706.6954536</v>
      </c>
      <c r="I100" s="32" t="str">
        <f t="shared" si="5"/>
        <v>#NUM!</v>
      </c>
      <c r="J100" s="32" t="str">
        <f t="shared" si="6"/>
        <v>#NUM!</v>
      </c>
      <c r="K100" s="32" t="str">
        <f t="shared" si="7"/>
        <v>#NUM!</v>
      </c>
      <c r="L100" s="33" t="str">
        <f t="shared" si="1"/>
        <v>#NUM!</v>
      </c>
      <c r="M100" s="32" t="str">
        <f t="shared" si="8"/>
        <v>#NUM!</v>
      </c>
      <c r="N100" s="36" t="str">
        <f t="shared" si="9"/>
        <v>#NUM!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7">
        <v>87.0</v>
      </c>
      <c r="F101" s="34">
        <f t="shared" si="2"/>
        <v>46112</v>
      </c>
      <c r="G101" s="32" t="str">
        <f t="shared" si="3"/>
        <v>#NUM!</v>
      </c>
      <c r="H101" s="32">
        <f t="shared" si="4"/>
        <v>706.6954536</v>
      </c>
      <c r="I101" s="32" t="str">
        <f t="shared" si="5"/>
        <v>#NUM!</v>
      </c>
      <c r="J101" s="32" t="str">
        <f t="shared" si="6"/>
        <v>#NUM!</v>
      </c>
      <c r="K101" s="32" t="str">
        <f t="shared" si="7"/>
        <v>#NUM!</v>
      </c>
      <c r="L101" s="33" t="str">
        <f t="shared" si="1"/>
        <v>#NUM!</v>
      </c>
      <c r="M101" s="32" t="str">
        <f t="shared" si="8"/>
        <v>#NUM!</v>
      </c>
      <c r="N101" s="36" t="str">
        <f t="shared" si="9"/>
        <v>#NUM!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7">
        <v>88.0</v>
      </c>
      <c r="F102" s="34">
        <f t="shared" si="2"/>
        <v>46142</v>
      </c>
      <c r="G102" s="32" t="str">
        <f t="shared" si="3"/>
        <v>#NUM!</v>
      </c>
      <c r="H102" s="32">
        <f t="shared" si="4"/>
        <v>706.6954536</v>
      </c>
      <c r="I102" s="32" t="str">
        <f t="shared" si="5"/>
        <v>#NUM!</v>
      </c>
      <c r="J102" s="32" t="str">
        <f t="shared" si="6"/>
        <v>#NUM!</v>
      </c>
      <c r="K102" s="32" t="str">
        <f t="shared" si="7"/>
        <v>#NUM!</v>
      </c>
      <c r="L102" s="33" t="str">
        <f t="shared" si="1"/>
        <v>#NUM!</v>
      </c>
      <c r="M102" s="32" t="str">
        <f t="shared" si="8"/>
        <v>#NUM!</v>
      </c>
      <c r="N102" s="36" t="str">
        <f t="shared" si="9"/>
        <v>#NUM!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7">
        <v>89.0</v>
      </c>
      <c r="F103" s="34">
        <f t="shared" si="2"/>
        <v>46173</v>
      </c>
      <c r="G103" s="32" t="str">
        <f t="shared" si="3"/>
        <v>#NUM!</v>
      </c>
      <c r="H103" s="32">
        <f t="shared" si="4"/>
        <v>706.6954536</v>
      </c>
      <c r="I103" s="32" t="str">
        <f t="shared" si="5"/>
        <v>#NUM!</v>
      </c>
      <c r="J103" s="32" t="str">
        <f t="shared" si="6"/>
        <v>#NUM!</v>
      </c>
      <c r="K103" s="32" t="str">
        <f t="shared" si="7"/>
        <v>#NUM!</v>
      </c>
      <c r="L103" s="33" t="str">
        <f t="shared" si="1"/>
        <v>#NUM!</v>
      </c>
      <c r="M103" s="32" t="str">
        <f t="shared" si="8"/>
        <v>#NUM!</v>
      </c>
      <c r="N103" s="36" t="str">
        <f t="shared" si="9"/>
        <v>#NUM!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7">
        <v>90.0</v>
      </c>
      <c r="F104" s="34">
        <f t="shared" si="2"/>
        <v>46203</v>
      </c>
      <c r="G104" s="32" t="str">
        <f t="shared" si="3"/>
        <v>#NUM!</v>
      </c>
      <c r="H104" s="32">
        <f t="shared" si="4"/>
        <v>706.6954536</v>
      </c>
      <c r="I104" s="32" t="str">
        <f t="shared" si="5"/>
        <v>#NUM!</v>
      </c>
      <c r="J104" s="32" t="str">
        <f t="shared" si="6"/>
        <v>#NUM!</v>
      </c>
      <c r="K104" s="32" t="str">
        <f t="shared" si="7"/>
        <v>#NUM!</v>
      </c>
      <c r="L104" s="33" t="str">
        <f t="shared" si="1"/>
        <v>#NUM!</v>
      </c>
      <c r="M104" s="32" t="str">
        <f t="shared" si="8"/>
        <v>#NUM!</v>
      </c>
      <c r="N104" s="36" t="str">
        <f t="shared" si="9"/>
        <v>#NUM!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7">
        <v>91.0</v>
      </c>
      <c r="F105" s="34">
        <f t="shared" si="2"/>
        <v>46234</v>
      </c>
      <c r="G105" s="32" t="str">
        <f t="shared" si="3"/>
        <v>#NUM!</v>
      </c>
      <c r="H105" s="32">
        <f t="shared" si="4"/>
        <v>706.6954536</v>
      </c>
      <c r="I105" s="32" t="str">
        <f t="shared" si="5"/>
        <v>#NUM!</v>
      </c>
      <c r="J105" s="32" t="str">
        <f t="shared" si="6"/>
        <v>#NUM!</v>
      </c>
      <c r="K105" s="32" t="str">
        <f t="shared" si="7"/>
        <v>#NUM!</v>
      </c>
      <c r="L105" s="33" t="str">
        <f t="shared" si="1"/>
        <v>#NUM!</v>
      </c>
      <c r="M105" s="32" t="str">
        <f t="shared" si="8"/>
        <v>#NUM!</v>
      </c>
      <c r="N105" s="36" t="str">
        <f t="shared" si="9"/>
        <v>#NUM!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7">
        <v>92.0</v>
      </c>
      <c r="F106" s="34">
        <f t="shared" si="2"/>
        <v>46265</v>
      </c>
      <c r="G106" s="32" t="str">
        <f t="shared" si="3"/>
        <v>#NUM!</v>
      </c>
      <c r="H106" s="32">
        <f t="shared" si="4"/>
        <v>706.6954536</v>
      </c>
      <c r="I106" s="32" t="str">
        <f t="shared" si="5"/>
        <v>#NUM!</v>
      </c>
      <c r="J106" s="32" t="str">
        <f t="shared" si="6"/>
        <v>#NUM!</v>
      </c>
      <c r="K106" s="32" t="str">
        <f t="shared" si="7"/>
        <v>#NUM!</v>
      </c>
      <c r="L106" s="33" t="str">
        <f t="shared" si="1"/>
        <v>#NUM!</v>
      </c>
      <c r="M106" s="32" t="str">
        <f t="shared" si="8"/>
        <v>#NUM!</v>
      </c>
      <c r="N106" s="36" t="str">
        <f t="shared" si="9"/>
        <v>#NUM!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7">
        <v>93.0</v>
      </c>
      <c r="F107" s="34">
        <f t="shared" si="2"/>
        <v>46295</v>
      </c>
      <c r="G107" s="32" t="str">
        <f t="shared" si="3"/>
        <v>#NUM!</v>
      </c>
      <c r="H107" s="32">
        <f t="shared" si="4"/>
        <v>706.6954536</v>
      </c>
      <c r="I107" s="32" t="str">
        <f t="shared" si="5"/>
        <v>#NUM!</v>
      </c>
      <c r="J107" s="32" t="str">
        <f t="shared" si="6"/>
        <v>#NUM!</v>
      </c>
      <c r="K107" s="32" t="str">
        <f t="shared" si="7"/>
        <v>#NUM!</v>
      </c>
      <c r="L107" s="33" t="str">
        <f t="shared" si="1"/>
        <v>#NUM!</v>
      </c>
      <c r="M107" s="32" t="str">
        <f t="shared" si="8"/>
        <v>#NUM!</v>
      </c>
      <c r="N107" s="36" t="str">
        <f t="shared" si="9"/>
        <v>#NUM!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7">
        <v>94.0</v>
      </c>
      <c r="F108" s="34">
        <f t="shared" si="2"/>
        <v>46326</v>
      </c>
      <c r="G108" s="32" t="str">
        <f t="shared" si="3"/>
        <v>#NUM!</v>
      </c>
      <c r="H108" s="32">
        <f t="shared" si="4"/>
        <v>706.6954536</v>
      </c>
      <c r="I108" s="32" t="str">
        <f t="shared" si="5"/>
        <v>#NUM!</v>
      </c>
      <c r="J108" s="32" t="str">
        <f t="shared" si="6"/>
        <v>#NUM!</v>
      </c>
      <c r="K108" s="32" t="str">
        <f t="shared" si="7"/>
        <v>#NUM!</v>
      </c>
      <c r="L108" s="33" t="str">
        <f t="shared" si="1"/>
        <v>#NUM!</v>
      </c>
      <c r="M108" s="32" t="str">
        <f t="shared" si="8"/>
        <v>#NUM!</v>
      </c>
      <c r="N108" s="36" t="str">
        <f t="shared" si="9"/>
        <v>#NUM!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7">
        <v>95.0</v>
      </c>
      <c r="F109" s="34">
        <f t="shared" si="2"/>
        <v>46356</v>
      </c>
      <c r="G109" s="32" t="str">
        <f t="shared" si="3"/>
        <v>#NUM!</v>
      </c>
      <c r="H109" s="32">
        <f t="shared" si="4"/>
        <v>706.6954536</v>
      </c>
      <c r="I109" s="32" t="str">
        <f t="shared" si="5"/>
        <v>#NUM!</v>
      </c>
      <c r="J109" s="32" t="str">
        <f t="shared" si="6"/>
        <v>#NUM!</v>
      </c>
      <c r="K109" s="32" t="str">
        <f t="shared" si="7"/>
        <v>#NUM!</v>
      </c>
      <c r="L109" s="33" t="str">
        <f t="shared" si="1"/>
        <v>#NUM!</v>
      </c>
      <c r="M109" s="32" t="str">
        <f t="shared" si="8"/>
        <v>#NUM!</v>
      </c>
      <c r="N109" s="36" t="str">
        <f t="shared" si="9"/>
        <v>#NUM!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7">
        <v>96.0</v>
      </c>
      <c r="F110" s="34">
        <f t="shared" si="2"/>
        <v>46387</v>
      </c>
      <c r="G110" s="32" t="str">
        <f t="shared" si="3"/>
        <v>#NUM!</v>
      </c>
      <c r="H110" s="32">
        <f t="shared" si="4"/>
        <v>706.6954536</v>
      </c>
      <c r="I110" s="32" t="str">
        <f t="shared" si="5"/>
        <v>#NUM!</v>
      </c>
      <c r="J110" s="32" t="str">
        <f t="shared" si="6"/>
        <v>#NUM!</v>
      </c>
      <c r="K110" s="32" t="str">
        <f t="shared" si="7"/>
        <v>#NUM!</v>
      </c>
      <c r="L110" s="33" t="str">
        <f t="shared" si="1"/>
        <v>#NUM!</v>
      </c>
      <c r="M110" s="32" t="str">
        <f t="shared" si="8"/>
        <v>#NUM!</v>
      </c>
      <c r="N110" s="36" t="str">
        <f t="shared" si="9"/>
        <v>#NUM!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7">
        <v>97.0</v>
      </c>
      <c r="F111" s="34">
        <f t="shared" si="2"/>
        <v>46418</v>
      </c>
      <c r="G111" s="32" t="str">
        <f t="shared" si="3"/>
        <v>#NUM!</v>
      </c>
      <c r="H111" s="32">
        <f t="shared" si="4"/>
        <v>706.6954536</v>
      </c>
      <c r="I111" s="32" t="str">
        <f t="shared" si="5"/>
        <v>#NUM!</v>
      </c>
      <c r="J111" s="32" t="str">
        <f t="shared" si="6"/>
        <v>#NUM!</v>
      </c>
      <c r="K111" s="32" t="str">
        <f t="shared" si="7"/>
        <v>#NUM!</v>
      </c>
      <c r="L111" s="33" t="str">
        <f t="shared" si="1"/>
        <v>#NUM!</v>
      </c>
      <c r="M111" s="32" t="str">
        <f t="shared" si="8"/>
        <v>#NUM!</v>
      </c>
      <c r="N111" s="36" t="str">
        <f t="shared" si="9"/>
        <v>#NUM!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7">
        <v>98.0</v>
      </c>
      <c r="F112" s="34">
        <f t="shared" si="2"/>
        <v>46446</v>
      </c>
      <c r="G112" s="32" t="str">
        <f t="shared" si="3"/>
        <v>#NUM!</v>
      </c>
      <c r="H112" s="32">
        <f t="shared" si="4"/>
        <v>706.6954536</v>
      </c>
      <c r="I112" s="32" t="str">
        <f t="shared" si="5"/>
        <v>#NUM!</v>
      </c>
      <c r="J112" s="32" t="str">
        <f t="shared" si="6"/>
        <v>#NUM!</v>
      </c>
      <c r="K112" s="32" t="str">
        <f t="shared" si="7"/>
        <v>#NUM!</v>
      </c>
      <c r="L112" s="33" t="str">
        <f t="shared" si="1"/>
        <v>#NUM!</v>
      </c>
      <c r="M112" s="32" t="str">
        <f t="shared" si="8"/>
        <v>#NUM!</v>
      </c>
      <c r="N112" s="36" t="str">
        <f t="shared" si="9"/>
        <v>#NUM!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7">
        <v>99.0</v>
      </c>
      <c r="F113" s="34">
        <f t="shared" si="2"/>
        <v>46477</v>
      </c>
      <c r="G113" s="32" t="str">
        <f t="shared" si="3"/>
        <v>#NUM!</v>
      </c>
      <c r="H113" s="32">
        <f t="shared" si="4"/>
        <v>706.6954536</v>
      </c>
      <c r="I113" s="32" t="str">
        <f t="shared" si="5"/>
        <v>#NUM!</v>
      </c>
      <c r="J113" s="32" t="str">
        <f t="shared" si="6"/>
        <v>#NUM!</v>
      </c>
      <c r="K113" s="32" t="str">
        <f t="shared" si="7"/>
        <v>#NUM!</v>
      </c>
      <c r="L113" s="33" t="str">
        <f t="shared" si="1"/>
        <v>#NUM!</v>
      </c>
      <c r="M113" s="32" t="str">
        <f t="shared" si="8"/>
        <v>#NUM!</v>
      </c>
      <c r="N113" s="36" t="str">
        <f t="shared" si="9"/>
        <v>#NUM!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7">
        <v>100.0</v>
      </c>
      <c r="F114" s="34">
        <f t="shared" si="2"/>
        <v>46507</v>
      </c>
      <c r="G114" s="32" t="str">
        <f t="shared" si="3"/>
        <v>#NUM!</v>
      </c>
      <c r="H114" s="32">
        <f t="shared" si="4"/>
        <v>706.6954536</v>
      </c>
      <c r="I114" s="32" t="str">
        <f t="shared" si="5"/>
        <v>#NUM!</v>
      </c>
      <c r="J114" s="32" t="str">
        <f t="shared" si="6"/>
        <v>#NUM!</v>
      </c>
      <c r="K114" s="32" t="str">
        <f t="shared" si="7"/>
        <v>#NUM!</v>
      </c>
      <c r="L114" s="33" t="str">
        <f t="shared" si="1"/>
        <v>#NUM!</v>
      </c>
      <c r="M114" s="32" t="str">
        <f t="shared" si="8"/>
        <v>#NUM!</v>
      </c>
      <c r="N114" s="36" t="str">
        <f t="shared" si="9"/>
        <v>#NUM!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7">
        <v>101.0</v>
      </c>
      <c r="F115" s="34">
        <f t="shared" si="2"/>
        <v>46538</v>
      </c>
      <c r="G115" s="32" t="str">
        <f t="shared" si="3"/>
        <v>#NUM!</v>
      </c>
      <c r="H115" s="32">
        <f t="shared" si="4"/>
        <v>706.6954536</v>
      </c>
      <c r="I115" s="32" t="str">
        <f t="shared" si="5"/>
        <v>#NUM!</v>
      </c>
      <c r="J115" s="32" t="str">
        <f t="shared" si="6"/>
        <v>#NUM!</v>
      </c>
      <c r="K115" s="32" t="str">
        <f t="shared" si="7"/>
        <v>#NUM!</v>
      </c>
      <c r="L115" s="33" t="str">
        <f t="shared" si="1"/>
        <v>#NUM!</v>
      </c>
      <c r="M115" s="32" t="str">
        <f t="shared" si="8"/>
        <v>#NUM!</v>
      </c>
      <c r="N115" s="36" t="str">
        <f t="shared" si="9"/>
        <v>#NUM!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7">
        <v>102.0</v>
      </c>
      <c r="F116" s="34">
        <f t="shared" si="2"/>
        <v>46568</v>
      </c>
      <c r="G116" s="32" t="str">
        <f t="shared" si="3"/>
        <v>#NUM!</v>
      </c>
      <c r="H116" s="32">
        <f t="shared" si="4"/>
        <v>706.6954536</v>
      </c>
      <c r="I116" s="32" t="str">
        <f t="shared" si="5"/>
        <v>#NUM!</v>
      </c>
      <c r="J116" s="32" t="str">
        <f t="shared" si="6"/>
        <v>#NUM!</v>
      </c>
      <c r="K116" s="32" t="str">
        <f t="shared" si="7"/>
        <v>#NUM!</v>
      </c>
      <c r="L116" s="33" t="str">
        <f t="shared" si="1"/>
        <v>#NUM!</v>
      </c>
      <c r="M116" s="32" t="str">
        <f t="shared" si="8"/>
        <v>#NUM!</v>
      </c>
      <c r="N116" s="36" t="str">
        <f t="shared" si="9"/>
        <v>#NUM!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7">
        <v>103.0</v>
      </c>
      <c r="F117" s="34">
        <f t="shared" si="2"/>
        <v>46599</v>
      </c>
      <c r="G117" s="32" t="str">
        <f t="shared" si="3"/>
        <v>#NUM!</v>
      </c>
      <c r="H117" s="32">
        <f t="shared" si="4"/>
        <v>706.6954536</v>
      </c>
      <c r="I117" s="32" t="str">
        <f t="shared" si="5"/>
        <v>#NUM!</v>
      </c>
      <c r="J117" s="32" t="str">
        <f t="shared" si="6"/>
        <v>#NUM!</v>
      </c>
      <c r="K117" s="32" t="str">
        <f t="shared" si="7"/>
        <v>#NUM!</v>
      </c>
      <c r="L117" s="33" t="str">
        <f t="shared" si="1"/>
        <v>#NUM!</v>
      </c>
      <c r="M117" s="32" t="str">
        <f t="shared" si="8"/>
        <v>#NUM!</v>
      </c>
      <c r="N117" s="36" t="str">
        <f t="shared" si="9"/>
        <v>#NUM!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7">
        <v>104.0</v>
      </c>
      <c r="F118" s="34">
        <f t="shared" si="2"/>
        <v>46630</v>
      </c>
      <c r="G118" s="32" t="str">
        <f t="shared" si="3"/>
        <v>#NUM!</v>
      </c>
      <c r="H118" s="32">
        <f t="shared" si="4"/>
        <v>706.6954536</v>
      </c>
      <c r="I118" s="32" t="str">
        <f t="shared" si="5"/>
        <v>#NUM!</v>
      </c>
      <c r="J118" s="32" t="str">
        <f t="shared" si="6"/>
        <v>#NUM!</v>
      </c>
      <c r="K118" s="32" t="str">
        <f t="shared" si="7"/>
        <v>#NUM!</v>
      </c>
      <c r="L118" s="33" t="str">
        <f t="shared" si="1"/>
        <v>#NUM!</v>
      </c>
      <c r="M118" s="32" t="str">
        <f t="shared" si="8"/>
        <v>#NUM!</v>
      </c>
      <c r="N118" s="36" t="str">
        <f t="shared" si="9"/>
        <v>#NUM!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7">
        <v>105.0</v>
      </c>
      <c r="F119" s="34">
        <f t="shared" si="2"/>
        <v>46660</v>
      </c>
      <c r="G119" s="32" t="str">
        <f t="shared" si="3"/>
        <v>#NUM!</v>
      </c>
      <c r="H119" s="32">
        <f t="shared" si="4"/>
        <v>706.6954536</v>
      </c>
      <c r="I119" s="32" t="str">
        <f t="shared" si="5"/>
        <v>#NUM!</v>
      </c>
      <c r="J119" s="32" t="str">
        <f t="shared" si="6"/>
        <v>#NUM!</v>
      </c>
      <c r="K119" s="32" t="str">
        <f t="shared" si="7"/>
        <v>#NUM!</v>
      </c>
      <c r="L119" s="33" t="str">
        <f t="shared" si="1"/>
        <v>#NUM!</v>
      </c>
      <c r="M119" s="32" t="str">
        <f t="shared" si="8"/>
        <v>#NUM!</v>
      </c>
      <c r="N119" s="36" t="str">
        <f t="shared" si="9"/>
        <v>#NUM!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7">
        <v>106.0</v>
      </c>
      <c r="F120" s="34">
        <f t="shared" si="2"/>
        <v>46691</v>
      </c>
      <c r="G120" s="32" t="str">
        <f t="shared" si="3"/>
        <v>#NUM!</v>
      </c>
      <c r="H120" s="32">
        <f t="shared" si="4"/>
        <v>706.6954536</v>
      </c>
      <c r="I120" s="32" t="str">
        <f t="shared" si="5"/>
        <v>#NUM!</v>
      </c>
      <c r="J120" s="32" t="str">
        <f t="shared" si="6"/>
        <v>#NUM!</v>
      </c>
      <c r="K120" s="32" t="str">
        <f t="shared" si="7"/>
        <v>#NUM!</v>
      </c>
      <c r="L120" s="33" t="str">
        <f t="shared" si="1"/>
        <v>#NUM!</v>
      </c>
      <c r="M120" s="32" t="str">
        <f t="shared" si="8"/>
        <v>#NUM!</v>
      </c>
      <c r="N120" s="36" t="str">
        <f t="shared" si="9"/>
        <v>#NUM!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7">
        <v>107.0</v>
      </c>
      <c r="F121" s="34">
        <f t="shared" si="2"/>
        <v>46721</v>
      </c>
      <c r="G121" s="32" t="str">
        <f t="shared" si="3"/>
        <v>#NUM!</v>
      </c>
      <c r="H121" s="32">
        <f t="shared" si="4"/>
        <v>706.6954536</v>
      </c>
      <c r="I121" s="32" t="str">
        <f t="shared" si="5"/>
        <v>#NUM!</v>
      </c>
      <c r="J121" s="32" t="str">
        <f t="shared" si="6"/>
        <v>#NUM!</v>
      </c>
      <c r="K121" s="32" t="str">
        <f t="shared" si="7"/>
        <v>#NUM!</v>
      </c>
      <c r="L121" s="33" t="str">
        <f t="shared" si="1"/>
        <v>#NUM!</v>
      </c>
      <c r="M121" s="32" t="str">
        <f t="shared" si="8"/>
        <v>#NUM!</v>
      </c>
      <c r="N121" s="36" t="str">
        <f t="shared" si="9"/>
        <v>#NUM!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7">
        <v>108.0</v>
      </c>
      <c r="F122" s="34">
        <f t="shared" si="2"/>
        <v>46752</v>
      </c>
      <c r="G122" s="32" t="str">
        <f t="shared" si="3"/>
        <v>#NUM!</v>
      </c>
      <c r="H122" s="32">
        <f t="shared" si="4"/>
        <v>706.6954536</v>
      </c>
      <c r="I122" s="32" t="str">
        <f t="shared" si="5"/>
        <v>#NUM!</v>
      </c>
      <c r="J122" s="32" t="str">
        <f t="shared" si="6"/>
        <v>#NUM!</v>
      </c>
      <c r="K122" s="32" t="str">
        <f t="shared" si="7"/>
        <v>#NUM!</v>
      </c>
      <c r="L122" s="33" t="str">
        <f t="shared" si="1"/>
        <v>#NUM!</v>
      </c>
      <c r="M122" s="32" t="str">
        <f t="shared" si="8"/>
        <v>#NUM!</v>
      </c>
      <c r="N122" s="36" t="str">
        <f t="shared" si="9"/>
        <v>#NUM!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7">
        <v>109.0</v>
      </c>
      <c r="F123" s="34">
        <f t="shared" si="2"/>
        <v>46783</v>
      </c>
      <c r="G123" s="32" t="str">
        <f t="shared" si="3"/>
        <v>#NUM!</v>
      </c>
      <c r="H123" s="32">
        <f t="shared" si="4"/>
        <v>706.6954536</v>
      </c>
      <c r="I123" s="32" t="str">
        <f t="shared" si="5"/>
        <v>#NUM!</v>
      </c>
      <c r="J123" s="32" t="str">
        <f t="shared" si="6"/>
        <v>#NUM!</v>
      </c>
      <c r="K123" s="32" t="str">
        <f t="shared" si="7"/>
        <v>#NUM!</v>
      </c>
      <c r="L123" s="33" t="str">
        <f t="shared" si="1"/>
        <v>#NUM!</v>
      </c>
      <c r="M123" s="32" t="str">
        <f t="shared" si="8"/>
        <v>#NUM!</v>
      </c>
      <c r="N123" s="36" t="str">
        <f t="shared" si="9"/>
        <v>#NUM!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7">
        <v>110.0</v>
      </c>
      <c r="F124" s="34">
        <f t="shared" si="2"/>
        <v>46812</v>
      </c>
      <c r="G124" s="32" t="str">
        <f t="shared" si="3"/>
        <v>#NUM!</v>
      </c>
      <c r="H124" s="32">
        <f t="shared" si="4"/>
        <v>706.6954536</v>
      </c>
      <c r="I124" s="32" t="str">
        <f t="shared" si="5"/>
        <v>#NUM!</v>
      </c>
      <c r="J124" s="32" t="str">
        <f t="shared" si="6"/>
        <v>#NUM!</v>
      </c>
      <c r="K124" s="32" t="str">
        <f t="shared" si="7"/>
        <v>#NUM!</v>
      </c>
      <c r="L124" s="33" t="str">
        <f t="shared" si="1"/>
        <v>#NUM!</v>
      </c>
      <c r="M124" s="32" t="str">
        <f t="shared" si="8"/>
        <v>#NUM!</v>
      </c>
      <c r="N124" s="36" t="str">
        <f t="shared" si="9"/>
        <v>#NUM!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7">
        <v>111.0</v>
      </c>
      <c r="F125" s="34">
        <f t="shared" si="2"/>
        <v>46843</v>
      </c>
      <c r="G125" s="32" t="str">
        <f t="shared" si="3"/>
        <v>#NUM!</v>
      </c>
      <c r="H125" s="32">
        <f t="shared" si="4"/>
        <v>706.6954536</v>
      </c>
      <c r="I125" s="32" t="str">
        <f t="shared" si="5"/>
        <v>#NUM!</v>
      </c>
      <c r="J125" s="32" t="str">
        <f t="shared" si="6"/>
        <v>#NUM!</v>
      </c>
      <c r="K125" s="32" t="str">
        <f t="shared" si="7"/>
        <v>#NUM!</v>
      </c>
      <c r="L125" s="33" t="str">
        <f t="shared" si="1"/>
        <v>#NUM!</v>
      </c>
      <c r="M125" s="32" t="str">
        <f t="shared" si="8"/>
        <v>#NUM!</v>
      </c>
      <c r="N125" s="36" t="str">
        <f t="shared" si="9"/>
        <v>#NUM!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7">
        <v>112.0</v>
      </c>
      <c r="F126" s="34">
        <f t="shared" si="2"/>
        <v>46873</v>
      </c>
      <c r="G126" s="32" t="str">
        <f t="shared" si="3"/>
        <v>#NUM!</v>
      </c>
      <c r="H126" s="32">
        <f t="shared" si="4"/>
        <v>706.6954536</v>
      </c>
      <c r="I126" s="32" t="str">
        <f t="shared" si="5"/>
        <v>#NUM!</v>
      </c>
      <c r="J126" s="32" t="str">
        <f t="shared" si="6"/>
        <v>#NUM!</v>
      </c>
      <c r="K126" s="32" t="str">
        <f t="shared" si="7"/>
        <v>#NUM!</v>
      </c>
      <c r="L126" s="33" t="str">
        <f t="shared" si="1"/>
        <v>#NUM!</v>
      </c>
      <c r="M126" s="32" t="str">
        <f t="shared" si="8"/>
        <v>#NUM!</v>
      </c>
      <c r="N126" s="36" t="str">
        <f t="shared" si="9"/>
        <v>#NUM!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7">
        <v>113.0</v>
      </c>
      <c r="F127" s="34">
        <f t="shared" si="2"/>
        <v>46904</v>
      </c>
      <c r="G127" s="32" t="str">
        <f t="shared" si="3"/>
        <v>#NUM!</v>
      </c>
      <c r="H127" s="32">
        <f t="shared" si="4"/>
        <v>706.6954536</v>
      </c>
      <c r="I127" s="32" t="str">
        <f t="shared" si="5"/>
        <v>#NUM!</v>
      </c>
      <c r="J127" s="32" t="str">
        <f t="shared" si="6"/>
        <v>#NUM!</v>
      </c>
      <c r="K127" s="32" t="str">
        <f t="shared" si="7"/>
        <v>#NUM!</v>
      </c>
      <c r="L127" s="33" t="str">
        <f t="shared" si="1"/>
        <v>#NUM!</v>
      </c>
      <c r="M127" s="32" t="str">
        <f t="shared" si="8"/>
        <v>#NUM!</v>
      </c>
      <c r="N127" s="36" t="str">
        <f t="shared" si="9"/>
        <v>#NUM!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7">
        <v>114.0</v>
      </c>
      <c r="F128" s="34">
        <f t="shared" si="2"/>
        <v>46934</v>
      </c>
      <c r="G128" s="32" t="str">
        <f t="shared" si="3"/>
        <v>#NUM!</v>
      </c>
      <c r="H128" s="32">
        <f t="shared" si="4"/>
        <v>706.6954536</v>
      </c>
      <c r="I128" s="32" t="str">
        <f t="shared" si="5"/>
        <v>#NUM!</v>
      </c>
      <c r="J128" s="32" t="str">
        <f t="shared" si="6"/>
        <v>#NUM!</v>
      </c>
      <c r="K128" s="32" t="str">
        <f t="shared" si="7"/>
        <v>#NUM!</v>
      </c>
      <c r="L128" s="33" t="str">
        <f t="shared" si="1"/>
        <v>#NUM!</v>
      </c>
      <c r="M128" s="32" t="str">
        <f t="shared" si="8"/>
        <v>#NUM!</v>
      </c>
      <c r="N128" s="36" t="str">
        <f t="shared" si="9"/>
        <v>#NUM!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7">
        <v>115.0</v>
      </c>
      <c r="F129" s="34">
        <f t="shared" si="2"/>
        <v>46965</v>
      </c>
      <c r="G129" s="32" t="str">
        <f t="shared" si="3"/>
        <v>#NUM!</v>
      </c>
      <c r="H129" s="32">
        <f t="shared" si="4"/>
        <v>706.6954536</v>
      </c>
      <c r="I129" s="32" t="str">
        <f t="shared" si="5"/>
        <v>#NUM!</v>
      </c>
      <c r="J129" s="32" t="str">
        <f t="shared" si="6"/>
        <v>#NUM!</v>
      </c>
      <c r="K129" s="32" t="str">
        <f t="shared" si="7"/>
        <v>#NUM!</v>
      </c>
      <c r="L129" s="33" t="str">
        <f t="shared" si="1"/>
        <v>#NUM!</v>
      </c>
      <c r="M129" s="32" t="str">
        <f t="shared" si="8"/>
        <v>#NUM!</v>
      </c>
      <c r="N129" s="36" t="str">
        <f t="shared" si="9"/>
        <v>#NUM!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7">
        <v>116.0</v>
      </c>
      <c r="F130" s="34">
        <f t="shared" si="2"/>
        <v>46996</v>
      </c>
      <c r="G130" s="32" t="str">
        <f t="shared" si="3"/>
        <v>#NUM!</v>
      </c>
      <c r="H130" s="32">
        <f t="shared" si="4"/>
        <v>706.6954536</v>
      </c>
      <c r="I130" s="32" t="str">
        <f t="shared" si="5"/>
        <v>#NUM!</v>
      </c>
      <c r="J130" s="32" t="str">
        <f t="shared" si="6"/>
        <v>#NUM!</v>
      </c>
      <c r="K130" s="32" t="str">
        <f t="shared" si="7"/>
        <v>#NUM!</v>
      </c>
      <c r="L130" s="33" t="str">
        <f t="shared" si="1"/>
        <v>#NUM!</v>
      </c>
      <c r="M130" s="32" t="str">
        <f t="shared" si="8"/>
        <v>#NUM!</v>
      </c>
      <c r="N130" s="36" t="str">
        <f t="shared" si="9"/>
        <v>#NUM!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7">
        <v>117.0</v>
      </c>
      <c r="F131" s="34">
        <f t="shared" si="2"/>
        <v>47026</v>
      </c>
      <c r="G131" s="32" t="str">
        <f t="shared" si="3"/>
        <v>#NUM!</v>
      </c>
      <c r="H131" s="32">
        <f t="shared" si="4"/>
        <v>706.6954536</v>
      </c>
      <c r="I131" s="32" t="str">
        <f t="shared" si="5"/>
        <v>#NUM!</v>
      </c>
      <c r="J131" s="32" t="str">
        <f t="shared" si="6"/>
        <v>#NUM!</v>
      </c>
      <c r="K131" s="32" t="str">
        <f t="shared" si="7"/>
        <v>#NUM!</v>
      </c>
      <c r="L131" s="33" t="str">
        <f t="shared" si="1"/>
        <v>#NUM!</v>
      </c>
      <c r="M131" s="32" t="str">
        <f t="shared" si="8"/>
        <v>#NUM!</v>
      </c>
      <c r="N131" s="36" t="str">
        <f t="shared" si="9"/>
        <v>#NUM!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7">
        <v>118.0</v>
      </c>
      <c r="F132" s="34">
        <f t="shared" si="2"/>
        <v>47057</v>
      </c>
      <c r="G132" s="32" t="str">
        <f t="shared" si="3"/>
        <v>#NUM!</v>
      </c>
      <c r="H132" s="32">
        <f t="shared" si="4"/>
        <v>706.6954536</v>
      </c>
      <c r="I132" s="32" t="str">
        <f t="shared" si="5"/>
        <v>#NUM!</v>
      </c>
      <c r="J132" s="32" t="str">
        <f t="shared" si="6"/>
        <v>#NUM!</v>
      </c>
      <c r="K132" s="32" t="str">
        <f t="shared" si="7"/>
        <v>#NUM!</v>
      </c>
      <c r="L132" s="33" t="str">
        <f t="shared" si="1"/>
        <v>#NUM!</v>
      </c>
      <c r="M132" s="32" t="str">
        <f t="shared" si="8"/>
        <v>#NUM!</v>
      </c>
      <c r="N132" s="36" t="str">
        <f t="shared" si="9"/>
        <v>#NUM!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7">
        <v>119.0</v>
      </c>
      <c r="F133" s="34">
        <f t="shared" si="2"/>
        <v>47087</v>
      </c>
      <c r="G133" s="32" t="str">
        <f t="shared" si="3"/>
        <v>#NUM!</v>
      </c>
      <c r="H133" s="32">
        <f t="shared" si="4"/>
        <v>706.6954536</v>
      </c>
      <c r="I133" s="32" t="str">
        <f t="shared" si="5"/>
        <v>#NUM!</v>
      </c>
      <c r="J133" s="32" t="str">
        <f t="shared" si="6"/>
        <v>#NUM!</v>
      </c>
      <c r="K133" s="32" t="str">
        <f t="shared" si="7"/>
        <v>#NUM!</v>
      </c>
      <c r="L133" s="33" t="str">
        <f t="shared" si="1"/>
        <v>#NUM!</v>
      </c>
      <c r="M133" s="32" t="str">
        <f t="shared" si="8"/>
        <v>#NUM!</v>
      </c>
      <c r="N133" s="36" t="str">
        <f t="shared" si="9"/>
        <v>#NUM!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7">
        <v>120.0</v>
      </c>
      <c r="F134" s="34">
        <f t="shared" si="2"/>
        <v>47118</v>
      </c>
      <c r="G134" s="32" t="str">
        <f t="shared" si="3"/>
        <v>#NUM!</v>
      </c>
      <c r="H134" s="32">
        <f t="shared" si="4"/>
        <v>706.6954536</v>
      </c>
      <c r="I134" s="32" t="str">
        <f t="shared" si="5"/>
        <v>#NUM!</v>
      </c>
      <c r="J134" s="32" t="str">
        <f t="shared" si="6"/>
        <v>#NUM!</v>
      </c>
      <c r="K134" s="32" t="str">
        <f t="shared" si="7"/>
        <v>#NUM!</v>
      </c>
      <c r="L134" s="33" t="str">
        <f t="shared" si="1"/>
        <v>#NUM!</v>
      </c>
      <c r="M134" s="32" t="str">
        <f t="shared" si="8"/>
        <v>#NUM!</v>
      </c>
      <c r="N134" s="36" t="str">
        <f t="shared" si="9"/>
        <v>#NUM!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7">
        <v>121.0</v>
      </c>
      <c r="F135" s="34">
        <f t="shared" si="2"/>
        <v>47149</v>
      </c>
      <c r="G135" s="32" t="str">
        <f t="shared" si="3"/>
        <v>#NUM!</v>
      </c>
      <c r="H135" s="32">
        <f t="shared" si="4"/>
        <v>706.6954536</v>
      </c>
      <c r="I135" s="32" t="str">
        <f t="shared" si="5"/>
        <v>#NUM!</v>
      </c>
      <c r="J135" s="32" t="str">
        <f t="shared" si="6"/>
        <v>#NUM!</v>
      </c>
      <c r="K135" s="32" t="str">
        <f t="shared" si="7"/>
        <v>#NUM!</v>
      </c>
      <c r="L135" s="33" t="str">
        <f t="shared" si="1"/>
        <v>#NUM!</v>
      </c>
      <c r="M135" s="32" t="str">
        <f t="shared" si="8"/>
        <v>#NUM!</v>
      </c>
      <c r="N135" s="36" t="str">
        <f t="shared" si="9"/>
        <v>#NUM!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7">
        <v>122.0</v>
      </c>
      <c r="F136" s="34">
        <f t="shared" si="2"/>
        <v>47177</v>
      </c>
      <c r="G136" s="32" t="str">
        <f t="shared" si="3"/>
        <v>#NUM!</v>
      </c>
      <c r="H136" s="32">
        <f t="shared" si="4"/>
        <v>706.6954536</v>
      </c>
      <c r="I136" s="32" t="str">
        <f t="shared" si="5"/>
        <v>#NUM!</v>
      </c>
      <c r="J136" s="32" t="str">
        <f t="shared" si="6"/>
        <v>#NUM!</v>
      </c>
      <c r="K136" s="32" t="str">
        <f t="shared" si="7"/>
        <v>#NUM!</v>
      </c>
      <c r="L136" s="33" t="str">
        <f t="shared" si="1"/>
        <v>#NUM!</v>
      </c>
      <c r="M136" s="32" t="str">
        <f t="shared" si="8"/>
        <v>#NUM!</v>
      </c>
      <c r="N136" s="36" t="str">
        <f t="shared" si="9"/>
        <v>#NUM!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7">
        <v>123.0</v>
      </c>
      <c r="F137" s="34">
        <f t="shared" si="2"/>
        <v>47208</v>
      </c>
      <c r="G137" s="32" t="str">
        <f t="shared" si="3"/>
        <v>#NUM!</v>
      </c>
      <c r="H137" s="32">
        <f t="shared" si="4"/>
        <v>706.6954536</v>
      </c>
      <c r="I137" s="32" t="str">
        <f t="shared" si="5"/>
        <v>#NUM!</v>
      </c>
      <c r="J137" s="32" t="str">
        <f t="shared" si="6"/>
        <v>#NUM!</v>
      </c>
      <c r="K137" s="32" t="str">
        <f t="shared" si="7"/>
        <v>#NUM!</v>
      </c>
      <c r="L137" s="33" t="str">
        <f t="shared" si="1"/>
        <v>#NUM!</v>
      </c>
      <c r="M137" s="32" t="str">
        <f t="shared" si="8"/>
        <v>#NUM!</v>
      </c>
      <c r="N137" s="36" t="str">
        <f t="shared" si="9"/>
        <v>#NUM!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7">
        <v>124.0</v>
      </c>
      <c r="F138" s="34">
        <f t="shared" si="2"/>
        <v>47238</v>
      </c>
      <c r="G138" s="32" t="str">
        <f t="shared" si="3"/>
        <v>#NUM!</v>
      </c>
      <c r="H138" s="32">
        <f t="shared" si="4"/>
        <v>706.6954536</v>
      </c>
      <c r="I138" s="32" t="str">
        <f t="shared" si="5"/>
        <v>#NUM!</v>
      </c>
      <c r="J138" s="32" t="str">
        <f t="shared" si="6"/>
        <v>#NUM!</v>
      </c>
      <c r="K138" s="32" t="str">
        <f t="shared" si="7"/>
        <v>#NUM!</v>
      </c>
      <c r="L138" s="33" t="str">
        <f t="shared" si="1"/>
        <v>#NUM!</v>
      </c>
      <c r="M138" s="32" t="str">
        <f t="shared" si="8"/>
        <v>#NUM!</v>
      </c>
      <c r="N138" s="36" t="str">
        <f t="shared" si="9"/>
        <v>#NUM!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7">
        <v>125.0</v>
      </c>
      <c r="F139" s="34">
        <f t="shared" si="2"/>
        <v>47269</v>
      </c>
      <c r="G139" s="32" t="str">
        <f t="shared" si="3"/>
        <v>#NUM!</v>
      </c>
      <c r="H139" s="32">
        <f t="shared" si="4"/>
        <v>706.6954536</v>
      </c>
      <c r="I139" s="32" t="str">
        <f t="shared" si="5"/>
        <v>#NUM!</v>
      </c>
      <c r="J139" s="32" t="str">
        <f t="shared" si="6"/>
        <v>#NUM!</v>
      </c>
      <c r="K139" s="32" t="str">
        <f t="shared" si="7"/>
        <v>#NUM!</v>
      </c>
      <c r="L139" s="33" t="str">
        <f t="shared" si="1"/>
        <v>#NUM!</v>
      </c>
      <c r="M139" s="32" t="str">
        <f t="shared" si="8"/>
        <v>#NUM!</v>
      </c>
      <c r="N139" s="36" t="str">
        <f t="shared" si="9"/>
        <v>#NUM!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7">
        <v>126.0</v>
      </c>
      <c r="F140" s="34">
        <f t="shared" si="2"/>
        <v>47299</v>
      </c>
      <c r="G140" s="32" t="str">
        <f t="shared" si="3"/>
        <v>#NUM!</v>
      </c>
      <c r="H140" s="32">
        <f t="shared" si="4"/>
        <v>706.6954536</v>
      </c>
      <c r="I140" s="32" t="str">
        <f t="shared" si="5"/>
        <v>#NUM!</v>
      </c>
      <c r="J140" s="32" t="str">
        <f t="shared" si="6"/>
        <v>#NUM!</v>
      </c>
      <c r="K140" s="32" t="str">
        <f t="shared" si="7"/>
        <v>#NUM!</v>
      </c>
      <c r="L140" s="33" t="str">
        <f t="shared" si="1"/>
        <v>#NUM!</v>
      </c>
      <c r="M140" s="32" t="str">
        <f t="shared" si="8"/>
        <v>#NUM!</v>
      </c>
      <c r="N140" s="36" t="str">
        <f t="shared" si="9"/>
        <v>#NUM!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7">
        <v>127.0</v>
      </c>
      <c r="F141" s="34">
        <f t="shared" si="2"/>
        <v>47330</v>
      </c>
      <c r="G141" s="32" t="str">
        <f t="shared" si="3"/>
        <v>#NUM!</v>
      </c>
      <c r="H141" s="32">
        <f t="shared" si="4"/>
        <v>706.6954536</v>
      </c>
      <c r="I141" s="32" t="str">
        <f t="shared" si="5"/>
        <v>#NUM!</v>
      </c>
      <c r="J141" s="32" t="str">
        <f t="shared" si="6"/>
        <v>#NUM!</v>
      </c>
      <c r="K141" s="32" t="str">
        <f t="shared" si="7"/>
        <v>#NUM!</v>
      </c>
      <c r="L141" s="33" t="str">
        <f t="shared" si="1"/>
        <v>#NUM!</v>
      </c>
      <c r="M141" s="32" t="str">
        <f t="shared" si="8"/>
        <v>#NUM!</v>
      </c>
      <c r="N141" s="36" t="str">
        <f t="shared" si="9"/>
        <v>#NUM!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7">
        <v>128.0</v>
      </c>
      <c r="F142" s="34">
        <f t="shared" si="2"/>
        <v>47361</v>
      </c>
      <c r="G142" s="32" t="str">
        <f t="shared" si="3"/>
        <v>#NUM!</v>
      </c>
      <c r="H142" s="32">
        <f t="shared" si="4"/>
        <v>706.6954536</v>
      </c>
      <c r="I142" s="32" t="str">
        <f t="shared" si="5"/>
        <v>#NUM!</v>
      </c>
      <c r="J142" s="32" t="str">
        <f t="shared" si="6"/>
        <v>#NUM!</v>
      </c>
      <c r="K142" s="32" t="str">
        <f t="shared" si="7"/>
        <v>#NUM!</v>
      </c>
      <c r="L142" s="33" t="str">
        <f t="shared" si="1"/>
        <v>#NUM!</v>
      </c>
      <c r="M142" s="32" t="str">
        <f t="shared" si="8"/>
        <v>#NUM!</v>
      </c>
      <c r="N142" s="36" t="str">
        <f t="shared" si="9"/>
        <v>#NUM!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7">
        <v>129.0</v>
      </c>
      <c r="F143" s="34">
        <f t="shared" si="2"/>
        <v>47391</v>
      </c>
      <c r="G143" s="32" t="str">
        <f t="shared" si="3"/>
        <v>#NUM!</v>
      </c>
      <c r="H143" s="32">
        <f t="shared" si="4"/>
        <v>706.6954536</v>
      </c>
      <c r="I143" s="32" t="str">
        <f t="shared" si="5"/>
        <v>#NUM!</v>
      </c>
      <c r="J143" s="32" t="str">
        <f t="shared" si="6"/>
        <v>#NUM!</v>
      </c>
      <c r="K143" s="32" t="str">
        <f t="shared" si="7"/>
        <v>#NUM!</v>
      </c>
      <c r="L143" s="33" t="str">
        <f t="shared" si="1"/>
        <v>#NUM!</v>
      </c>
      <c r="M143" s="32" t="str">
        <f t="shared" si="8"/>
        <v>#NUM!</v>
      </c>
      <c r="N143" s="36" t="str">
        <f t="shared" si="9"/>
        <v>#NUM!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7">
        <v>130.0</v>
      </c>
      <c r="F144" s="34">
        <f t="shared" si="2"/>
        <v>47422</v>
      </c>
      <c r="G144" s="32" t="str">
        <f t="shared" si="3"/>
        <v>#NUM!</v>
      </c>
      <c r="H144" s="32">
        <f t="shared" si="4"/>
        <v>706.6954536</v>
      </c>
      <c r="I144" s="32" t="str">
        <f t="shared" si="5"/>
        <v>#NUM!</v>
      </c>
      <c r="J144" s="32" t="str">
        <f t="shared" si="6"/>
        <v>#NUM!</v>
      </c>
      <c r="K144" s="32" t="str">
        <f t="shared" si="7"/>
        <v>#NUM!</v>
      </c>
      <c r="L144" s="33" t="str">
        <f t="shared" si="1"/>
        <v>#NUM!</v>
      </c>
      <c r="M144" s="32" t="str">
        <f t="shared" si="8"/>
        <v>#NUM!</v>
      </c>
      <c r="N144" s="36" t="str">
        <f t="shared" si="9"/>
        <v>#NUM!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7">
        <v>131.0</v>
      </c>
      <c r="F145" s="34">
        <f t="shared" si="2"/>
        <v>47452</v>
      </c>
      <c r="G145" s="32" t="str">
        <f t="shared" si="3"/>
        <v>#NUM!</v>
      </c>
      <c r="H145" s="32">
        <f t="shared" si="4"/>
        <v>706.6954536</v>
      </c>
      <c r="I145" s="32" t="str">
        <f t="shared" si="5"/>
        <v>#NUM!</v>
      </c>
      <c r="J145" s="32" t="str">
        <f t="shared" si="6"/>
        <v>#NUM!</v>
      </c>
      <c r="K145" s="32" t="str">
        <f t="shared" si="7"/>
        <v>#NUM!</v>
      </c>
      <c r="L145" s="33" t="str">
        <f t="shared" si="1"/>
        <v>#NUM!</v>
      </c>
      <c r="M145" s="32" t="str">
        <f t="shared" si="8"/>
        <v>#NUM!</v>
      </c>
      <c r="N145" s="36" t="str">
        <f t="shared" si="9"/>
        <v>#NUM!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7">
        <v>132.0</v>
      </c>
      <c r="F146" s="34">
        <f t="shared" si="2"/>
        <v>47483</v>
      </c>
      <c r="G146" s="32" t="str">
        <f t="shared" si="3"/>
        <v>#NUM!</v>
      </c>
      <c r="H146" s="32">
        <f t="shared" si="4"/>
        <v>706.6954536</v>
      </c>
      <c r="I146" s="32" t="str">
        <f t="shared" si="5"/>
        <v>#NUM!</v>
      </c>
      <c r="J146" s="32" t="str">
        <f t="shared" si="6"/>
        <v>#NUM!</v>
      </c>
      <c r="K146" s="32" t="str">
        <f t="shared" si="7"/>
        <v>#NUM!</v>
      </c>
      <c r="L146" s="33" t="str">
        <f t="shared" si="1"/>
        <v>#NUM!</v>
      </c>
      <c r="M146" s="32" t="str">
        <f t="shared" si="8"/>
        <v>#NUM!</v>
      </c>
      <c r="N146" s="36" t="str">
        <f t="shared" si="9"/>
        <v>#NUM!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7">
        <v>133.0</v>
      </c>
      <c r="F147" s="34">
        <f t="shared" si="2"/>
        <v>47514</v>
      </c>
      <c r="G147" s="32" t="str">
        <f t="shared" si="3"/>
        <v>#NUM!</v>
      </c>
      <c r="H147" s="32">
        <f t="shared" si="4"/>
        <v>706.6954536</v>
      </c>
      <c r="I147" s="32" t="str">
        <f t="shared" si="5"/>
        <v>#NUM!</v>
      </c>
      <c r="J147" s="32" t="str">
        <f t="shared" si="6"/>
        <v>#NUM!</v>
      </c>
      <c r="K147" s="32" t="str">
        <f t="shared" si="7"/>
        <v>#NUM!</v>
      </c>
      <c r="L147" s="33" t="str">
        <f t="shared" si="1"/>
        <v>#NUM!</v>
      </c>
      <c r="M147" s="32" t="str">
        <f t="shared" si="8"/>
        <v>#NUM!</v>
      </c>
      <c r="N147" s="36" t="str">
        <f t="shared" si="9"/>
        <v>#NUM!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7">
        <v>134.0</v>
      </c>
      <c r="F148" s="34">
        <f t="shared" si="2"/>
        <v>47542</v>
      </c>
      <c r="G148" s="32" t="str">
        <f t="shared" si="3"/>
        <v>#NUM!</v>
      </c>
      <c r="H148" s="32">
        <f t="shared" si="4"/>
        <v>706.6954536</v>
      </c>
      <c r="I148" s="32" t="str">
        <f t="shared" si="5"/>
        <v>#NUM!</v>
      </c>
      <c r="J148" s="32" t="str">
        <f t="shared" si="6"/>
        <v>#NUM!</v>
      </c>
      <c r="K148" s="32" t="str">
        <f t="shared" si="7"/>
        <v>#NUM!</v>
      </c>
      <c r="L148" s="33" t="str">
        <f t="shared" si="1"/>
        <v>#NUM!</v>
      </c>
      <c r="M148" s="32" t="str">
        <f t="shared" si="8"/>
        <v>#NUM!</v>
      </c>
      <c r="N148" s="36" t="str">
        <f t="shared" si="9"/>
        <v>#NUM!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7">
        <v>135.0</v>
      </c>
      <c r="F149" s="34">
        <f t="shared" si="2"/>
        <v>47573</v>
      </c>
      <c r="G149" s="32" t="str">
        <f t="shared" si="3"/>
        <v>#NUM!</v>
      </c>
      <c r="H149" s="32">
        <f t="shared" si="4"/>
        <v>706.6954536</v>
      </c>
      <c r="I149" s="32" t="str">
        <f t="shared" si="5"/>
        <v>#NUM!</v>
      </c>
      <c r="J149" s="32" t="str">
        <f t="shared" si="6"/>
        <v>#NUM!</v>
      </c>
      <c r="K149" s="32" t="str">
        <f t="shared" si="7"/>
        <v>#NUM!</v>
      </c>
      <c r="L149" s="33" t="str">
        <f t="shared" si="1"/>
        <v>#NUM!</v>
      </c>
      <c r="M149" s="32" t="str">
        <f t="shared" si="8"/>
        <v>#NUM!</v>
      </c>
      <c r="N149" s="36" t="str">
        <f t="shared" si="9"/>
        <v>#NUM!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7">
        <v>136.0</v>
      </c>
      <c r="F150" s="34">
        <f t="shared" si="2"/>
        <v>47603</v>
      </c>
      <c r="G150" s="32" t="str">
        <f t="shared" si="3"/>
        <v>#NUM!</v>
      </c>
      <c r="H150" s="32">
        <f t="shared" si="4"/>
        <v>706.6954536</v>
      </c>
      <c r="I150" s="32" t="str">
        <f t="shared" si="5"/>
        <v>#NUM!</v>
      </c>
      <c r="J150" s="32" t="str">
        <f t="shared" si="6"/>
        <v>#NUM!</v>
      </c>
      <c r="K150" s="32" t="str">
        <f t="shared" si="7"/>
        <v>#NUM!</v>
      </c>
      <c r="L150" s="33" t="str">
        <f t="shared" si="1"/>
        <v>#NUM!</v>
      </c>
      <c r="M150" s="32" t="str">
        <f t="shared" si="8"/>
        <v>#NUM!</v>
      </c>
      <c r="N150" s="36" t="str">
        <f t="shared" si="9"/>
        <v>#NUM!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7">
        <v>137.0</v>
      </c>
      <c r="F151" s="34">
        <f t="shared" si="2"/>
        <v>47634</v>
      </c>
      <c r="G151" s="32" t="str">
        <f t="shared" si="3"/>
        <v>#NUM!</v>
      </c>
      <c r="H151" s="32">
        <f t="shared" si="4"/>
        <v>706.6954536</v>
      </c>
      <c r="I151" s="32" t="str">
        <f t="shared" si="5"/>
        <v>#NUM!</v>
      </c>
      <c r="J151" s="32" t="str">
        <f t="shared" si="6"/>
        <v>#NUM!</v>
      </c>
      <c r="K151" s="32" t="str">
        <f t="shared" si="7"/>
        <v>#NUM!</v>
      </c>
      <c r="L151" s="33" t="str">
        <f t="shared" si="1"/>
        <v>#NUM!</v>
      </c>
      <c r="M151" s="32" t="str">
        <f t="shared" si="8"/>
        <v>#NUM!</v>
      </c>
      <c r="N151" s="36" t="str">
        <f t="shared" si="9"/>
        <v>#NUM!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7">
        <v>138.0</v>
      </c>
      <c r="F152" s="34">
        <f t="shared" si="2"/>
        <v>47664</v>
      </c>
      <c r="G152" s="32" t="str">
        <f t="shared" si="3"/>
        <v>#NUM!</v>
      </c>
      <c r="H152" s="32">
        <f t="shared" si="4"/>
        <v>706.6954536</v>
      </c>
      <c r="I152" s="32" t="str">
        <f t="shared" si="5"/>
        <v>#NUM!</v>
      </c>
      <c r="J152" s="32" t="str">
        <f t="shared" si="6"/>
        <v>#NUM!</v>
      </c>
      <c r="K152" s="32" t="str">
        <f t="shared" si="7"/>
        <v>#NUM!</v>
      </c>
      <c r="L152" s="33" t="str">
        <f t="shared" si="1"/>
        <v>#NUM!</v>
      </c>
      <c r="M152" s="32" t="str">
        <f t="shared" si="8"/>
        <v>#NUM!</v>
      </c>
      <c r="N152" s="36" t="str">
        <f t="shared" si="9"/>
        <v>#NUM!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7">
        <v>139.0</v>
      </c>
      <c r="F153" s="34">
        <f t="shared" si="2"/>
        <v>47695</v>
      </c>
      <c r="G153" s="32" t="str">
        <f t="shared" si="3"/>
        <v>#NUM!</v>
      </c>
      <c r="H153" s="32">
        <f t="shared" si="4"/>
        <v>706.6954536</v>
      </c>
      <c r="I153" s="32" t="str">
        <f t="shared" si="5"/>
        <v>#NUM!</v>
      </c>
      <c r="J153" s="32" t="str">
        <f t="shared" si="6"/>
        <v>#NUM!</v>
      </c>
      <c r="K153" s="32" t="str">
        <f t="shared" si="7"/>
        <v>#NUM!</v>
      </c>
      <c r="L153" s="33" t="str">
        <f t="shared" si="1"/>
        <v>#NUM!</v>
      </c>
      <c r="M153" s="32" t="str">
        <f t="shared" si="8"/>
        <v>#NUM!</v>
      </c>
      <c r="N153" s="36" t="str">
        <f t="shared" si="9"/>
        <v>#NUM!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7">
        <v>140.0</v>
      </c>
      <c r="F154" s="34">
        <f t="shared" si="2"/>
        <v>47726</v>
      </c>
      <c r="G154" s="32" t="str">
        <f t="shared" si="3"/>
        <v>#NUM!</v>
      </c>
      <c r="H154" s="32">
        <f t="shared" si="4"/>
        <v>706.6954536</v>
      </c>
      <c r="I154" s="32" t="str">
        <f t="shared" si="5"/>
        <v>#NUM!</v>
      </c>
      <c r="J154" s="32" t="str">
        <f t="shared" si="6"/>
        <v>#NUM!</v>
      </c>
      <c r="K154" s="32" t="str">
        <f t="shared" si="7"/>
        <v>#NUM!</v>
      </c>
      <c r="L154" s="33" t="str">
        <f t="shared" si="1"/>
        <v>#NUM!</v>
      </c>
      <c r="M154" s="32" t="str">
        <f t="shared" si="8"/>
        <v>#NUM!</v>
      </c>
      <c r="N154" s="36" t="str">
        <f t="shared" si="9"/>
        <v>#NUM!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7">
        <v>141.0</v>
      </c>
      <c r="F155" s="34">
        <f t="shared" si="2"/>
        <v>47756</v>
      </c>
      <c r="G155" s="32" t="str">
        <f t="shared" si="3"/>
        <v>#NUM!</v>
      </c>
      <c r="H155" s="32">
        <f t="shared" si="4"/>
        <v>706.6954536</v>
      </c>
      <c r="I155" s="32" t="str">
        <f t="shared" si="5"/>
        <v>#NUM!</v>
      </c>
      <c r="J155" s="32" t="str">
        <f t="shared" si="6"/>
        <v>#NUM!</v>
      </c>
      <c r="K155" s="32" t="str">
        <f t="shared" si="7"/>
        <v>#NUM!</v>
      </c>
      <c r="L155" s="33" t="str">
        <f t="shared" si="1"/>
        <v>#NUM!</v>
      </c>
      <c r="M155" s="32" t="str">
        <f t="shared" si="8"/>
        <v>#NUM!</v>
      </c>
      <c r="N155" s="36" t="str">
        <f t="shared" si="9"/>
        <v>#NUM!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7">
        <v>142.0</v>
      </c>
      <c r="F156" s="34">
        <f t="shared" si="2"/>
        <v>47787</v>
      </c>
      <c r="G156" s="32" t="str">
        <f t="shared" si="3"/>
        <v>#NUM!</v>
      </c>
      <c r="H156" s="32">
        <f t="shared" si="4"/>
        <v>706.6954536</v>
      </c>
      <c r="I156" s="32" t="str">
        <f t="shared" si="5"/>
        <v>#NUM!</v>
      </c>
      <c r="J156" s="32" t="str">
        <f t="shared" si="6"/>
        <v>#NUM!</v>
      </c>
      <c r="K156" s="32" t="str">
        <f t="shared" si="7"/>
        <v>#NUM!</v>
      </c>
      <c r="L156" s="33" t="str">
        <f t="shared" si="1"/>
        <v>#NUM!</v>
      </c>
      <c r="M156" s="32" t="str">
        <f t="shared" si="8"/>
        <v>#NUM!</v>
      </c>
      <c r="N156" s="36" t="str">
        <f t="shared" si="9"/>
        <v>#NUM!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7">
        <v>143.0</v>
      </c>
      <c r="F157" s="34">
        <f t="shared" si="2"/>
        <v>47817</v>
      </c>
      <c r="G157" s="32" t="str">
        <f t="shared" si="3"/>
        <v>#NUM!</v>
      </c>
      <c r="H157" s="32">
        <f t="shared" si="4"/>
        <v>706.6954536</v>
      </c>
      <c r="I157" s="32" t="str">
        <f t="shared" si="5"/>
        <v>#NUM!</v>
      </c>
      <c r="J157" s="32" t="str">
        <f t="shared" si="6"/>
        <v>#NUM!</v>
      </c>
      <c r="K157" s="32" t="str">
        <f t="shared" si="7"/>
        <v>#NUM!</v>
      </c>
      <c r="L157" s="33" t="str">
        <f t="shared" si="1"/>
        <v>#NUM!</v>
      </c>
      <c r="M157" s="32" t="str">
        <f t="shared" si="8"/>
        <v>#NUM!</v>
      </c>
      <c r="N157" s="36" t="str">
        <f t="shared" si="9"/>
        <v>#NUM!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7">
        <v>144.0</v>
      </c>
      <c r="F158" s="34">
        <f t="shared" si="2"/>
        <v>47848</v>
      </c>
      <c r="G158" s="32" t="str">
        <f t="shared" si="3"/>
        <v>#NUM!</v>
      </c>
      <c r="H158" s="32">
        <f t="shared" si="4"/>
        <v>706.6954536</v>
      </c>
      <c r="I158" s="32" t="str">
        <f t="shared" si="5"/>
        <v>#NUM!</v>
      </c>
      <c r="J158" s="32" t="str">
        <f t="shared" si="6"/>
        <v>#NUM!</v>
      </c>
      <c r="K158" s="32" t="str">
        <f t="shared" si="7"/>
        <v>#NUM!</v>
      </c>
      <c r="L158" s="33" t="str">
        <f t="shared" si="1"/>
        <v>#NUM!</v>
      </c>
      <c r="M158" s="32" t="str">
        <f t="shared" si="8"/>
        <v>#NUM!</v>
      </c>
      <c r="N158" s="36" t="str">
        <f t="shared" si="9"/>
        <v>#NUM!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7">
        <v>145.0</v>
      </c>
      <c r="F159" s="34">
        <f t="shared" si="2"/>
        <v>47879</v>
      </c>
      <c r="G159" s="32" t="str">
        <f t="shared" si="3"/>
        <v>#NUM!</v>
      </c>
      <c r="H159" s="32">
        <f t="shared" si="4"/>
        <v>706.6954536</v>
      </c>
      <c r="I159" s="32" t="str">
        <f t="shared" si="5"/>
        <v>#NUM!</v>
      </c>
      <c r="J159" s="32" t="str">
        <f t="shared" si="6"/>
        <v>#NUM!</v>
      </c>
      <c r="K159" s="32" t="str">
        <f t="shared" si="7"/>
        <v>#NUM!</v>
      </c>
      <c r="L159" s="33" t="str">
        <f t="shared" si="1"/>
        <v>#NUM!</v>
      </c>
      <c r="M159" s="32" t="str">
        <f t="shared" si="8"/>
        <v>#NUM!</v>
      </c>
      <c r="N159" s="36" t="str">
        <f t="shared" si="9"/>
        <v>#NUM!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7">
        <v>146.0</v>
      </c>
      <c r="F160" s="34">
        <f t="shared" si="2"/>
        <v>47907</v>
      </c>
      <c r="G160" s="32" t="str">
        <f t="shared" si="3"/>
        <v>#NUM!</v>
      </c>
      <c r="H160" s="32">
        <f t="shared" si="4"/>
        <v>706.6954536</v>
      </c>
      <c r="I160" s="32" t="str">
        <f t="shared" si="5"/>
        <v>#NUM!</v>
      </c>
      <c r="J160" s="32" t="str">
        <f t="shared" si="6"/>
        <v>#NUM!</v>
      </c>
      <c r="K160" s="32" t="str">
        <f t="shared" si="7"/>
        <v>#NUM!</v>
      </c>
      <c r="L160" s="33" t="str">
        <f t="shared" si="1"/>
        <v>#NUM!</v>
      </c>
      <c r="M160" s="32" t="str">
        <f t="shared" si="8"/>
        <v>#NUM!</v>
      </c>
      <c r="N160" s="36" t="str">
        <f t="shared" si="9"/>
        <v>#NUM!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7">
        <v>147.0</v>
      </c>
      <c r="F161" s="34">
        <f t="shared" si="2"/>
        <v>47938</v>
      </c>
      <c r="G161" s="32" t="str">
        <f t="shared" si="3"/>
        <v>#NUM!</v>
      </c>
      <c r="H161" s="32">
        <f t="shared" si="4"/>
        <v>706.6954536</v>
      </c>
      <c r="I161" s="32" t="str">
        <f t="shared" si="5"/>
        <v>#NUM!</v>
      </c>
      <c r="J161" s="32" t="str">
        <f t="shared" si="6"/>
        <v>#NUM!</v>
      </c>
      <c r="K161" s="32" t="str">
        <f t="shared" si="7"/>
        <v>#NUM!</v>
      </c>
      <c r="L161" s="33" t="str">
        <f t="shared" si="1"/>
        <v>#NUM!</v>
      </c>
      <c r="M161" s="32" t="str">
        <f t="shared" si="8"/>
        <v>#NUM!</v>
      </c>
      <c r="N161" s="36" t="str">
        <f t="shared" si="9"/>
        <v>#NUM!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7">
        <v>148.0</v>
      </c>
      <c r="F162" s="34">
        <f t="shared" si="2"/>
        <v>47968</v>
      </c>
      <c r="G162" s="32" t="str">
        <f t="shared" si="3"/>
        <v>#NUM!</v>
      </c>
      <c r="H162" s="32">
        <f t="shared" si="4"/>
        <v>706.6954536</v>
      </c>
      <c r="I162" s="32" t="str">
        <f t="shared" si="5"/>
        <v>#NUM!</v>
      </c>
      <c r="J162" s="32" t="str">
        <f t="shared" si="6"/>
        <v>#NUM!</v>
      </c>
      <c r="K162" s="32" t="str">
        <f t="shared" si="7"/>
        <v>#NUM!</v>
      </c>
      <c r="L162" s="33" t="str">
        <f t="shared" si="1"/>
        <v>#NUM!</v>
      </c>
      <c r="M162" s="32" t="str">
        <f t="shared" si="8"/>
        <v>#NUM!</v>
      </c>
      <c r="N162" s="36" t="str">
        <f t="shared" si="9"/>
        <v>#NUM!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7">
        <v>149.0</v>
      </c>
      <c r="F163" s="34">
        <f t="shared" si="2"/>
        <v>47999</v>
      </c>
      <c r="G163" s="32" t="str">
        <f t="shared" si="3"/>
        <v>#NUM!</v>
      </c>
      <c r="H163" s="32">
        <f t="shared" si="4"/>
        <v>706.6954536</v>
      </c>
      <c r="I163" s="32" t="str">
        <f t="shared" si="5"/>
        <v>#NUM!</v>
      </c>
      <c r="J163" s="32" t="str">
        <f t="shared" si="6"/>
        <v>#NUM!</v>
      </c>
      <c r="K163" s="32" t="str">
        <f t="shared" si="7"/>
        <v>#NUM!</v>
      </c>
      <c r="L163" s="33" t="str">
        <f t="shared" si="1"/>
        <v>#NUM!</v>
      </c>
      <c r="M163" s="32" t="str">
        <f t="shared" si="8"/>
        <v>#NUM!</v>
      </c>
      <c r="N163" s="36" t="str">
        <f t="shared" si="9"/>
        <v>#NUM!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7">
        <v>150.0</v>
      </c>
      <c r="F164" s="34">
        <f t="shared" si="2"/>
        <v>48029</v>
      </c>
      <c r="G164" s="32" t="str">
        <f t="shared" si="3"/>
        <v>#NUM!</v>
      </c>
      <c r="H164" s="32">
        <f t="shared" si="4"/>
        <v>706.6954536</v>
      </c>
      <c r="I164" s="32" t="str">
        <f t="shared" si="5"/>
        <v>#NUM!</v>
      </c>
      <c r="J164" s="32" t="str">
        <f t="shared" si="6"/>
        <v>#NUM!</v>
      </c>
      <c r="K164" s="32" t="str">
        <f t="shared" si="7"/>
        <v>#NUM!</v>
      </c>
      <c r="L164" s="33" t="str">
        <f t="shared" si="1"/>
        <v>#NUM!</v>
      </c>
      <c r="M164" s="32" t="str">
        <f t="shared" si="8"/>
        <v>#NUM!</v>
      </c>
      <c r="N164" s="36" t="str">
        <f t="shared" si="9"/>
        <v>#NUM!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7">
        <v>151.0</v>
      </c>
      <c r="F165" s="34">
        <f t="shared" si="2"/>
        <v>48060</v>
      </c>
      <c r="G165" s="32" t="str">
        <f t="shared" si="3"/>
        <v>#NUM!</v>
      </c>
      <c r="H165" s="32">
        <f t="shared" si="4"/>
        <v>706.6954536</v>
      </c>
      <c r="I165" s="32" t="str">
        <f t="shared" si="5"/>
        <v>#NUM!</v>
      </c>
      <c r="J165" s="32" t="str">
        <f t="shared" si="6"/>
        <v>#NUM!</v>
      </c>
      <c r="K165" s="32" t="str">
        <f t="shared" si="7"/>
        <v>#NUM!</v>
      </c>
      <c r="L165" s="33" t="str">
        <f t="shared" si="1"/>
        <v>#NUM!</v>
      </c>
      <c r="M165" s="32" t="str">
        <f t="shared" si="8"/>
        <v>#NUM!</v>
      </c>
      <c r="N165" s="36" t="str">
        <f t="shared" si="9"/>
        <v>#NUM!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7">
        <v>152.0</v>
      </c>
      <c r="F166" s="34">
        <f t="shared" si="2"/>
        <v>48091</v>
      </c>
      <c r="G166" s="32" t="str">
        <f t="shared" si="3"/>
        <v>#NUM!</v>
      </c>
      <c r="H166" s="32">
        <f t="shared" si="4"/>
        <v>706.6954536</v>
      </c>
      <c r="I166" s="32" t="str">
        <f t="shared" si="5"/>
        <v>#NUM!</v>
      </c>
      <c r="J166" s="32" t="str">
        <f t="shared" si="6"/>
        <v>#NUM!</v>
      </c>
      <c r="K166" s="32" t="str">
        <f t="shared" si="7"/>
        <v>#NUM!</v>
      </c>
      <c r="L166" s="33" t="str">
        <f t="shared" si="1"/>
        <v>#NUM!</v>
      </c>
      <c r="M166" s="32" t="str">
        <f t="shared" si="8"/>
        <v>#NUM!</v>
      </c>
      <c r="N166" s="36" t="str">
        <f t="shared" si="9"/>
        <v>#NUM!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7">
        <v>153.0</v>
      </c>
      <c r="F167" s="34">
        <f t="shared" si="2"/>
        <v>48121</v>
      </c>
      <c r="G167" s="32" t="str">
        <f t="shared" si="3"/>
        <v>#NUM!</v>
      </c>
      <c r="H167" s="32">
        <f t="shared" si="4"/>
        <v>706.6954536</v>
      </c>
      <c r="I167" s="32" t="str">
        <f t="shared" si="5"/>
        <v>#NUM!</v>
      </c>
      <c r="J167" s="32" t="str">
        <f t="shared" si="6"/>
        <v>#NUM!</v>
      </c>
      <c r="K167" s="32" t="str">
        <f t="shared" si="7"/>
        <v>#NUM!</v>
      </c>
      <c r="L167" s="33" t="str">
        <f t="shared" si="1"/>
        <v>#NUM!</v>
      </c>
      <c r="M167" s="32" t="str">
        <f t="shared" si="8"/>
        <v>#NUM!</v>
      </c>
      <c r="N167" s="36" t="str">
        <f t="shared" si="9"/>
        <v>#NUM!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7">
        <v>154.0</v>
      </c>
      <c r="F168" s="34">
        <f t="shared" si="2"/>
        <v>48152</v>
      </c>
      <c r="G168" s="32" t="str">
        <f t="shared" si="3"/>
        <v>#NUM!</v>
      </c>
      <c r="H168" s="32">
        <f t="shared" si="4"/>
        <v>706.6954536</v>
      </c>
      <c r="I168" s="32" t="str">
        <f t="shared" si="5"/>
        <v>#NUM!</v>
      </c>
      <c r="J168" s="32" t="str">
        <f t="shared" si="6"/>
        <v>#NUM!</v>
      </c>
      <c r="K168" s="32" t="str">
        <f t="shared" si="7"/>
        <v>#NUM!</v>
      </c>
      <c r="L168" s="33" t="str">
        <f t="shared" si="1"/>
        <v>#NUM!</v>
      </c>
      <c r="M168" s="32" t="str">
        <f t="shared" si="8"/>
        <v>#NUM!</v>
      </c>
      <c r="N168" s="36" t="str">
        <f t="shared" si="9"/>
        <v>#NUM!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7">
        <v>155.0</v>
      </c>
      <c r="F169" s="34">
        <f t="shared" si="2"/>
        <v>48182</v>
      </c>
      <c r="G169" s="32" t="str">
        <f t="shared" si="3"/>
        <v>#NUM!</v>
      </c>
      <c r="H169" s="32">
        <f t="shared" si="4"/>
        <v>706.6954536</v>
      </c>
      <c r="I169" s="32" t="str">
        <f t="shared" si="5"/>
        <v>#NUM!</v>
      </c>
      <c r="J169" s="32" t="str">
        <f t="shared" si="6"/>
        <v>#NUM!</v>
      </c>
      <c r="K169" s="32" t="str">
        <f t="shared" si="7"/>
        <v>#NUM!</v>
      </c>
      <c r="L169" s="33" t="str">
        <f t="shared" si="1"/>
        <v>#NUM!</v>
      </c>
      <c r="M169" s="32" t="str">
        <f t="shared" si="8"/>
        <v>#NUM!</v>
      </c>
      <c r="N169" s="36" t="str">
        <f t="shared" si="9"/>
        <v>#NUM!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7">
        <v>156.0</v>
      </c>
      <c r="F170" s="34">
        <f t="shared" si="2"/>
        <v>48213</v>
      </c>
      <c r="G170" s="32" t="str">
        <f t="shared" si="3"/>
        <v>#NUM!</v>
      </c>
      <c r="H170" s="32">
        <f t="shared" si="4"/>
        <v>706.6954536</v>
      </c>
      <c r="I170" s="32" t="str">
        <f t="shared" si="5"/>
        <v>#NUM!</v>
      </c>
      <c r="J170" s="32" t="str">
        <f t="shared" si="6"/>
        <v>#NUM!</v>
      </c>
      <c r="K170" s="32" t="str">
        <f t="shared" si="7"/>
        <v>#NUM!</v>
      </c>
      <c r="L170" s="33" t="str">
        <f t="shared" si="1"/>
        <v>#NUM!</v>
      </c>
      <c r="M170" s="32" t="str">
        <f t="shared" si="8"/>
        <v>#NUM!</v>
      </c>
      <c r="N170" s="36" t="str">
        <f t="shared" si="9"/>
        <v>#NUM!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7">
        <v>157.0</v>
      </c>
      <c r="F171" s="34">
        <f t="shared" si="2"/>
        <v>48244</v>
      </c>
      <c r="G171" s="32" t="str">
        <f t="shared" si="3"/>
        <v>#NUM!</v>
      </c>
      <c r="H171" s="32">
        <f t="shared" si="4"/>
        <v>706.6954536</v>
      </c>
      <c r="I171" s="32" t="str">
        <f t="shared" si="5"/>
        <v>#NUM!</v>
      </c>
      <c r="J171" s="32" t="str">
        <f t="shared" si="6"/>
        <v>#NUM!</v>
      </c>
      <c r="K171" s="32" t="str">
        <f t="shared" si="7"/>
        <v>#NUM!</v>
      </c>
      <c r="L171" s="33" t="str">
        <f t="shared" si="1"/>
        <v>#NUM!</v>
      </c>
      <c r="M171" s="32" t="str">
        <f t="shared" si="8"/>
        <v>#NUM!</v>
      </c>
      <c r="N171" s="36" t="str">
        <f t="shared" si="9"/>
        <v>#NUM!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7">
        <v>158.0</v>
      </c>
      <c r="F172" s="34">
        <f t="shared" si="2"/>
        <v>48273</v>
      </c>
      <c r="G172" s="32" t="str">
        <f t="shared" si="3"/>
        <v>#NUM!</v>
      </c>
      <c r="H172" s="32">
        <f t="shared" si="4"/>
        <v>706.6954536</v>
      </c>
      <c r="I172" s="32" t="str">
        <f t="shared" si="5"/>
        <v>#NUM!</v>
      </c>
      <c r="J172" s="32" t="str">
        <f t="shared" si="6"/>
        <v>#NUM!</v>
      </c>
      <c r="K172" s="32" t="str">
        <f t="shared" si="7"/>
        <v>#NUM!</v>
      </c>
      <c r="L172" s="33" t="str">
        <f t="shared" si="1"/>
        <v>#NUM!</v>
      </c>
      <c r="M172" s="32" t="str">
        <f t="shared" si="8"/>
        <v>#NUM!</v>
      </c>
      <c r="N172" s="36" t="str">
        <f t="shared" si="9"/>
        <v>#NUM!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7">
        <v>159.0</v>
      </c>
      <c r="F173" s="34">
        <f t="shared" si="2"/>
        <v>48304</v>
      </c>
      <c r="G173" s="32" t="str">
        <f t="shared" si="3"/>
        <v>#NUM!</v>
      </c>
      <c r="H173" s="32">
        <f t="shared" si="4"/>
        <v>706.6954536</v>
      </c>
      <c r="I173" s="32" t="str">
        <f t="shared" si="5"/>
        <v>#NUM!</v>
      </c>
      <c r="J173" s="32" t="str">
        <f t="shared" si="6"/>
        <v>#NUM!</v>
      </c>
      <c r="K173" s="32" t="str">
        <f t="shared" si="7"/>
        <v>#NUM!</v>
      </c>
      <c r="L173" s="33" t="str">
        <f t="shared" si="1"/>
        <v>#NUM!</v>
      </c>
      <c r="M173" s="32" t="str">
        <f t="shared" si="8"/>
        <v>#NUM!</v>
      </c>
      <c r="N173" s="36" t="str">
        <f t="shared" si="9"/>
        <v>#NUM!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7">
        <v>160.0</v>
      </c>
      <c r="F174" s="34">
        <f t="shared" si="2"/>
        <v>48334</v>
      </c>
      <c r="G174" s="32" t="str">
        <f t="shared" si="3"/>
        <v>#NUM!</v>
      </c>
      <c r="H174" s="32">
        <f t="shared" si="4"/>
        <v>706.6954536</v>
      </c>
      <c r="I174" s="32" t="str">
        <f t="shared" si="5"/>
        <v>#NUM!</v>
      </c>
      <c r="J174" s="32" t="str">
        <f t="shared" si="6"/>
        <v>#NUM!</v>
      </c>
      <c r="K174" s="32" t="str">
        <f t="shared" si="7"/>
        <v>#NUM!</v>
      </c>
      <c r="L174" s="33" t="str">
        <f t="shared" si="1"/>
        <v>#NUM!</v>
      </c>
      <c r="M174" s="32" t="str">
        <f t="shared" si="8"/>
        <v>#NUM!</v>
      </c>
      <c r="N174" s="36" t="str">
        <f t="shared" si="9"/>
        <v>#NUM!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7">
        <v>161.0</v>
      </c>
      <c r="F175" s="34">
        <f t="shared" si="2"/>
        <v>48365</v>
      </c>
      <c r="G175" s="32" t="str">
        <f t="shared" si="3"/>
        <v>#NUM!</v>
      </c>
      <c r="H175" s="32">
        <f t="shared" si="4"/>
        <v>706.6954536</v>
      </c>
      <c r="I175" s="32" t="str">
        <f t="shared" si="5"/>
        <v>#NUM!</v>
      </c>
      <c r="J175" s="32" t="str">
        <f t="shared" si="6"/>
        <v>#NUM!</v>
      </c>
      <c r="K175" s="32" t="str">
        <f t="shared" si="7"/>
        <v>#NUM!</v>
      </c>
      <c r="L175" s="33" t="str">
        <f t="shared" si="1"/>
        <v>#NUM!</v>
      </c>
      <c r="M175" s="32" t="str">
        <f t="shared" si="8"/>
        <v>#NUM!</v>
      </c>
      <c r="N175" s="36" t="str">
        <f t="shared" si="9"/>
        <v>#NUM!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7">
        <v>162.0</v>
      </c>
      <c r="F176" s="34">
        <f t="shared" si="2"/>
        <v>48395</v>
      </c>
      <c r="G176" s="32" t="str">
        <f t="shared" si="3"/>
        <v>#NUM!</v>
      </c>
      <c r="H176" s="32">
        <f t="shared" si="4"/>
        <v>706.6954536</v>
      </c>
      <c r="I176" s="32" t="str">
        <f t="shared" si="5"/>
        <v>#NUM!</v>
      </c>
      <c r="J176" s="32" t="str">
        <f t="shared" si="6"/>
        <v>#NUM!</v>
      </c>
      <c r="K176" s="32" t="str">
        <f t="shared" si="7"/>
        <v>#NUM!</v>
      </c>
      <c r="L176" s="33" t="str">
        <f t="shared" si="1"/>
        <v>#NUM!</v>
      </c>
      <c r="M176" s="32" t="str">
        <f t="shared" si="8"/>
        <v>#NUM!</v>
      </c>
      <c r="N176" s="36" t="str">
        <f t="shared" si="9"/>
        <v>#NUM!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7">
        <v>163.0</v>
      </c>
      <c r="F177" s="34">
        <f t="shared" si="2"/>
        <v>48426</v>
      </c>
      <c r="G177" s="32" t="str">
        <f t="shared" si="3"/>
        <v>#NUM!</v>
      </c>
      <c r="H177" s="32">
        <f t="shared" si="4"/>
        <v>706.6954536</v>
      </c>
      <c r="I177" s="32" t="str">
        <f t="shared" si="5"/>
        <v>#NUM!</v>
      </c>
      <c r="J177" s="32" t="str">
        <f t="shared" si="6"/>
        <v>#NUM!</v>
      </c>
      <c r="K177" s="32" t="str">
        <f t="shared" si="7"/>
        <v>#NUM!</v>
      </c>
      <c r="L177" s="33" t="str">
        <f t="shared" si="1"/>
        <v>#NUM!</v>
      </c>
      <c r="M177" s="32" t="str">
        <f t="shared" si="8"/>
        <v>#NUM!</v>
      </c>
      <c r="N177" s="36" t="str">
        <f t="shared" si="9"/>
        <v>#NUM!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7">
        <v>164.0</v>
      </c>
      <c r="F178" s="34">
        <f t="shared" si="2"/>
        <v>48457</v>
      </c>
      <c r="G178" s="32" t="str">
        <f t="shared" si="3"/>
        <v>#NUM!</v>
      </c>
      <c r="H178" s="32">
        <f t="shared" si="4"/>
        <v>706.6954536</v>
      </c>
      <c r="I178" s="32" t="str">
        <f t="shared" si="5"/>
        <v>#NUM!</v>
      </c>
      <c r="J178" s="32" t="str">
        <f t="shared" si="6"/>
        <v>#NUM!</v>
      </c>
      <c r="K178" s="32" t="str">
        <f t="shared" si="7"/>
        <v>#NUM!</v>
      </c>
      <c r="L178" s="33" t="str">
        <f t="shared" si="1"/>
        <v>#NUM!</v>
      </c>
      <c r="M178" s="32" t="str">
        <f t="shared" si="8"/>
        <v>#NUM!</v>
      </c>
      <c r="N178" s="36" t="str">
        <f t="shared" si="9"/>
        <v>#NUM!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7">
        <v>165.0</v>
      </c>
      <c r="F179" s="34">
        <f t="shared" si="2"/>
        <v>48487</v>
      </c>
      <c r="G179" s="32" t="str">
        <f t="shared" si="3"/>
        <v>#NUM!</v>
      </c>
      <c r="H179" s="32">
        <f t="shared" si="4"/>
        <v>706.6954536</v>
      </c>
      <c r="I179" s="32" t="str">
        <f t="shared" si="5"/>
        <v>#NUM!</v>
      </c>
      <c r="J179" s="32" t="str">
        <f t="shared" si="6"/>
        <v>#NUM!</v>
      </c>
      <c r="K179" s="32" t="str">
        <f t="shared" si="7"/>
        <v>#NUM!</v>
      </c>
      <c r="L179" s="33" t="str">
        <f t="shared" si="1"/>
        <v>#NUM!</v>
      </c>
      <c r="M179" s="32" t="str">
        <f t="shared" si="8"/>
        <v>#NUM!</v>
      </c>
      <c r="N179" s="36" t="str">
        <f t="shared" si="9"/>
        <v>#NUM!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7">
        <v>166.0</v>
      </c>
      <c r="F180" s="34">
        <f t="shared" si="2"/>
        <v>48518</v>
      </c>
      <c r="G180" s="32" t="str">
        <f t="shared" si="3"/>
        <v>#NUM!</v>
      </c>
      <c r="H180" s="32">
        <f t="shared" si="4"/>
        <v>706.6954536</v>
      </c>
      <c r="I180" s="32" t="str">
        <f t="shared" si="5"/>
        <v>#NUM!</v>
      </c>
      <c r="J180" s="32" t="str">
        <f t="shared" si="6"/>
        <v>#NUM!</v>
      </c>
      <c r="K180" s="32" t="str">
        <f t="shared" si="7"/>
        <v>#NUM!</v>
      </c>
      <c r="L180" s="33" t="str">
        <f t="shared" si="1"/>
        <v>#NUM!</v>
      </c>
      <c r="M180" s="32" t="str">
        <f t="shared" si="8"/>
        <v>#NUM!</v>
      </c>
      <c r="N180" s="36" t="str">
        <f t="shared" si="9"/>
        <v>#NUM!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7">
        <v>167.0</v>
      </c>
      <c r="F181" s="34">
        <f t="shared" si="2"/>
        <v>48548</v>
      </c>
      <c r="G181" s="32" t="str">
        <f t="shared" si="3"/>
        <v>#NUM!</v>
      </c>
      <c r="H181" s="32">
        <f t="shared" si="4"/>
        <v>706.6954536</v>
      </c>
      <c r="I181" s="32" t="str">
        <f t="shared" si="5"/>
        <v>#NUM!</v>
      </c>
      <c r="J181" s="32" t="str">
        <f t="shared" si="6"/>
        <v>#NUM!</v>
      </c>
      <c r="K181" s="32" t="str">
        <f t="shared" si="7"/>
        <v>#NUM!</v>
      </c>
      <c r="L181" s="33" t="str">
        <f t="shared" si="1"/>
        <v>#NUM!</v>
      </c>
      <c r="M181" s="32" t="str">
        <f t="shared" si="8"/>
        <v>#NUM!</v>
      </c>
      <c r="N181" s="36" t="str">
        <f t="shared" si="9"/>
        <v>#NUM!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7">
        <v>168.0</v>
      </c>
      <c r="F182" s="34">
        <f t="shared" si="2"/>
        <v>48579</v>
      </c>
      <c r="G182" s="32" t="str">
        <f t="shared" si="3"/>
        <v>#NUM!</v>
      </c>
      <c r="H182" s="32">
        <f t="shared" si="4"/>
        <v>706.6954536</v>
      </c>
      <c r="I182" s="32" t="str">
        <f t="shared" si="5"/>
        <v>#NUM!</v>
      </c>
      <c r="J182" s="32" t="str">
        <f t="shared" si="6"/>
        <v>#NUM!</v>
      </c>
      <c r="K182" s="32" t="str">
        <f t="shared" si="7"/>
        <v>#NUM!</v>
      </c>
      <c r="L182" s="33" t="str">
        <f t="shared" si="1"/>
        <v>#NUM!</v>
      </c>
      <c r="M182" s="32" t="str">
        <f t="shared" si="8"/>
        <v>#NUM!</v>
      </c>
      <c r="N182" s="36" t="str">
        <f t="shared" si="9"/>
        <v>#NUM!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4"/>
      <c r="G183" s="2"/>
      <c r="H183" s="32"/>
      <c r="I183" s="2"/>
      <c r="J183" s="2"/>
      <c r="K183" s="2"/>
      <c r="L183" s="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4"/>
      <c r="G184" s="2"/>
      <c r="H184" s="32"/>
      <c r="I184" s="2"/>
      <c r="J184" s="2"/>
      <c r="K184" s="2"/>
      <c r="L184" s="9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4"/>
      <c r="G185" s="2"/>
      <c r="H185" s="32"/>
      <c r="I185" s="2"/>
      <c r="J185" s="2"/>
      <c r="K185" s="2"/>
      <c r="L185" s="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4"/>
      <c r="G186" s="2"/>
      <c r="H186" s="32"/>
      <c r="I186" s="2"/>
      <c r="J186" s="2"/>
      <c r="K186" s="2"/>
      <c r="L186" s="9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4"/>
      <c r="G187" s="2"/>
      <c r="H187" s="32"/>
      <c r="I187" s="2"/>
      <c r="J187" s="2"/>
      <c r="K187" s="2"/>
      <c r="L187" s="9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4"/>
      <c r="G188" s="2"/>
      <c r="H188" s="32"/>
      <c r="I188" s="2"/>
      <c r="J188" s="2"/>
      <c r="K188" s="2"/>
      <c r="L188" s="9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4"/>
      <c r="G189" s="2"/>
      <c r="H189" s="32"/>
      <c r="I189" s="2"/>
      <c r="J189" s="2"/>
      <c r="K189" s="2"/>
      <c r="L189" s="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4"/>
      <c r="G190" s="2"/>
      <c r="H190" s="32"/>
      <c r="I190" s="2"/>
      <c r="J190" s="2"/>
      <c r="K190" s="2"/>
      <c r="L190" s="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4"/>
      <c r="G191" s="2"/>
      <c r="H191" s="32"/>
      <c r="I191" s="2"/>
      <c r="J191" s="2"/>
      <c r="K191" s="2"/>
      <c r="L191" s="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4"/>
      <c r="G192" s="2"/>
      <c r="H192" s="32"/>
      <c r="I192" s="2"/>
      <c r="J192" s="2"/>
      <c r="K192" s="2"/>
      <c r="L192" s="9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4"/>
      <c r="G193" s="2"/>
      <c r="H193" s="32"/>
      <c r="I193" s="2"/>
      <c r="J193" s="2"/>
      <c r="K193" s="2"/>
      <c r="L193" s="9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4"/>
      <c r="G194" s="2"/>
      <c r="H194" s="32"/>
      <c r="I194" s="2"/>
      <c r="J194" s="2"/>
      <c r="K194" s="2"/>
      <c r="L194" s="9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4"/>
      <c r="G195" s="2"/>
      <c r="H195" s="32"/>
      <c r="I195" s="2"/>
      <c r="J195" s="2"/>
      <c r="K195" s="2"/>
      <c r="L195" s="9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4"/>
      <c r="G196" s="2"/>
      <c r="H196" s="32"/>
      <c r="I196" s="2"/>
      <c r="J196" s="2"/>
      <c r="K196" s="2"/>
      <c r="L196" s="9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61</v>
      </c>
      <c r="B1" s="2"/>
      <c r="C1" s="2"/>
      <c r="D1" s="2"/>
      <c r="E1" s="5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62</v>
      </c>
      <c r="B3" s="26">
        <v>50000.0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63</v>
      </c>
      <c r="B4" s="26">
        <v>80000.0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64</v>
      </c>
      <c r="B5" s="27">
        <v>0.05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65</v>
      </c>
      <c r="B6" s="13">
        <v>7.0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66</v>
      </c>
      <c r="B7" s="13" t="s">
        <v>51</v>
      </c>
      <c r="C7" s="28">
        <f>switch(B7,"Bi-Weekly",26,"Semi-Monthly",24,12)</f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67</v>
      </c>
      <c r="B8" s="13">
        <f>C7*B6</f>
        <v>84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68</v>
      </c>
      <c r="B9" s="16">
        <v>43465.0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69</v>
      </c>
      <c r="B11" s="29">
        <f>-CUMIPMT(B5/C7,B8,B3,1,B8,0)</f>
        <v>9362.418102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4" t="s">
        <v>70</v>
      </c>
      <c r="F13" s="4" t="s">
        <v>71</v>
      </c>
      <c r="G13" s="4" t="s">
        <v>72</v>
      </c>
      <c r="H13" s="4" t="s">
        <v>73</v>
      </c>
      <c r="I13" s="4" t="s">
        <v>74</v>
      </c>
      <c r="J13" s="4" t="s">
        <v>62</v>
      </c>
      <c r="K13" s="4" t="s">
        <v>75</v>
      </c>
      <c r="L13" s="4" t="s">
        <v>76</v>
      </c>
      <c r="M13" s="4" t="s">
        <v>77</v>
      </c>
      <c r="N13" s="4" t="s">
        <v>78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7">
        <v>0.0</v>
      </c>
      <c r="F14" s="12">
        <f>$B$9</f>
        <v>43465</v>
      </c>
      <c r="G14" s="30">
        <v>0.0</v>
      </c>
      <c r="H14" s="31"/>
      <c r="I14" s="31"/>
      <c r="J14" s="31"/>
      <c r="K14" s="32">
        <f>B3</f>
        <v>50000</v>
      </c>
      <c r="L14" s="33">
        <f t="shared" ref="L14:L182" si="1">K14/$B$4</f>
        <v>0.625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7">
        <v>1.0</v>
      </c>
      <c r="F15" s="34">
        <f t="shared" ref="F15:F182" si="2">IFS($C$7=26,F14+14,$C$7=12,EOMONTH(F14,1),$C$7=24,IF(EOMONTH(F14,0)=F14,F14+15,EOMONTH(F14,0)))</f>
        <v>43496</v>
      </c>
      <c r="G15" s="32">
        <f t="shared" ref="G15:G182" si="3">K14</f>
        <v>50000</v>
      </c>
      <c r="H15" s="32">
        <f t="shared" ref="H15:H182" si="4">-PMT($B$5/$C$7,$B$8,$B$3)</f>
        <v>706.6954536</v>
      </c>
      <c r="I15" s="32">
        <f t="shared" ref="I15:I182" si="5">-IPMT($B$5/$C$7,E15,$B$8,$B$3)</f>
        <v>208.3333333</v>
      </c>
      <c r="J15" s="32">
        <f t="shared" ref="J15:J182" si="6">-PPMT($B$5/$C$7,E15,$B$8,$B$3)</f>
        <v>498.3621203</v>
      </c>
      <c r="K15" s="32">
        <f t="shared" ref="K15:K182" si="7">G15-J15</f>
        <v>49501.63788</v>
      </c>
      <c r="L15" s="33">
        <f t="shared" si="1"/>
        <v>0.6187704735</v>
      </c>
      <c r="M15" s="32">
        <f t="shared" ref="M15:M182" si="8">-CUMIPMT($B$5/$C$7,$B$8,$B$3,1,E15,0)</f>
        <v>208.3333333</v>
      </c>
      <c r="N15" s="35">
        <f t="shared" ref="N15:N182" si="9">-CUMPRINC($B$5/$C$7,$B$8,$B$3,1,E15,0)</f>
        <v>498.3621203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7">
        <v>2.0</v>
      </c>
      <c r="F16" s="34">
        <f t="shared" si="2"/>
        <v>43524</v>
      </c>
      <c r="G16" s="32">
        <f t="shared" si="3"/>
        <v>49501.63788</v>
      </c>
      <c r="H16" s="32">
        <f t="shared" si="4"/>
        <v>706.6954536</v>
      </c>
      <c r="I16" s="32">
        <f t="shared" si="5"/>
        <v>206.2568245</v>
      </c>
      <c r="J16" s="32">
        <f t="shared" si="6"/>
        <v>500.4386291</v>
      </c>
      <c r="K16" s="32">
        <f t="shared" si="7"/>
        <v>49001.19925</v>
      </c>
      <c r="L16" s="33">
        <f t="shared" si="1"/>
        <v>0.6125149906</v>
      </c>
      <c r="M16" s="32">
        <f t="shared" si="8"/>
        <v>414.5901578</v>
      </c>
      <c r="N16" s="35">
        <f t="shared" si="9"/>
        <v>998.8007494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7">
        <v>3.0</v>
      </c>
      <c r="F17" s="34">
        <f t="shared" si="2"/>
        <v>43555</v>
      </c>
      <c r="G17" s="32">
        <f t="shared" si="3"/>
        <v>49001.19925</v>
      </c>
      <c r="H17" s="32">
        <f t="shared" si="4"/>
        <v>706.6954536</v>
      </c>
      <c r="I17" s="32">
        <f t="shared" si="5"/>
        <v>204.1716635</v>
      </c>
      <c r="J17" s="32">
        <f t="shared" si="6"/>
        <v>502.5237901</v>
      </c>
      <c r="K17" s="32">
        <f t="shared" si="7"/>
        <v>48498.67546</v>
      </c>
      <c r="L17" s="33">
        <f t="shared" si="1"/>
        <v>0.6062334433</v>
      </c>
      <c r="M17" s="32">
        <f t="shared" si="8"/>
        <v>618.7618214</v>
      </c>
      <c r="N17" s="35">
        <f t="shared" si="9"/>
        <v>1501.324539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7">
        <v>4.0</v>
      </c>
      <c r="F18" s="34">
        <f t="shared" si="2"/>
        <v>43585</v>
      </c>
      <c r="G18" s="32">
        <f t="shared" si="3"/>
        <v>48498.67546</v>
      </c>
      <c r="H18" s="32">
        <f t="shared" si="4"/>
        <v>706.6954536</v>
      </c>
      <c r="I18" s="32">
        <f t="shared" si="5"/>
        <v>202.0778144</v>
      </c>
      <c r="J18" s="32">
        <f t="shared" si="6"/>
        <v>504.6176392</v>
      </c>
      <c r="K18" s="32">
        <f t="shared" si="7"/>
        <v>47994.05782</v>
      </c>
      <c r="L18" s="33">
        <f t="shared" si="1"/>
        <v>0.5999257228</v>
      </c>
      <c r="M18" s="32">
        <f t="shared" si="8"/>
        <v>820.8396358</v>
      </c>
      <c r="N18" s="35">
        <f t="shared" si="9"/>
        <v>2005.942179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7">
        <v>5.0</v>
      </c>
      <c r="F19" s="34">
        <f t="shared" si="2"/>
        <v>43616</v>
      </c>
      <c r="G19" s="32">
        <f t="shared" si="3"/>
        <v>47994.05782</v>
      </c>
      <c r="H19" s="32">
        <f t="shared" si="4"/>
        <v>706.6954536</v>
      </c>
      <c r="I19" s="32">
        <f t="shared" si="5"/>
        <v>199.9752409</v>
      </c>
      <c r="J19" s="32">
        <f t="shared" si="6"/>
        <v>506.7202127</v>
      </c>
      <c r="K19" s="32">
        <f t="shared" si="7"/>
        <v>47487.33761</v>
      </c>
      <c r="L19" s="33">
        <f t="shared" si="1"/>
        <v>0.5935917201</v>
      </c>
      <c r="M19" s="32">
        <f t="shared" si="8"/>
        <v>1020.814877</v>
      </c>
      <c r="N19" s="35">
        <f t="shared" si="9"/>
        <v>2512.662391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7">
        <v>6.0</v>
      </c>
      <c r="F20" s="34">
        <f t="shared" si="2"/>
        <v>43646</v>
      </c>
      <c r="G20" s="32">
        <f t="shared" si="3"/>
        <v>47487.33761</v>
      </c>
      <c r="H20" s="32">
        <f t="shared" si="4"/>
        <v>706.6954536</v>
      </c>
      <c r="I20" s="32">
        <f t="shared" si="5"/>
        <v>197.8639067</v>
      </c>
      <c r="J20" s="32">
        <f t="shared" si="6"/>
        <v>508.8315469</v>
      </c>
      <c r="K20" s="32">
        <f t="shared" si="7"/>
        <v>46978.50606</v>
      </c>
      <c r="L20" s="33">
        <f t="shared" si="1"/>
        <v>0.5872313258</v>
      </c>
      <c r="M20" s="32">
        <f t="shared" si="8"/>
        <v>1218.678783</v>
      </c>
      <c r="N20" s="35">
        <f t="shared" si="9"/>
        <v>3021.493938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7">
        <v>7.0</v>
      </c>
      <c r="F21" s="34">
        <f t="shared" si="2"/>
        <v>43677</v>
      </c>
      <c r="G21" s="32">
        <f t="shared" si="3"/>
        <v>46978.50606</v>
      </c>
      <c r="H21" s="32">
        <f t="shared" si="4"/>
        <v>706.6954536</v>
      </c>
      <c r="I21" s="32">
        <f t="shared" si="5"/>
        <v>195.7437753</v>
      </c>
      <c r="J21" s="32">
        <f t="shared" si="6"/>
        <v>510.9516783</v>
      </c>
      <c r="K21" s="32">
        <f t="shared" si="7"/>
        <v>46467.55438</v>
      </c>
      <c r="L21" s="33">
        <f t="shared" si="1"/>
        <v>0.5808444298</v>
      </c>
      <c r="M21" s="32">
        <f t="shared" si="8"/>
        <v>1414.422559</v>
      </c>
      <c r="N21" s="35">
        <f t="shared" si="9"/>
        <v>3532.445616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7">
        <v>8.0</v>
      </c>
      <c r="F22" s="34">
        <f t="shared" si="2"/>
        <v>43708</v>
      </c>
      <c r="G22" s="32">
        <f t="shared" si="3"/>
        <v>46467.55438</v>
      </c>
      <c r="H22" s="32">
        <f t="shared" si="4"/>
        <v>706.6954536</v>
      </c>
      <c r="I22" s="32">
        <f t="shared" si="5"/>
        <v>193.6148099</v>
      </c>
      <c r="J22" s="32">
        <f t="shared" si="6"/>
        <v>513.0806437</v>
      </c>
      <c r="K22" s="32">
        <f t="shared" si="7"/>
        <v>45954.47374</v>
      </c>
      <c r="L22" s="33">
        <f t="shared" si="1"/>
        <v>0.5744309217</v>
      </c>
      <c r="M22" s="32">
        <f t="shared" si="8"/>
        <v>1608.037369</v>
      </c>
      <c r="N22" s="35">
        <f t="shared" si="9"/>
        <v>4045.52626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7">
        <v>9.0</v>
      </c>
      <c r="F23" s="34">
        <f t="shared" si="2"/>
        <v>43738</v>
      </c>
      <c r="G23" s="32">
        <f t="shared" si="3"/>
        <v>45954.47374</v>
      </c>
      <c r="H23" s="32">
        <f t="shared" si="4"/>
        <v>706.6954536</v>
      </c>
      <c r="I23" s="32">
        <f t="shared" si="5"/>
        <v>191.4769739</v>
      </c>
      <c r="J23" s="32">
        <f t="shared" si="6"/>
        <v>515.2184797</v>
      </c>
      <c r="K23" s="32">
        <f t="shared" si="7"/>
        <v>45439.25526</v>
      </c>
      <c r="L23" s="33">
        <f t="shared" si="1"/>
        <v>0.5679906908</v>
      </c>
      <c r="M23" s="32">
        <f t="shared" si="8"/>
        <v>1799.514343</v>
      </c>
      <c r="N23" s="35">
        <f t="shared" si="9"/>
        <v>4560.74474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7">
        <v>10.0</v>
      </c>
      <c r="F24" s="34">
        <f t="shared" si="2"/>
        <v>43769</v>
      </c>
      <c r="G24" s="32">
        <f t="shared" si="3"/>
        <v>45439.25526</v>
      </c>
      <c r="H24" s="32">
        <f t="shared" si="4"/>
        <v>706.6954536</v>
      </c>
      <c r="I24" s="32">
        <f t="shared" si="5"/>
        <v>189.3302303</v>
      </c>
      <c r="J24" s="32">
        <f t="shared" si="6"/>
        <v>517.3652233</v>
      </c>
      <c r="K24" s="32">
        <f t="shared" si="7"/>
        <v>44921.89004</v>
      </c>
      <c r="L24" s="33">
        <f t="shared" si="1"/>
        <v>0.5615236255</v>
      </c>
      <c r="M24" s="32">
        <f t="shared" si="8"/>
        <v>1988.844573</v>
      </c>
      <c r="N24" s="35">
        <f t="shared" si="9"/>
        <v>5078.109963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7">
        <v>11.0</v>
      </c>
      <c r="F25" s="34">
        <f t="shared" si="2"/>
        <v>43799</v>
      </c>
      <c r="G25" s="32">
        <f t="shared" si="3"/>
        <v>44921.89004</v>
      </c>
      <c r="H25" s="32">
        <f t="shared" si="4"/>
        <v>706.6954536</v>
      </c>
      <c r="I25" s="32">
        <f t="shared" si="5"/>
        <v>187.1745418</v>
      </c>
      <c r="J25" s="32">
        <f t="shared" si="6"/>
        <v>519.5209118</v>
      </c>
      <c r="K25" s="32">
        <f t="shared" si="7"/>
        <v>44402.36913</v>
      </c>
      <c r="L25" s="33">
        <f t="shared" si="1"/>
        <v>0.5550296141</v>
      </c>
      <c r="M25" s="32">
        <f t="shared" si="8"/>
        <v>2176.019115</v>
      </c>
      <c r="N25" s="35">
        <f t="shared" si="9"/>
        <v>5597.630875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7">
        <v>12.0</v>
      </c>
      <c r="F26" s="34">
        <f t="shared" si="2"/>
        <v>43830</v>
      </c>
      <c r="G26" s="32">
        <f t="shared" si="3"/>
        <v>44402.36913</v>
      </c>
      <c r="H26" s="32">
        <f t="shared" si="4"/>
        <v>706.6954536</v>
      </c>
      <c r="I26" s="32">
        <f t="shared" si="5"/>
        <v>185.0098714</v>
      </c>
      <c r="J26" s="32">
        <f t="shared" si="6"/>
        <v>521.6855822</v>
      </c>
      <c r="K26" s="32">
        <f t="shared" si="7"/>
        <v>43880.68354</v>
      </c>
      <c r="L26" s="33">
        <f t="shared" si="1"/>
        <v>0.5485085443</v>
      </c>
      <c r="M26" s="32">
        <f t="shared" si="8"/>
        <v>2361.028986</v>
      </c>
      <c r="N26" s="35">
        <f t="shared" si="9"/>
        <v>6119.316457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7">
        <v>13.0</v>
      </c>
      <c r="F27" s="34">
        <f t="shared" si="2"/>
        <v>43861</v>
      </c>
      <c r="G27" s="32">
        <f t="shared" si="3"/>
        <v>43880.68354</v>
      </c>
      <c r="H27" s="32">
        <f t="shared" si="4"/>
        <v>706.6954536</v>
      </c>
      <c r="I27" s="32">
        <f t="shared" si="5"/>
        <v>182.8361814</v>
      </c>
      <c r="J27" s="32">
        <f t="shared" si="6"/>
        <v>523.8592722</v>
      </c>
      <c r="K27" s="32">
        <f t="shared" si="7"/>
        <v>43356.82427</v>
      </c>
      <c r="L27" s="33">
        <f t="shared" si="1"/>
        <v>0.5419603034</v>
      </c>
      <c r="M27" s="32">
        <f t="shared" si="8"/>
        <v>2543.865167</v>
      </c>
      <c r="N27" s="35">
        <f t="shared" si="9"/>
        <v>6643.175729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7">
        <v>14.0</v>
      </c>
      <c r="F28" s="34">
        <f t="shared" si="2"/>
        <v>43890</v>
      </c>
      <c r="G28" s="32">
        <f t="shared" si="3"/>
        <v>43356.82427</v>
      </c>
      <c r="H28" s="32">
        <f t="shared" si="4"/>
        <v>706.6954536</v>
      </c>
      <c r="I28" s="32">
        <f t="shared" si="5"/>
        <v>180.6534345</v>
      </c>
      <c r="J28" s="32">
        <f t="shared" si="6"/>
        <v>526.0420191</v>
      </c>
      <c r="K28" s="32">
        <f t="shared" si="7"/>
        <v>42830.78225</v>
      </c>
      <c r="L28" s="33">
        <f t="shared" si="1"/>
        <v>0.5353847781</v>
      </c>
      <c r="M28" s="32">
        <f t="shared" si="8"/>
        <v>2724.518602</v>
      </c>
      <c r="N28" s="35">
        <f t="shared" si="9"/>
        <v>7169.217748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7">
        <v>15.0</v>
      </c>
      <c r="F29" s="34">
        <f t="shared" si="2"/>
        <v>43921</v>
      </c>
      <c r="G29" s="32">
        <f t="shared" si="3"/>
        <v>42830.78225</v>
      </c>
      <c r="H29" s="32">
        <f t="shared" si="4"/>
        <v>706.6954536</v>
      </c>
      <c r="I29" s="32">
        <f t="shared" si="5"/>
        <v>178.4615927</v>
      </c>
      <c r="J29" s="32">
        <f t="shared" si="6"/>
        <v>528.2338609</v>
      </c>
      <c r="K29" s="32">
        <f t="shared" si="7"/>
        <v>42302.54839</v>
      </c>
      <c r="L29" s="33">
        <f t="shared" si="1"/>
        <v>0.5287818549</v>
      </c>
      <c r="M29" s="32">
        <f t="shared" si="8"/>
        <v>2902.980195</v>
      </c>
      <c r="N29" s="35">
        <f t="shared" si="9"/>
        <v>7697.451609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7">
        <v>16.0</v>
      </c>
      <c r="F30" s="34">
        <f t="shared" si="2"/>
        <v>43951</v>
      </c>
      <c r="G30" s="32">
        <f t="shared" si="3"/>
        <v>42302.54839</v>
      </c>
      <c r="H30" s="32">
        <f t="shared" si="4"/>
        <v>706.6954536</v>
      </c>
      <c r="I30" s="32">
        <f t="shared" si="5"/>
        <v>176.2606183</v>
      </c>
      <c r="J30" s="32">
        <f t="shared" si="6"/>
        <v>530.4348353</v>
      </c>
      <c r="K30" s="32">
        <f t="shared" si="7"/>
        <v>41772.11356</v>
      </c>
      <c r="L30" s="33">
        <f t="shared" si="1"/>
        <v>0.5221514194</v>
      </c>
      <c r="M30" s="32">
        <f t="shared" si="8"/>
        <v>3079.240813</v>
      </c>
      <c r="N30" s="35">
        <f t="shared" si="9"/>
        <v>8227.886445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7">
        <v>17.0</v>
      </c>
      <c r="F31" s="34">
        <f t="shared" si="2"/>
        <v>43982</v>
      </c>
      <c r="G31" s="32">
        <f t="shared" si="3"/>
        <v>41772.11356</v>
      </c>
      <c r="H31" s="32">
        <f t="shared" si="4"/>
        <v>706.6954536</v>
      </c>
      <c r="I31" s="32">
        <f t="shared" si="5"/>
        <v>174.0504731</v>
      </c>
      <c r="J31" s="32">
        <f t="shared" si="6"/>
        <v>532.6449804</v>
      </c>
      <c r="K31" s="32">
        <f t="shared" si="7"/>
        <v>41239.46857</v>
      </c>
      <c r="L31" s="33">
        <f t="shared" si="1"/>
        <v>0.5154933572</v>
      </c>
      <c r="M31" s="32">
        <f t="shared" si="8"/>
        <v>3253.291286</v>
      </c>
      <c r="N31" s="35">
        <f t="shared" si="9"/>
        <v>8760.531425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7">
        <v>18.0</v>
      </c>
      <c r="F32" s="34">
        <f t="shared" si="2"/>
        <v>44012</v>
      </c>
      <c r="G32" s="32">
        <f t="shared" si="3"/>
        <v>41239.46857</v>
      </c>
      <c r="H32" s="32">
        <f t="shared" si="4"/>
        <v>706.6954536</v>
      </c>
      <c r="I32" s="32">
        <f t="shared" si="5"/>
        <v>171.8311191</v>
      </c>
      <c r="J32" s="32">
        <f t="shared" si="6"/>
        <v>534.8643345</v>
      </c>
      <c r="K32" s="32">
        <f t="shared" si="7"/>
        <v>40704.60424</v>
      </c>
      <c r="L32" s="33">
        <f t="shared" si="1"/>
        <v>0.508807553</v>
      </c>
      <c r="M32" s="32">
        <f t="shared" si="8"/>
        <v>3425.122405</v>
      </c>
      <c r="N32" s="35">
        <f t="shared" si="9"/>
        <v>9295.39576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7">
        <v>19.0</v>
      </c>
      <c r="F33" s="34">
        <f t="shared" si="2"/>
        <v>44043</v>
      </c>
      <c r="G33" s="32">
        <f t="shared" si="3"/>
        <v>40704.60424</v>
      </c>
      <c r="H33" s="32">
        <f t="shared" si="4"/>
        <v>706.6954536</v>
      </c>
      <c r="I33" s="32">
        <f t="shared" si="5"/>
        <v>169.6025177</v>
      </c>
      <c r="J33" s="32">
        <f t="shared" si="6"/>
        <v>537.0929359</v>
      </c>
      <c r="K33" s="32">
        <f t="shared" si="7"/>
        <v>40167.5113</v>
      </c>
      <c r="L33" s="33">
        <f t="shared" si="1"/>
        <v>0.5020938913</v>
      </c>
      <c r="M33" s="32">
        <f t="shared" si="8"/>
        <v>3594.724923</v>
      </c>
      <c r="N33" s="35">
        <f t="shared" si="9"/>
        <v>9832.488696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7">
        <v>20.0</v>
      </c>
      <c r="F34" s="34">
        <f t="shared" si="2"/>
        <v>44074</v>
      </c>
      <c r="G34" s="32">
        <f t="shared" si="3"/>
        <v>40167.5113</v>
      </c>
      <c r="H34" s="32">
        <f t="shared" si="4"/>
        <v>706.6954536</v>
      </c>
      <c r="I34" s="32">
        <f t="shared" si="5"/>
        <v>167.3646304</v>
      </c>
      <c r="J34" s="32">
        <f t="shared" si="6"/>
        <v>539.3308232</v>
      </c>
      <c r="K34" s="32">
        <f t="shared" si="7"/>
        <v>39628.18048</v>
      </c>
      <c r="L34" s="33">
        <f t="shared" si="1"/>
        <v>0.495352256</v>
      </c>
      <c r="M34" s="32">
        <f t="shared" si="8"/>
        <v>3762.089553</v>
      </c>
      <c r="N34" s="35">
        <f t="shared" si="9"/>
        <v>10371.81952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7">
        <v>21.0</v>
      </c>
      <c r="F35" s="34">
        <f t="shared" si="2"/>
        <v>44104</v>
      </c>
      <c r="G35" s="32">
        <f t="shared" si="3"/>
        <v>39628.18048</v>
      </c>
      <c r="H35" s="32">
        <f t="shared" si="4"/>
        <v>706.6954536</v>
      </c>
      <c r="I35" s="32">
        <f t="shared" si="5"/>
        <v>165.1174187</v>
      </c>
      <c r="J35" s="32">
        <f t="shared" si="6"/>
        <v>541.5780349</v>
      </c>
      <c r="K35" s="32">
        <f t="shared" si="7"/>
        <v>39086.60245</v>
      </c>
      <c r="L35" s="33">
        <f t="shared" si="1"/>
        <v>0.4885825306</v>
      </c>
      <c r="M35" s="32">
        <f t="shared" si="8"/>
        <v>3927.206972</v>
      </c>
      <c r="N35" s="35">
        <f t="shared" si="9"/>
        <v>10913.39755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7">
        <v>22.0</v>
      </c>
      <c r="F36" s="34">
        <f t="shared" si="2"/>
        <v>44135</v>
      </c>
      <c r="G36" s="32">
        <f t="shared" si="3"/>
        <v>39086.60245</v>
      </c>
      <c r="H36" s="32">
        <f t="shared" si="4"/>
        <v>706.6954536</v>
      </c>
      <c r="I36" s="32">
        <f t="shared" si="5"/>
        <v>162.8608435</v>
      </c>
      <c r="J36" s="32">
        <f t="shared" si="6"/>
        <v>543.8346101</v>
      </c>
      <c r="K36" s="32">
        <f t="shared" si="7"/>
        <v>38542.76784</v>
      </c>
      <c r="L36" s="33">
        <f t="shared" si="1"/>
        <v>0.481784598</v>
      </c>
      <c r="M36" s="32">
        <f t="shared" si="8"/>
        <v>4090.067815</v>
      </c>
      <c r="N36" s="35">
        <f t="shared" si="9"/>
        <v>11457.23216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7">
        <v>23.0</v>
      </c>
      <c r="F37" s="34">
        <f t="shared" si="2"/>
        <v>44165</v>
      </c>
      <c r="G37" s="32">
        <f t="shared" si="3"/>
        <v>38542.76784</v>
      </c>
      <c r="H37" s="32">
        <f t="shared" si="4"/>
        <v>706.6954536</v>
      </c>
      <c r="I37" s="32">
        <f t="shared" si="5"/>
        <v>160.594866</v>
      </c>
      <c r="J37" s="32">
        <f t="shared" si="6"/>
        <v>546.1005876</v>
      </c>
      <c r="K37" s="32">
        <f t="shared" si="7"/>
        <v>37996.66725</v>
      </c>
      <c r="L37" s="33">
        <f t="shared" si="1"/>
        <v>0.4749583406</v>
      </c>
      <c r="M37" s="32">
        <f t="shared" si="8"/>
        <v>4250.662681</v>
      </c>
      <c r="N37" s="35">
        <f t="shared" si="9"/>
        <v>12003.33275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7">
        <v>24.0</v>
      </c>
      <c r="F38" s="34">
        <f t="shared" si="2"/>
        <v>44196</v>
      </c>
      <c r="G38" s="32">
        <f t="shared" si="3"/>
        <v>37996.66725</v>
      </c>
      <c r="H38" s="32">
        <f t="shared" si="4"/>
        <v>706.6954536</v>
      </c>
      <c r="I38" s="32">
        <f t="shared" si="5"/>
        <v>158.3194469</v>
      </c>
      <c r="J38" s="32">
        <f t="shared" si="6"/>
        <v>548.3760067</v>
      </c>
      <c r="K38" s="32">
        <f t="shared" si="7"/>
        <v>37448.29124</v>
      </c>
      <c r="L38" s="33">
        <f t="shared" si="1"/>
        <v>0.4681036405</v>
      </c>
      <c r="M38" s="32">
        <f t="shared" si="8"/>
        <v>4408.982128</v>
      </c>
      <c r="N38" s="35">
        <f t="shared" si="9"/>
        <v>12551.70876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7">
        <v>25.0</v>
      </c>
      <c r="F39" s="34">
        <f t="shared" si="2"/>
        <v>44227</v>
      </c>
      <c r="G39" s="32">
        <f t="shared" si="3"/>
        <v>37448.29124</v>
      </c>
      <c r="H39" s="32">
        <f t="shared" si="4"/>
        <v>706.6954536</v>
      </c>
      <c r="I39" s="32">
        <f t="shared" si="5"/>
        <v>156.0345468</v>
      </c>
      <c r="J39" s="32">
        <f t="shared" si="6"/>
        <v>550.6609068</v>
      </c>
      <c r="K39" s="32">
        <f t="shared" si="7"/>
        <v>36897.63034</v>
      </c>
      <c r="L39" s="33">
        <f t="shared" si="1"/>
        <v>0.4612203792</v>
      </c>
      <c r="M39" s="32">
        <f t="shared" si="8"/>
        <v>4565.016675</v>
      </c>
      <c r="N39" s="35">
        <f t="shared" si="9"/>
        <v>13102.36966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7">
        <v>26.0</v>
      </c>
      <c r="F40" s="34">
        <f t="shared" si="2"/>
        <v>44255</v>
      </c>
      <c r="G40" s="32">
        <f t="shared" si="3"/>
        <v>36897.63034</v>
      </c>
      <c r="H40" s="32">
        <f t="shared" si="4"/>
        <v>706.6954536</v>
      </c>
      <c r="I40" s="32">
        <f t="shared" si="5"/>
        <v>153.7401264</v>
      </c>
      <c r="J40" s="32">
        <f t="shared" si="6"/>
        <v>552.9553272</v>
      </c>
      <c r="K40" s="32">
        <f t="shared" si="7"/>
        <v>36344.67501</v>
      </c>
      <c r="L40" s="33">
        <f t="shared" si="1"/>
        <v>0.4543084376</v>
      </c>
      <c r="M40" s="32">
        <f t="shared" si="8"/>
        <v>4718.756801</v>
      </c>
      <c r="N40" s="35">
        <f t="shared" si="9"/>
        <v>13655.32499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7">
        <v>27.0</v>
      </c>
      <c r="F41" s="34">
        <f t="shared" si="2"/>
        <v>44286</v>
      </c>
      <c r="G41" s="32">
        <f t="shared" si="3"/>
        <v>36344.67501</v>
      </c>
      <c r="H41" s="32">
        <f t="shared" si="4"/>
        <v>706.6954536</v>
      </c>
      <c r="I41" s="32">
        <f t="shared" si="5"/>
        <v>151.4361459</v>
      </c>
      <c r="J41" s="32">
        <f t="shared" si="6"/>
        <v>555.2593077</v>
      </c>
      <c r="K41" s="32">
        <f t="shared" si="7"/>
        <v>35789.4157</v>
      </c>
      <c r="L41" s="33">
        <f t="shared" si="1"/>
        <v>0.4473676963</v>
      </c>
      <c r="M41" s="32">
        <f t="shared" si="8"/>
        <v>4870.192947</v>
      </c>
      <c r="N41" s="35">
        <f t="shared" si="9"/>
        <v>14210.5843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7">
        <v>28.0</v>
      </c>
      <c r="F42" s="34">
        <f t="shared" si="2"/>
        <v>44316</v>
      </c>
      <c r="G42" s="32">
        <f t="shared" si="3"/>
        <v>35789.4157</v>
      </c>
      <c r="H42" s="32">
        <f t="shared" si="4"/>
        <v>706.6954536</v>
      </c>
      <c r="I42" s="32">
        <f t="shared" si="5"/>
        <v>149.1225654</v>
      </c>
      <c r="J42" s="32">
        <f t="shared" si="6"/>
        <v>557.5728882</v>
      </c>
      <c r="K42" s="32">
        <f t="shared" si="7"/>
        <v>35231.84281</v>
      </c>
      <c r="L42" s="33">
        <f t="shared" si="1"/>
        <v>0.4403980352</v>
      </c>
      <c r="M42" s="32">
        <f t="shared" si="8"/>
        <v>5019.315513</v>
      </c>
      <c r="N42" s="35">
        <f t="shared" si="9"/>
        <v>14768.15719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7">
        <v>29.0</v>
      </c>
      <c r="F43" s="34">
        <f t="shared" si="2"/>
        <v>44347</v>
      </c>
      <c r="G43" s="32">
        <f t="shared" si="3"/>
        <v>35231.84281</v>
      </c>
      <c r="H43" s="32">
        <f t="shared" si="4"/>
        <v>706.6954536</v>
      </c>
      <c r="I43" s="32">
        <f t="shared" si="5"/>
        <v>146.7993451</v>
      </c>
      <c r="J43" s="32">
        <f t="shared" si="6"/>
        <v>559.8961085</v>
      </c>
      <c r="K43" s="32">
        <f t="shared" si="7"/>
        <v>34671.9467</v>
      </c>
      <c r="L43" s="33">
        <f t="shared" si="1"/>
        <v>0.4333993338</v>
      </c>
      <c r="M43" s="32">
        <f t="shared" si="8"/>
        <v>5166.114858</v>
      </c>
      <c r="N43" s="35">
        <f t="shared" si="9"/>
        <v>15328.0533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7">
        <v>30.0</v>
      </c>
      <c r="F44" s="34">
        <f t="shared" si="2"/>
        <v>44377</v>
      </c>
      <c r="G44" s="32">
        <f t="shared" si="3"/>
        <v>34671.9467</v>
      </c>
      <c r="H44" s="32">
        <f t="shared" si="4"/>
        <v>706.6954536</v>
      </c>
      <c r="I44" s="32">
        <f t="shared" si="5"/>
        <v>144.4664446</v>
      </c>
      <c r="J44" s="32">
        <f t="shared" si="6"/>
        <v>562.229009</v>
      </c>
      <c r="K44" s="32">
        <f t="shared" si="7"/>
        <v>34109.71769</v>
      </c>
      <c r="L44" s="33">
        <f t="shared" si="1"/>
        <v>0.4263714712</v>
      </c>
      <c r="M44" s="32">
        <f t="shared" si="8"/>
        <v>5310.581302</v>
      </c>
      <c r="N44" s="35">
        <f t="shared" si="9"/>
        <v>15890.28231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7">
        <v>31.0</v>
      </c>
      <c r="F45" s="34">
        <f t="shared" si="2"/>
        <v>44408</v>
      </c>
      <c r="G45" s="32">
        <f t="shared" si="3"/>
        <v>34109.71769</v>
      </c>
      <c r="H45" s="32">
        <f t="shared" si="4"/>
        <v>706.6954536</v>
      </c>
      <c r="I45" s="32">
        <f t="shared" si="5"/>
        <v>142.1238237</v>
      </c>
      <c r="J45" s="32">
        <f t="shared" si="6"/>
        <v>564.5716299</v>
      </c>
      <c r="K45" s="32">
        <f t="shared" si="7"/>
        <v>33545.14606</v>
      </c>
      <c r="L45" s="33">
        <f t="shared" si="1"/>
        <v>0.4193143258</v>
      </c>
      <c r="M45" s="32">
        <f t="shared" si="8"/>
        <v>5452.705126</v>
      </c>
      <c r="N45" s="35">
        <f t="shared" si="9"/>
        <v>16454.85394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7">
        <v>32.0</v>
      </c>
      <c r="F46" s="34">
        <f t="shared" si="2"/>
        <v>44439</v>
      </c>
      <c r="G46" s="32">
        <f t="shared" si="3"/>
        <v>33545.14606</v>
      </c>
      <c r="H46" s="32">
        <f t="shared" si="4"/>
        <v>706.6954536</v>
      </c>
      <c r="I46" s="32">
        <f t="shared" si="5"/>
        <v>139.7714419</v>
      </c>
      <c r="J46" s="32">
        <f t="shared" si="6"/>
        <v>566.9240117</v>
      </c>
      <c r="K46" s="32">
        <f t="shared" si="7"/>
        <v>32978.22205</v>
      </c>
      <c r="L46" s="33">
        <f t="shared" si="1"/>
        <v>0.4122277757</v>
      </c>
      <c r="M46" s="32">
        <f t="shared" si="8"/>
        <v>5592.476568</v>
      </c>
      <c r="N46" s="35">
        <f t="shared" si="9"/>
        <v>17021.77795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7">
        <v>33.0</v>
      </c>
      <c r="F47" s="34">
        <f t="shared" si="2"/>
        <v>44469</v>
      </c>
      <c r="G47" s="32">
        <f t="shared" si="3"/>
        <v>32978.22205</v>
      </c>
      <c r="H47" s="32">
        <f t="shared" si="4"/>
        <v>706.6954536</v>
      </c>
      <c r="I47" s="32">
        <f t="shared" si="5"/>
        <v>137.4092586</v>
      </c>
      <c r="J47" s="32">
        <f t="shared" si="6"/>
        <v>569.286195</v>
      </c>
      <c r="K47" s="32">
        <f t="shared" si="7"/>
        <v>32408.93586</v>
      </c>
      <c r="L47" s="33">
        <f t="shared" si="1"/>
        <v>0.4051116982</v>
      </c>
      <c r="M47" s="32">
        <f t="shared" si="8"/>
        <v>5729.885827</v>
      </c>
      <c r="N47" s="35">
        <f t="shared" si="9"/>
        <v>17591.06414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7">
        <v>34.0</v>
      </c>
      <c r="F48" s="34">
        <f t="shared" si="2"/>
        <v>44500</v>
      </c>
      <c r="G48" s="32">
        <f t="shared" si="3"/>
        <v>32408.93586</v>
      </c>
      <c r="H48" s="32">
        <f t="shared" si="4"/>
        <v>706.6954536</v>
      </c>
      <c r="I48" s="32">
        <f t="shared" si="5"/>
        <v>135.0372327</v>
      </c>
      <c r="J48" s="32">
        <f t="shared" si="6"/>
        <v>571.6582209</v>
      </c>
      <c r="K48" s="32">
        <f t="shared" si="7"/>
        <v>31837.27764</v>
      </c>
      <c r="L48" s="33">
        <f t="shared" si="1"/>
        <v>0.3979659705</v>
      </c>
      <c r="M48" s="32">
        <f t="shared" si="8"/>
        <v>5864.923059</v>
      </c>
      <c r="N48" s="35">
        <f t="shared" si="9"/>
        <v>18162.72236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7">
        <v>35.0</v>
      </c>
      <c r="F49" s="34">
        <f t="shared" si="2"/>
        <v>44530</v>
      </c>
      <c r="G49" s="32">
        <f t="shared" si="3"/>
        <v>31837.27764</v>
      </c>
      <c r="H49" s="32">
        <f t="shared" si="4"/>
        <v>706.6954536</v>
      </c>
      <c r="I49" s="32">
        <f t="shared" si="5"/>
        <v>132.6553235</v>
      </c>
      <c r="J49" s="32">
        <f t="shared" si="6"/>
        <v>574.0401301</v>
      </c>
      <c r="K49" s="32">
        <f t="shared" si="7"/>
        <v>31263.23751</v>
      </c>
      <c r="L49" s="33">
        <f t="shared" si="1"/>
        <v>0.3907904688</v>
      </c>
      <c r="M49" s="32">
        <f t="shared" si="8"/>
        <v>5997.578383</v>
      </c>
      <c r="N49" s="35">
        <f t="shared" si="9"/>
        <v>18736.76249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7">
        <v>36.0</v>
      </c>
      <c r="F50" s="34">
        <f t="shared" si="2"/>
        <v>44561</v>
      </c>
      <c r="G50" s="32">
        <f t="shared" si="3"/>
        <v>31263.23751</v>
      </c>
      <c r="H50" s="32">
        <f t="shared" si="4"/>
        <v>706.6954536</v>
      </c>
      <c r="I50" s="32">
        <f t="shared" si="5"/>
        <v>130.2634896</v>
      </c>
      <c r="J50" s="32">
        <f t="shared" si="6"/>
        <v>576.431964</v>
      </c>
      <c r="K50" s="32">
        <f t="shared" si="7"/>
        <v>30686.80554</v>
      </c>
      <c r="L50" s="33">
        <f t="shared" si="1"/>
        <v>0.3835850693</v>
      </c>
      <c r="M50" s="32">
        <f t="shared" si="8"/>
        <v>6127.841872</v>
      </c>
      <c r="N50" s="35">
        <f t="shared" si="9"/>
        <v>19313.19446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7">
        <v>37.0</v>
      </c>
      <c r="F51" s="34">
        <f t="shared" si="2"/>
        <v>44592</v>
      </c>
      <c r="G51" s="32">
        <f t="shared" si="3"/>
        <v>30686.80554</v>
      </c>
      <c r="H51" s="32">
        <f t="shared" si="4"/>
        <v>706.6954536</v>
      </c>
      <c r="I51" s="32">
        <f t="shared" si="5"/>
        <v>127.8616898</v>
      </c>
      <c r="J51" s="32">
        <f t="shared" si="6"/>
        <v>578.8337638</v>
      </c>
      <c r="K51" s="32">
        <f t="shared" si="7"/>
        <v>30107.97178</v>
      </c>
      <c r="L51" s="33">
        <f t="shared" si="1"/>
        <v>0.3763496472</v>
      </c>
      <c r="M51" s="32">
        <f t="shared" si="8"/>
        <v>6255.703562</v>
      </c>
      <c r="N51" s="35">
        <f t="shared" si="9"/>
        <v>19892.02822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7">
        <v>38.0</v>
      </c>
      <c r="F52" s="34">
        <f t="shared" si="2"/>
        <v>44620</v>
      </c>
      <c r="G52" s="32">
        <f t="shared" si="3"/>
        <v>30107.97178</v>
      </c>
      <c r="H52" s="32">
        <f t="shared" si="4"/>
        <v>706.6954536</v>
      </c>
      <c r="I52" s="32">
        <f t="shared" si="5"/>
        <v>125.4498824</v>
      </c>
      <c r="J52" s="32">
        <f t="shared" si="6"/>
        <v>581.2455712</v>
      </c>
      <c r="K52" s="32">
        <f t="shared" si="7"/>
        <v>29526.72621</v>
      </c>
      <c r="L52" s="33">
        <f t="shared" si="1"/>
        <v>0.3690840776</v>
      </c>
      <c r="M52" s="32">
        <f t="shared" si="8"/>
        <v>6381.153445</v>
      </c>
      <c r="N52" s="35">
        <f t="shared" si="9"/>
        <v>20473.27379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7">
        <v>39.0</v>
      </c>
      <c r="F53" s="34">
        <f t="shared" si="2"/>
        <v>44651</v>
      </c>
      <c r="G53" s="32">
        <f t="shared" si="3"/>
        <v>29526.72621</v>
      </c>
      <c r="H53" s="32">
        <f t="shared" si="4"/>
        <v>706.6954536</v>
      </c>
      <c r="I53" s="32">
        <f t="shared" si="5"/>
        <v>123.0280259</v>
      </c>
      <c r="J53" s="32">
        <f t="shared" si="6"/>
        <v>583.6674277</v>
      </c>
      <c r="K53" s="32">
        <f t="shared" si="7"/>
        <v>28943.05878</v>
      </c>
      <c r="L53" s="33">
        <f t="shared" si="1"/>
        <v>0.3617882348</v>
      </c>
      <c r="M53" s="32">
        <f t="shared" si="8"/>
        <v>6504.18147</v>
      </c>
      <c r="N53" s="35">
        <f t="shared" si="9"/>
        <v>21056.94122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7">
        <v>40.0</v>
      </c>
      <c r="F54" s="34">
        <f t="shared" si="2"/>
        <v>44681</v>
      </c>
      <c r="G54" s="32">
        <f t="shared" si="3"/>
        <v>28943.05878</v>
      </c>
      <c r="H54" s="32">
        <f t="shared" si="4"/>
        <v>706.6954536</v>
      </c>
      <c r="I54" s="32">
        <f t="shared" si="5"/>
        <v>120.5960783</v>
      </c>
      <c r="J54" s="32">
        <f t="shared" si="6"/>
        <v>586.0993753</v>
      </c>
      <c r="K54" s="32">
        <f t="shared" si="7"/>
        <v>28356.9594</v>
      </c>
      <c r="L54" s="33">
        <f t="shared" si="1"/>
        <v>0.3544619926</v>
      </c>
      <c r="M54" s="32">
        <f t="shared" si="8"/>
        <v>6624.777549</v>
      </c>
      <c r="N54" s="35">
        <f t="shared" si="9"/>
        <v>21643.0406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7">
        <v>41.0</v>
      </c>
      <c r="F55" s="34">
        <f t="shared" si="2"/>
        <v>44712</v>
      </c>
      <c r="G55" s="32">
        <f t="shared" si="3"/>
        <v>28356.9594</v>
      </c>
      <c r="H55" s="32">
        <f t="shared" si="4"/>
        <v>706.6954536</v>
      </c>
      <c r="I55" s="32">
        <f t="shared" si="5"/>
        <v>118.1539975</v>
      </c>
      <c r="J55" s="32">
        <f t="shared" si="6"/>
        <v>588.5414561</v>
      </c>
      <c r="K55" s="32">
        <f t="shared" si="7"/>
        <v>27768.41795</v>
      </c>
      <c r="L55" s="33">
        <f t="shared" si="1"/>
        <v>0.3471052244</v>
      </c>
      <c r="M55" s="32">
        <f t="shared" si="8"/>
        <v>6742.931546</v>
      </c>
      <c r="N55" s="35">
        <f t="shared" si="9"/>
        <v>22231.58205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7">
        <v>42.0</v>
      </c>
      <c r="F56" s="34">
        <f t="shared" si="2"/>
        <v>44742</v>
      </c>
      <c r="G56" s="32">
        <f t="shared" si="3"/>
        <v>27768.41795</v>
      </c>
      <c r="H56" s="32">
        <f t="shared" si="4"/>
        <v>706.6954536</v>
      </c>
      <c r="I56" s="32">
        <f t="shared" si="5"/>
        <v>115.7017415</v>
      </c>
      <c r="J56" s="32">
        <f t="shared" si="6"/>
        <v>590.9937121</v>
      </c>
      <c r="K56" s="32">
        <f t="shared" si="7"/>
        <v>27177.42424</v>
      </c>
      <c r="L56" s="33">
        <f t="shared" si="1"/>
        <v>0.339717803</v>
      </c>
      <c r="M56" s="32">
        <f t="shared" si="8"/>
        <v>6858.633288</v>
      </c>
      <c r="N56" s="35">
        <f t="shared" si="9"/>
        <v>22822.57576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7">
        <v>43.0</v>
      </c>
      <c r="F57" s="34">
        <f t="shared" si="2"/>
        <v>44773</v>
      </c>
      <c r="G57" s="32">
        <f t="shared" si="3"/>
        <v>27177.42424</v>
      </c>
      <c r="H57" s="32">
        <f t="shared" si="4"/>
        <v>706.6954536</v>
      </c>
      <c r="I57" s="32">
        <f t="shared" si="5"/>
        <v>113.2392677</v>
      </c>
      <c r="J57" s="32">
        <f t="shared" si="6"/>
        <v>593.4561859</v>
      </c>
      <c r="K57" s="32">
        <f t="shared" si="7"/>
        <v>26583.96805</v>
      </c>
      <c r="L57" s="33">
        <f t="shared" si="1"/>
        <v>0.3322996006</v>
      </c>
      <c r="M57" s="32">
        <f t="shared" si="8"/>
        <v>6971.872555</v>
      </c>
      <c r="N57" s="35">
        <f t="shared" si="9"/>
        <v>23416.03195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7">
        <v>44.0</v>
      </c>
      <c r="F58" s="34">
        <f t="shared" si="2"/>
        <v>44804</v>
      </c>
      <c r="G58" s="32">
        <f t="shared" si="3"/>
        <v>26583.96805</v>
      </c>
      <c r="H58" s="32">
        <f t="shared" si="4"/>
        <v>706.6954536</v>
      </c>
      <c r="I58" s="32">
        <f t="shared" si="5"/>
        <v>110.7665335</v>
      </c>
      <c r="J58" s="32">
        <f t="shared" si="6"/>
        <v>595.9289201</v>
      </c>
      <c r="K58" s="32">
        <f t="shared" si="7"/>
        <v>25988.03913</v>
      </c>
      <c r="L58" s="33">
        <f t="shared" si="1"/>
        <v>0.3248504891</v>
      </c>
      <c r="M58" s="32">
        <f t="shared" si="8"/>
        <v>7082.639089</v>
      </c>
      <c r="N58" s="35">
        <f t="shared" si="9"/>
        <v>24011.96087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7">
        <v>45.0</v>
      </c>
      <c r="F59" s="34">
        <f t="shared" si="2"/>
        <v>44834</v>
      </c>
      <c r="G59" s="32">
        <f t="shared" si="3"/>
        <v>25988.03913</v>
      </c>
      <c r="H59" s="32">
        <f t="shared" si="4"/>
        <v>706.6954536</v>
      </c>
      <c r="I59" s="32">
        <f t="shared" si="5"/>
        <v>108.2834964</v>
      </c>
      <c r="J59" s="32">
        <f t="shared" si="6"/>
        <v>598.4119572</v>
      </c>
      <c r="K59" s="32">
        <f t="shared" si="7"/>
        <v>25389.62717</v>
      </c>
      <c r="L59" s="33">
        <f t="shared" si="1"/>
        <v>0.3173703397</v>
      </c>
      <c r="M59" s="32">
        <f t="shared" si="8"/>
        <v>7190.922585</v>
      </c>
      <c r="N59" s="35">
        <f t="shared" si="9"/>
        <v>24610.37283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7">
        <v>46.0</v>
      </c>
      <c r="F60" s="34">
        <f t="shared" si="2"/>
        <v>44865</v>
      </c>
      <c r="G60" s="32">
        <f t="shared" si="3"/>
        <v>25389.62717</v>
      </c>
      <c r="H60" s="32">
        <f t="shared" si="4"/>
        <v>706.6954536</v>
      </c>
      <c r="I60" s="32">
        <f t="shared" si="5"/>
        <v>105.7901132</v>
      </c>
      <c r="J60" s="32">
        <f t="shared" si="6"/>
        <v>600.9053404</v>
      </c>
      <c r="K60" s="32">
        <f t="shared" si="7"/>
        <v>24788.72183</v>
      </c>
      <c r="L60" s="33">
        <f t="shared" si="1"/>
        <v>0.3098590229</v>
      </c>
      <c r="M60" s="32">
        <f t="shared" si="8"/>
        <v>7296.712699</v>
      </c>
      <c r="N60" s="35">
        <f t="shared" si="9"/>
        <v>25211.27817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7">
        <v>47.0</v>
      </c>
      <c r="F61" s="34">
        <f t="shared" si="2"/>
        <v>44895</v>
      </c>
      <c r="G61" s="32">
        <f t="shared" si="3"/>
        <v>24788.72183</v>
      </c>
      <c r="H61" s="32">
        <f t="shared" si="4"/>
        <v>706.6954536</v>
      </c>
      <c r="I61" s="32">
        <f t="shared" si="5"/>
        <v>103.286341</v>
      </c>
      <c r="J61" s="32">
        <f t="shared" si="6"/>
        <v>603.4091126</v>
      </c>
      <c r="K61" s="32">
        <f t="shared" si="7"/>
        <v>24185.31272</v>
      </c>
      <c r="L61" s="33">
        <f t="shared" si="1"/>
        <v>0.302316409</v>
      </c>
      <c r="M61" s="32">
        <f t="shared" si="8"/>
        <v>7399.999039</v>
      </c>
      <c r="N61" s="35">
        <f t="shared" si="9"/>
        <v>25814.68728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7">
        <v>48.0</v>
      </c>
      <c r="F62" s="34">
        <f t="shared" si="2"/>
        <v>44926</v>
      </c>
      <c r="G62" s="32">
        <f t="shared" si="3"/>
        <v>24185.31272</v>
      </c>
      <c r="H62" s="32">
        <f t="shared" si="4"/>
        <v>706.6954536</v>
      </c>
      <c r="I62" s="32">
        <f t="shared" si="5"/>
        <v>100.7721363</v>
      </c>
      <c r="J62" s="32">
        <f t="shared" si="6"/>
        <v>605.9233173</v>
      </c>
      <c r="K62" s="32">
        <f t="shared" si="7"/>
        <v>23579.3894</v>
      </c>
      <c r="L62" s="33">
        <f t="shared" si="1"/>
        <v>0.2947423675</v>
      </c>
      <c r="M62" s="32">
        <f t="shared" si="8"/>
        <v>7500.771176</v>
      </c>
      <c r="N62" s="35">
        <f t="shared" si="9"/>
        <v>26420.6106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7">
        <v>49.0</v>
      </c>
      <c r="F63" s="34">
        <f t="shared" si="2"/>
        <v>44957</v>
      </c>
      <c r="G63" s="32">
        <f t="shared" si="3"/>
        <v>23579.3894</v>
      </c>
      <c r="H63" s="32">
        <f t="shared" si="4"/>
        <v>706.6954536</v>
      </c>
      <c r="I63" s="32">
        <f t="shared" si="5"/>
        <v>98.24745585</v>
      </c>
      <c r="J63" s="32">
        <f t="shared" si="6"/>
        <v>608.4479977</v>
      </c>
      <c r="K63" s="32">
        <f t="shared" si="7"/>
        <v>22970.94141</v>
      </c>
      <c r="L63" s="33">
        <f t="shared" si="1"/>
        <v>0.2871367676</v>
      </c>
      <c r="M63" s="32">
        <f t="shared" si="8"/>
        <v>7599.018632</v>
      </c>
      <c r="N63" s="35">
        <f t="shared" si="9"/>
        <v>27029.05859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7">
        <v>50.0</v>
      </c>
      <c r="F64" s="34">
        <f t="shared" si="2"/>
        <v>44985</v>
      </c>
      <c r="G64" s="32">
        <f t="shared" si="3"/>
        <v>22970.94141</v>
      </c>
      <c r="H64" s="32">
        <f t="shared" si="4"/>
        <v>706.6954536</v>
      </c>
      <c r="I64" s="32">
        <f t="shared" si="5"/>
        <v>95.71225586</v>
      </c>
      <c r="J64" s="32">
        <f t="shared" si="6"/>
        <v>610.9831977</v>
      </c>
      <c r="K64" s="32">
        <f t="shared" si="7"/>
        <v>22359.95821</v>
      </c>
      <c r="L64" s="33">
        <f t="shared" si="1"/>
        <v>0.2794994776</v>
      </c>
      <c r="M64" s="32">
        <f t="shared" si="8"/>
        <v>7694.730888</v>
      </c>
      <c r="N64" s="35">
        <f t="shared" si="9"/>
        <v>27640.04179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7">
        <v>51.0</v>
      </c>
      <c r="F65" s="34">
        <f t="shared" si="2"/>
        <v>45016</v>
      </c>
      <c r="G65" s="32">
        <f t="shared" si="3"/>
        <v>22359.95821</v>
      </c>
      <c r="H65" s="32">
        <f t="shared" si="4"/>
        <v>706.6954536</v>
      </c>
      <c r="I65" s="32">
        <f t="shared" si="5"/>
        <v>93.16649253</v>
      </c>
      <c r="J65" s="32">
        <f t="shared" si="6"/>
        <v>613.5289611</v>
      </c>
      <c r="K65" s="32">
        <f t="shared" si="7"/>
        <v>21746.42925</v>
      </c>
      <c r="L65" s="33">
        <f t="shared" si="1"/>
        <v>0.2718303656</v>
      </c>
      <c r="M65" s="32">
        <f t="shared" si="8"/>
        <v>7787.89738</v>
      </c>
      <c r="N65" s="35">
        <f t="shared" si="9"/>
        <v>28253.57075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7">
        <v>52.0</v>
      </c>
      <c r="F66" s="34">
        <f t="shared" si="2"/>
        <v>45046</v>
      </c>
      <c r="G66" s="32">
        <f t="shared" si="3"/>
        <v>21746.42925</v>
      </c>
      <c r="H66" s="32">
        <f t="shared" si="4"/>
        <v>706.6954536</v>
      </c>
      <c r="I66" s="32">
        <f t="shared" si="5"/>
        <v>90.61012186</v>
      </c>
      <c r="J66" s="32">
        <f t="shared" si="6"/>
        <v>616.0853317</v>
      </c>
      <c r="K66" s="32">
        <f t="shared" si="7"/>
        <v>21130.34391</v>
      </c>
      <c r="L66" s="33">
        <f t="shared" si="1"/>
        <v>0.2641292989</v>
      </c>
      <c r="M66" s="32">
        <f t="shared" si="8"/>
        <v>7878.507502</v>
      </c>
      <c r="N66" s="35">
        <f t="shared" si="9"/>
        <v>28869.65609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7">
        <v>53.0</v>
      </c>
      <c r="F67" s="34">
        <f t="shared" si="2"/>
        <v>45077</v>
      </c>
      <c r="G67" s="32">
        <f t="shared" si="3"/>
        <v>21130.34391</v>
      </c>
      <c r="H67" s="32">
        <f t="shared" si="4"/>
        <v>706.6954536</v>
      </c>
      <c r="I67" s="32">
        <f t="shared" si="5"/>
        <v>88.04309965</v>
      </c>
      <c r="J67" s="32">
        <f t="shared" si="6"/>
        <v>618.6523539</v>
      </c>
      <c r="K67" s="32">
        <f t="shared" si="7"/>
        <v>20511.69156</v>
      </c>
      <c r="L67" s="33">
        <f t="shared" si="1"/>
        <v>0.2563961445</v>
      </c>
      <c r="M67" s="32">
        <f t="shared" si="8"/>
        <v>7966.550602</v>
      </c>
      <c r="N67" s="35">
        <f t="shared" si="9"/>
        <v>29488.30844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7">
        <v>54.0</v>
      </c>
      <c r="F68" s="34">
        <f t="shared" si="2"/>
        <v>45107</v>
      </c>
      <c r="G68" s="32">
        <f t="shared" si="3"/>
        <v>20511.69156</v>
      </c>
      <c r="H68" s="32">
        <f t="shared" si="4"/>
        <v>706.6954536</v>
      </c>
      <c r="I68" s="32">
        <f t="shared" si="5"/>
        <v>85.4653815</v>
      </c>
      <c r="J68" s="32">
        <f t="shared" si="6"/>
        <v>621.2300721</v>
      </c>
      <c r="K68" s="32">
        <f t="shared" si="7"/>
        <v>19890.46149</v>
      </c>
      <c r="L68" s="33">
        <f t="shared" si="1"/>
        <v>0.2486307686</v>
      </c>
      <c r="M68" s="32">
        <f t="shared" si="8"/>
        <v>8052.015983</v>
      </c>
      <c r="N68" s="35">
        <f t="shared" si="9"/>
        <v>30109.53851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7">
        <v>55.0</v>
      </c>
      <c r="F69" s="34">
        <f t="shared" si="2"/>
        <v>45138</v>
      </c>
      <c r="G69" s="32">
        <f t="shared" si="3"/>
        <v>19890.46149</v>
      </c>
      <c r="H69" s="32">
        <f t="shared" si="4"/>
        <v>706.6954536</v>
      </c>
      <c r="I69" s="32">
        <f t="shared" si="5"/>
        <v>82.87692287</v>
      </c>
      <c r="J69" s="32">
        <f t="shared" si="6"/>
        <v>623.8185307</v>
      </c>
      <c r="K69" s="32">
        <f t="shared" si="7"/>
        <v>19266.64296</v>
      </c>
      <c r="L69" s="33">
        <f t="shared" si="1"/>
        <v>0.240833037</v>
      </c>
      <c r="M69" s="32">
        <f t="shared" si="8"/>
        <v>8134.892906</v>
      </c>
      <c r="N69" s="35">
        <f t="shared" si="9"/>
        <v>30733.35704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7">
        <v>56.0</v>
      </c>
      <c r="F70" s="34">
        <f t="shared" si="2"/>
        <v>45169</v>
      </c>
      <c r="G70" s="32">
        <f t="shared" si="3"/>
        <v>19266.64296</v>
      </c>
      <c r="H70" s="32">
        <f t="shared" si="4"/>
        <v>706.6954536</v>
      </c>
      <c r="I70" s="32">
        <f t="shared" si="5"/>
        <v>80.27767899</v>
      </c>
      <c r="J70" s="32">
        <f t="shared" si="6"/>
        <v>626.4177746</v>
      </c>
      <c r="K70" s="32">
        <f t="shared" si="7"/>
        <v>18640.22518</v>
      </c>
      <c r="L70" s="33">
        <f t="shared" si="1"/>
        <v>0.2330028148</v>
      </c>
      <c r="M70" s="32">
        <f t="shared" si="8"/>
        <v>8215.170585</v>
      </c>
      <c r="N70" s="35">
        <f t="shared" si="9"/>
        <v>31359.77482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7">
        <v>57.0</v>
      </c>
      <c r="F71" s="34">
        <f t="shared" si="2"/>
        <v>45199</v>
      </c>
      <c r="G71" s="32">
        <f t="shared" si="3"/>
        <v>18640.22518</v>
      </c>
      <c r="H71" s="32">
        <f t="shared" si="4"/>
        <v>706.6954536</v>
      </c>
      <c r="I71" s="32">
        <f t="shared" si="5"/>
        <v>77.66760493</v>
      </c>
      <c r="J71" s="32">
        <f t="shared" si="6"/>
        <v>629.0278487</v>
      </c>
      <c r="K71" s="32">
        <f t="shared" si="7"/>
        <v>18011.19733</v>
      </c>
      <c r="L71" s="33">
        <f t="shared" si="1"/>
        <v>0.2251399667</v>
      </c>
      <c r="M71" s="32">
        <f t="shared" si="8"/>
        <v>8292.83819</v>
      </c>
      <c r="N71" s="35">
        <f t="shared" si="9"/>
        <v>31988.80267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7">
        <v>58.0</v>
      </c>
      <c r="F72" s="34">
        <f t="shared" si="2"/>
        <v>45230</v>
      </c>
      <c r="G72" s="32">
        <f t="shared" si="3"/>
        <v>18011.19733</v>
      </c>
      <c r="H72" s="32">
        <f t="shared" si="4"/>
        <v>706.6954536</v>
      </c>
      <c r="I72" s="32">
        <f t="shared" si="5"/>
        <v>75.04665556</v>
      </c>
      <c r="J72" s="32">
        <f t="shared" si="6"/>
        <v>631.648798</v>
      </c>
      <c r="K72" s="32">
        <f t="shared" si="7"/>
        <v>17379.54854</v>
      </c>
      <c r="L72" s="33">
        <f t="shared" si="1"/>
        <v>0.2172443567</v>
      </c>
      <c r="M72" s="32">
        <f t="shared" si="8"/>
        <v>8367.884845</v>
      </c>
      <c r="N72" s="35">
        <f t="shared" si="9"/>
        <v>32620.45146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7">
        <v>59.0</v>
      </c>
      <c r="F73" s="34">
        <f t="shared" si="2"/>
        <v>45260</v>
      </c>
      <c r="G73" s="32">
        <f t="shared" si="3"/>
        <v>17379.54854</v>
      </c>
      <c r="H73" s="32">
        <f t="shared" si="4"/>
        <v>706.6954536</v>
      </c>
      <c r="I73" s="32">
        <f t="shared" si="5"/>
        <v>72.41478557</v>
      </c>
      <c r="J73" s="32">
        <f t="shared" si="6"/>
        <v>634.280668</v>
      </c>
      <c r="K73" s="32">
        <f t="shared" si="7"/>
        <v>16745.26787</v>
      </c>
      <c r="L73" s="33">
        <f t="shared" si="1"/>
        <v>0.2093158484</v>
      </c>
      <c r="M73" s="32">
        <f t="shared" si="8"/>
        <v>8440.299631</v>
      </c>
      <c r="N73" s="35">
        <f t="shared" si="9"/>
        <v>33254.73213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7">
        <v>60.0</v>
      </c>
      <c r="F74" s="34">
        <f t="shared" si="2"/>
        <v>45291</v>
      </c>
      <c r="G74" s="32">
        <f t="shared" si="3"/>
        <v>16745.26787</v>
      </c>
      <c r="H74" s="32">
        <f t="shared" si="4"/>
        <v>706.6954536</v>
      </c>
      <c r="I74" s="32">
        <f t="shared" si="5"/>
        <v>69.77194945</v>
      </c>
      <c r="J74" s="32">
        <f t="shared" si="6"/>
        <v>636.9235041</v>
      </c>
      <c r="K74" s="32">
        <f t="shared" si="7"/>
        <v>16108.34436</v>
      </c>
      <c r="L74" s="33">
        <f t="shared" si="1"/>
        <v>0.2013543046</v>
      </c>
      <c r="M74" s="32">
        <f t="shared" si="8"/>
        <v>8510.07158</v>
      </c>
      <c r="N74" s="35">
        <f t="shared" si="9"/>
        <v>33891.65564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7">
        <v>61.0</v>
      </c>
      <c r="F75" s="34">
        <f t="shared" si="2"/>
        <v>45322</v>
      </c>
      <c r="G75" s="32">
        <f t="shared" si="3"/>
        <v>16108.34436</v>
      </c>
      <c r="H75" s="32">
        <f t="shared" si="4"/>
        <v>706.6954536</v>
      </c>
      <c r="I75" s="32">
        <f t="shared" si="5"/>
        <v>67.11810152</v>
      </c>
      <c r="J75" s="32">
        <f t="shared" si="6"/>
        <v>639.5773521</v>
      </c>
      <c r="K75" s="32">
        <f t="shared" si="7"/>
        <v>15468.76701</v>
      </c>
      <c r="L75" s="33">
        <f t="shared" si="1"/>
        <v>0.1933595877</v>
      </c>
      <c r="M75" s="32">
        <f t="shared" si="8"/>
        <v>8577.189682</v>
      </c>
      <c r="N75" s="35">
        <f t="shared" si="9"/>
        <v>34531.23299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7">
        <v>62.0</v>
      </c>
      <c r="F76" s="34">
        <f t="shared" si="2"/>
        <v>45351</v>
      </c>
      <c r="G76" s="32">
        <f t="shared" si="3"/>
        <v>15468.76701</v>
      </c>
      <c r="H76" s="32">
        <f t="shared" si="4"/>
        <v>706.6954536</v>
      </c>
      <c r="I76" s="32">
        <f t="shared" si="5"/>
        <v>64.45319589</v>
      </c>
      <c r="J76" s="32">
        <f t="shared" si="6"/>
        <v>642.2422577</v>
      </c>
      <c r="K76" s="32">
        <f t="shared" si="7"/>
        <v>14826.52475</v>
      </c>
      <c r="L76" s="33">
        <f t="shared" si="1"/>
        <v>0.1853315594</v>
      </c>
      <c r="M76" s="32">
        <f t="shared" si="8"/>
        <v>8641.642878</v>
      </c>
      <c r="N76" s="35">
        <f t="shared" si="9"/>
        <v>35173.47525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7">
        <v>63.0</v>
      </c>
      <c r="F77" s="34">
        <f t="shared" si="2"/>
        <v>45382</v>
      </c>
      <c r="G77" s="32">
        <f t="shared" si="3"/>
        <v>14826.52475</v>
      </c>
      <c r="H77" s="32">
        <f t="shared" si="4"/>
        <v>706.6954536</v>
      </c>
      <c r="I77" s="32">
        <f t="shared" si="5"/>
        <v>61.77718648</v>
      </c>
      <c r="J77" s="32">
        <f t="shared" si="6"/>
        <v>644.9182671</v>
      </c>
      <c r="K77" s="32">
        <f t="shared" si="7"/>
        <v>14181.60649</v>
      </c>
      <c r="L77" s="33">
        <f t="shared" si="1"/>
        <v>0.1772700811</v>
      </c>
      <c r="M77" s="32">
        <f t="shared" si="8"/>
        <v>8703.420064</v>
      </c>
      <c r="N77" s="35">
        <f t="shared" si="9"/>
        <v>35818.39351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7">
        <v>64.0</v>
      </c>
      <c r="F78" s="34">
        <f t="shared" si="2"/>
        <v>45412</v>
      </c>
      <c r="G78" s="32">
        <f t="shared" si="3"/>
        <v>14181.60649</v>
      </c>
      <c r="H78" s="32">
        <f t="shared" si="4"/>
        <v>706.6954536</v>
      </c>
      <c r="I78" s="32">
        <f t="shared" si="5"/>
        <v>59.09002703</v>
      </c>
      <c r="J78" s="32">
        <f t="shared" si="6"/>
        <v>647.6054266</v>
      </c>
      <c r="K78" s="32">
        <f t="shared" si="7"/>
        <v>13534.00106</v>
      </c>
      <c r="L78" s="33">
        <f t="shared" si="1"/>
        <v>0.1691750133</v>
      </c>
      <c r="M78" s="32">
        <f t="shared" si="8"/>
        <v>8762.510091</v>
      </c>
      <c r="N78" s="35">
        <f t="shared" si="9"/>
        <v>36465.99894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7">
        <v>65.0</v>
      </c>
      <c r="F79" s="34">
        <f t="shared" si="2"/>
        <v>45443</v>
      </c>
      <c r="G79" s="32">
        <f t="shared" si="3"/>
        <v>13534.00106</v>
      </c>
      <c r="H79" s="32">
        <f t="shared" si="4"/>
        <v>706.6954536</v>
      </c>
      <c r="I79" s="32">
        <f t="shared" si="5"/>
        <v>56.39167109</v>
      </c>
      <c r="J79" s="32">
        <f t="shared" si="6"/>
        <v>650.3037825</v>
      </c>
      <c r="K79" s="32">
        <f t="shared" si="7"/>
        <v>12883.69728</v>
      </c>
      <c r="L79" s="33">
        <f t="shared" si="1"/>
        <v>0.161046216</v>
      </c>
      <c r="M79" s="32">
        <f t="shared" si="8"/>
        <v>8818.901762</v>
      </c>
      <c r="N79" s="35">
        <f t="shared" si="9"/>
        <v>37116.30272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7">
        <v>66.0</v>
      </c>
      <c r="F80" s="34">
        <f t="shared" si="2"/>
        <v>45473</v>
      </c>
      <c r="G80" s="32">
        <f t="shared" si="3"/>
        <v>12883.69728</v>
      </c>
      <c r="H80" s="32">
        <f t="shared" si="4"/>
        <v>706.6954536</v>
      </c>
      <c r="I80" s="32">
        <f t="shared" si="5"/>
        <v>53.68207199</v>
      </c>
      <c r="J80" s="32">
        <f t="shared" si="6"/>
        <v>653.0133816</v>
      </c>
      <c r="K80" s="32">
        <f t="shared" si="7"/>
        <v>12230.6839</v>
      </c>
      <c r="L80" s="33">
        <f t="shared" si="1"/>
        <v>0.1528835487</v>
      </c>
      <c r="M80" s="32">
        <f t="shared" si="8"/>
        <v>8872.583834</v>
      </c>
      <c r="N80" s="35">
        <f t="shared" si="9"/>
        <v>37769.3161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7">
        <v>67.0</v>
      </c>
      <c r="F81" s="34">
        <f t="shared" si="2"/>
        <v>45504</v>
      </c>
      <c r="G81" s="32">
        <f t="shared" si="3"/>
        <v>12230.6839</v>
      </c>
      <c r="H81" s="32">
        <f t="shared" si="4"/>
        <v>706.6954536</v>
      </c>
      <c r="I81" s="32">
        <f t="shared" si="5"/>
        <v>50.9611829</v>
      </c>
      <c r="J81" s="32">
        <f t="shared" si="6"/>
        <v>655.7342707</v>
      </c>
      <c r="K81" s="32">
        <f t="shared" si="7"/>
        <v>11574.94963</v>
      </c>
      <c r="L81" s="33">
        <f t="shared" si="1"/>
        <v>0.1446868703</v>
      </c>
      <c r="M81" s="32">
        <f t="shared" si="8"/>
        <v>8923.545017</v>
      </c>
      <c r="N81" s="35">
        <f t="shared" si="9"/>
        <v>38425.05037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7">
        <v>68.0</v>
      </c>
      <c r="F82" s="34">
        <f t="shared" si="2"/>
        <v>45535</v>
      </c>
      <c r="G82" s="32">
        <f t="shared" si="3"/>
        <v>11574.94963</v>
      </c>
      <c r="H82" s="32">
        <f t="shared" si="4"/>
        <v>706.6954536</v>
      </c>
      <c r="I82" s="32">
        <f t="shared" si="5"/>
        <v>48.22895678</v>
      </c>
      <c r="J82" s="32">
        <f t="shared" si="6"/>
        <v>658.4664968</v>
      </c>
      <c r="K82" s="32">
        <f t="shared" si="7"/>
        <v>10916.48313</v>
      </c>
      <c r="L82" s="33">
        <f t="shared" si="1"/>
        <v>0.1364560391</v>
      </c>
      <c r="M82" s="32">
        <f t="shared" si="8"/>
        <v>8971.773974</v>
      </c>
      <c r="N82" s="35">
        <f t="shared" si="9"/>
        <v>39083.51687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7">
        <v>69.0</v>
      </c>
      <c r="F83" s="34">
        <f t="shared" si="2"/>
        <v>45565</v>
      </c>
      <c r="G83" s="32">
        <f t="shared" si="3"/>
        <v>10916.48313</v>
      </c>
      <c r="H83" s="32">
        <f t="shared" si="4"/>
        <v>706.6954536</v>
      </c>
      <c r="I83" s="32">
        <f t="shared" si="5"/>
        <v>45.48534637</v>
      </c>
      <c r="J83" s="32">
        <f t="shared" si="6"/>
        <v>661.2101072</v>
      </c>
      <c r="K83" s="32">
        <f t="shared" si="7"/>
        <v>10255.27302</v>
      </c>
      <c r="L83" s="33">
        <f t="shared" si="1"/>
        <v>0.1281909128</v>
      </c>
      <c r="M83" s="32">
        <f t="shared" si="8"/>
        <v>9017.25932</v>
      </c>
      <c r="N83" s="35">
        <f t="shared" si="9"/>
        <v>39744.72698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7">
        <v>70.0</v>
      </c>
      <c r="F84" s="34">
        <f t="shared" si="2"/>
        <v>45596</v>
      </c>
      <c r="G84" s="32">
        <f t="shared" si="3"/>
        <v>10255.27302</v>
      </c>
      <c r="H84" s="32">
        <f t="shared" si="4"/>
        <v>706.6954536</v>
      </c>
      <c r="I84" s="32">
        <f t="shared" si="5"/>
        <v>42.73030426</v>
      </c>
      <c r="J84" s="32">
        <f t="shared" si="6"/>
        <v>663.9651493</v>
      </c>
      <c r="K84" s="32">
        <f t="shared" si="7"/>
        <v>9591.307873</v>
      </c>
      <c r="L84" s="33">
        <f t="shared" si="1"/>
        <v>0.1198913484</v>
      </c>
      <c r="M84" s="32">
        <f t="shared" si="8"/>
        <v>9059.989625</v>
      </c>
      <c r="N84" s="35">
        <f t="shared" si="9"/>
        <v>40408.69213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7">
        <v>71.0</v>
      </c>
      <c r="F85" s="34">
        <f t="shared" si="2"/>
        <v>45626</v>
      </c>
      <c r="G85" s="32">
        <f t="shared" si="3"/>
        <v>9591.307873</v>
      </c>
      <c r="H85" s="32">
        <f t="shared" si="4"/>
        <v>706.6954536</v>
      </c>
      <c r="I85" s="32">
        <f t="shared" si="5"/>
        <v>39.9637828</v>
      </c>
      <c r="J85" s="32">
        <f t="shared" si="6"/>
        <v>666.7316708</v>
      </c>
      <c r="K85" s="32">
        <f t="shared" si="7"/>
        <v>8924.576202</v>
      </c>
      <c r="L85" s="33">
        <f t="shared" si="1"/>
        <v>0.1115572025</v>
      </c>
      <c r="M85" s="32">
        <f t="shared" si="8"/>
        <v>9099.953408</v>
      </c>
      <c r="N85" s="35">
        <f t="shared" si="9"/>
        <v>41075.4238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7">
        <v>72.0</v>
      </c>
      <c r="F86" s="34">
        <f t="shared" si="2"/>
        <v>45657</v>
      </c>
      <c r="G86" s="32">
        <f t="shared" si="3"/>
        <v>8924.576202</v>
      </c>
      <c r="H86" s="32">
        <f t="shared" si="4"/>
        <v>706.6954536</v>
      </c>
      <c r="I86" s="32">
        <f t="shared" si="5"/>
        <v>37.18573418</v>
      </c>
      <c r="J86" s="32">
        <f t="shared" si="6"/>
        <v>669.5097194</v>
      </c>
      <c r="K86" s="32">
        <f t="shared" si="7"/>
        <v>8255.066483</v>
      </c>
      <c r="L86" s="33">
        <f t="shared" si="1"/>
        <v>0.103188331</v>
      </c>
      <c r="M86" s="32">
        <f t="shared" si="8"/>
        <v>9137.139142</v>
      </c>
      <c r="N86" s="35">
        <f t="shared" si="9"/>
        <v>41744.93352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7">
        <v>73.0</v>
      </c>
      <c r="F87" s="34">
        <f t="shared" si="2"/>
        <v>45688</v>
      </c>
      <c r="G87" s="32">
        <f t="shared" si="3"/>
        <v>8255.066483</v>
      </c>
      <c r="H87" s="32">
        <f t="shared" si="4"/>
        <v>706.6954536</v>
      </c>
      <c r="I87" s="32">
        <f t="shared" si="5"/>
        <v>34.39611035</v>
      </c>
      <c r="J87" s="32">
        <f t="shared" si="6"/>
        <v>672.2993433</v>
      </c>
      <c r="K87" s="32">
        <f t="shared" si="7"/>
        <v>7582.76714</v>
      </c>
      <c r="L87" s="33">
        <f t="shared" si="1"/>
        <v>0.09478458925</v>
      </c>
      <c r="M87" s="32">
        <f t="shared" si="8"/>
        <v>9171.535252</v>
      </c>
      <c r="N87" s="35">
        <f t="shared" si="9"/>
        <v>42417.23286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7">
        <v>74.0</v>
      </c>
      <c r="F88" s="34">
        <f t="shared" si="2"/>
        <v>45716</v>
      </c>
      <c r="G88" s="32">
        <f t="shared" si="3"/>
        <v>7582.76714</v>
      </c>
      <c r="H88" s="32">
        <f t="shared" si="4"/>
        <v>706.6954536</v>
      </c>
      <c r="I88" s="32">
        <f t="shared" si="5"/>
        <v>31.59486308</v>
      </c>
      <c r="J88" s="32">
        <f t="shared" si="6"/>
        <v>675.1005905</v>
      </c>
      <c r="K88" s="32">
        <f t="shared" si="7"/>
        <v>6907.666549</v>
      </c>
      <c r="L88" s="33">
        <f t="shared" si="1"/>
        <v>0.08634583186</v>
      </c>
      <c r="M88" s="32">
        <f t="shared" si="8"/>
        <v>9203.130115</v>
      </c>
      <c r="N88" s="35">
        <f t="shared" si="9"/>
        <v>43092.33345</v>
      </c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7">
        <v>75.0</v>
      </c>
      <c r="F89" s="34">
        <f t="shared" si="2"/>
        <v>45747</v>
      </c>
      <c r="G89" s="32">
        <f t="shared" si="3"/>
        <v>6907.666549</v>
      </c>
      <c r="H89" s="32">
        <f t="shared" si="4"/>
        <v>706.6954536</v>
      </c>
      <c r="I89" s="32">
        <f t="shared" si="5"/>
        <v>28.78194395</v>
      </c>
      <c r="J89" s="32">
        <f t="shared" si="6"/>
        <v>677.9135096</v>
      </c>
      <c r="K89" s="32">
        <f t="shared" si="7"/>
        <v>6229.753039</v>
      </c>
      <c r="L89" s="33">
        <f t="shared" si="1"/>
        <v>0.07787191299</v>
      </c>
      <c r="M89" s="32">
        <f t="shared" si="8"/>
        <v>9231.912059</v>
      </c>
      <c r="N89" s="35">
        <f t="shared" si="9"/>
        <v>43770.24696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7">
        <v>76.0</v>
      </c>
      <c r="F90" s="34">
        <f t="shared" si="2"/>
        <v>45777</v>
      </c>
      <c r="G90" s="32">
        <f t="shared" si="3"/>
        <v>6229.753039</v>
      </c>
      <c r="H90" s="32">
        <f t="shared" si="4"/>
        <v>706.6954536</v>
      </c>
      <c r="I90" s="32">
        <f t="shared" si="5"/>
        <v>25.95730433</v>
      </c>
      <c r="J90" s="32">
        <f t="shared" si="6"/>
        <v>680.7381493</v>
      </c>
      <c r="K90" s="32">
        <f t="shared" si="7"/>
        <v>5549.01489</v>
      </c>
      <c r="L90" s="33">
        <f t="shared" si="1"/>
        <v>0.06936268613</v>
      </c>
      <c r="M90" s="32">
        <f t="shared" si="8"/>
        <v>9257.869363</v>
      </c>
      <c r="N90" s="35">
        <f t="shared" si="9"/>
        <v>44450.98511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7">
        <v>77.0</v>
      </c>
      <c r="F91" s="34">
        <f t="shared" si="2"/>
        <v>45808</v>
      </c>
      <c r="G91" s="32">
        <f t="shared" si="3"/>
        <v>5549.01489</v>
      </c>
      <c r="H91" s="32">
        <f t="shared" si="4"/>
        <v>706.6954536</v>
      </c>
      <c r="I91" s="32">
        <f t="shared" si="5"/>
        <v>23.12089538</v>
      </c>
      <c r="J91" s="32">
        <f t="shared" si="6"/>
        <v>683.5745582</v>
      </c>
      <c r="K91" s="32">
        <f t="shared" si="7"/>
        <v>4865.440332</v>
      </c>
      <c r="L91" s="33">
        <f t="shared" si="1"/>
        <v>0.06081800415</v>
      </c>
      <c r="M91" s="32">
        <f t="shared" si="8"/>
        <v>9280.990259</v>
      </c>
      <c r="N91" s="35">
        <f t="shared" si="9"/>
        <v>45134.55967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7">
        <v>78.0</v>
      </c>
      <c r="F92" s="34">
        <f t="shared" si="2"/>
        <v>45838</v>
      </c>
      <c r="G92" s="32">
        <f t="shared" si="3"/>
        <v>4865.440332</v>
      </c>
      <c r="H92" s="32">
        <f t="shared" si="4"/>
        <v>706.6954536</v>
      </c>
      <c r="I92" s="32">
        <f t="shared" si="5"/>
        <v>20.27266805</v>
      </c>
      <c r="J92" s="32">
        <f t="shared" si="6"/>
        <v>686.4227855</v>
      </c>
      <c r="K92" s="32">
        <f t="shared" si="7"/>
        <v>4179.017546</v>
      </c>
      <c r="L92" s="33">
        <f t="shared" si="1"/>
        <v>0.05223771933</v>
      </c>
      <c r="M92" s="32">
        <f t="shared" si="8"/>
        <v>9301.262927</v>
      </c>
      <c r="N92" s="35">
        <f t="shared" si="9"/>
        <v>45820.98245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7">
        <v>79.0</v>
      </c>
      <c r="F93" s="34">
        <f t="shared" si="2"/>
        <v>45869</v>
      </c>
      <c r="G93" s="32">
        <f t="shared" si="3"/>
        <v>4179.017546</v>
      </c>
      <c r="H93" s="32">
        <f t="shared" si="4"/>
        <v>706.6954536</v>
      </c>
      <c r="I93" s="32">
        <f t="shared" si="5"/>
        <v>17.41257311</v>
      </c>
      <c r="J93" s="32">
        <f t="shared" si="6"/>
        <v>689.2828805</v>
      </c>
      <c r="K93" s="32">
        <f t="shared" si="7"/>
        <v>3489.734666</v>
      </c>
      <c r="L93" s="33">
        <f t="shared" si="1"/>
        <v>0.04362168332</v>
      </c>
      <c r="M93" s="32">
        <f t="shared" si="8"/>
        <v>9318.6755</v>
      </c>
      <c r="N93" s="35">
        <f t="shared" si="9"/>
        <v>46510.26533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7">
        <v>80.0</v>
      </c>
      <c r="F94" s="34">
        <f t="shared" si="2"/>
        <v>45900</v>
      </c>
      <c r="G94" s="32">
        <f t="shared" si="3"/>
        <v>3489.734666</v>
      </c>
      <c r="H94" s="32">
        <f t="shared" si="4"/>
        <v>706.6954536</v>
      </c>
      <c r="I94" s="32">
        <f t="shared" si="5"/>
        <v>14.54056111</v>
      </c>
      <c r="J94" s="32">
        <f t="shared" si="6"/>
        <v>692.1548925</v>
      </c>
      <c r="K94" s="32">
        <f t="shared" si="7"/>
        <v>2797.579773</v>
      </c>
      <c r="L94" s="33">
        <f t="shared" si="1"/>
        <v>0.03496974717</v>
      </c>
      <c r="M94" s="32">
        <f t="shared" si="8"/>
        <v>9333.216061</v>
      </c>
      <c r="N94" s="35">
        <f t="shared" si="9"/>
        <v>47202.42023</v>
      </c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7">
        <v>81.0</v>
      </c>
      <c r="F95" s="34">
        <f t="shared" si="2"/>
        <v>45930</v>
      </c>
      <c r="G95" s="32">
        <f t="shared" si="3"/>
        <v>2797.579773</v>
      </c>
      <c r="H95" s="32">
        <f t="shared" si="4"/>
        <v>706.6954536</v>
      </c>
      <c r="I95" s="32">
        <f t="shared" si="5"/>
        <v>11.65658239</v>
      </c>
      <c r="J95" s="32">
        <f t="shared" si="6"/>
        <v>695.0388712</v>
      </c>
      <c r="K95" s="32">
        <f t="shared" si="7"/>
        <v>2102.540902</v>
      </c>
      <c r="L95" s="33">
        <f t="shared" si="1"/>
        <v>0.02628176128</v>
      </c>
      <c r="M95" s="32">
        <f t="shared" si="8"/>
        <v>9344.872643</v>
      </c>
      <c r="N95" s="35">
        <f t="shared" si="9"/>
        <v>47897.4591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7">
        <v>82.0</v>
      </c>
      <c r="F96" s="34">
        <f t="shared" si="2"/>
        <v>45961</v>
      </c>
      <c r="G96" s="32">
        <f t="shared" si="3"/>
        <v>2102.540902</v>
      </c>
      <c r="H96" s="32">
        <f t="shared" si="4"/>
        <v>706.6954536</v>
      </c>
      <c r="I96" s="32">
        <f t="shared" si="5"/>
        <v>8.760587093</v>
      </c>
      <c r="J96" s="32">
        <f t="shared" si="6"/>
        <v>697.9348665</v>
      </c>
      <c r="K96" s="32">
        <f t="shared" si="7"/>
        <v>1404.606036</v>
      </c>
      <c r="L96" s="33">
        <f t="shared" si="1"/>
        <v>0.01755757545</v>
      </c>
      <c r="M96" s="32">
        <f t="shared" si="8"/>
        <v>9353.633231</v>
      </c>
      <c r="N96" s="35">
        <f t="shared" si="9"/>
        <v>48595.39396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7">
        <v>83.0</v>
      </c>
      <c r="F97" s="34">
        <f t="shared" si="2"/>
        <v>45991</v>
      </c>
      <c r="G97" s="32">
        <f t="shared" si="3"/>
        <v>1404.606036</v>
      </c>
      <c r="H97" s="32">
        <f t="shared" si="4"/>
        <v>706.6954536</v>
      </c>
      <c r="I97" s="32">
        <f t="shared" si="5"/>
        <v>5.852525149</v>
      </c>
      <c r="J97" s="32">
        <f t="shared" si="6"/>
        <v>700.8429284</v>
      </c>
      <c r="K97" s="32">
        <f t="shared" si="7"/>
        <v>703.7631073</v>
      </c>
      <c r="L97" s="33">
        <f t="shared" si="1"/>
        <v>0.008797038841</v>
      </c>
      <c r="M97" s="32">
        <f t="shared" si="8"/>
        <v>9359.485756</v>
      </c>
      <c r="N97" s="35">
        <f t="shared" si="9"/>
        <v>49296.23689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7">
        <v>84.0</v>
      </c>
      <c r="F98" s="34">
        <f t="shared" si="2"/>
        <v>46022</v>
      </c>
      <c r="G98" s="32">
        <f t="shared" si="3"/>
        <v>703.7631073</v>
      </c>
      <c r="H98" s="32">
        <f t="shared" si="4"/>
        <v>706.6954536</v>
      </c>
      <c r="I98" s="32">
        <f t="shared" si="5"/>
        <v>2.93234628</v>
      </c>
      <c r="J98" s="32">
        <f t="shared" si="6"/>
        <v>703.7631073</v>
      </c>
      <c r="K98" s="32">
        <f t="shared" si="7"/>
        <v>-0.0000000001668922778</v>
      </c>
      <c r="L98" s="33">
        <f t="shared" si="1"/>
        <v>0</v>
      </c>
      <c r="M98" s="32">
        <f t="shared" si="8"/>
        <v>9362.418102</v>
      </c>
      <c r="N98" s="35">
        <f t="shared" si="9"/>
        <v>50000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7">
        <v>85.0</v>
      </c>
      <c r="F99" s="34">
        <f t="shared" si="2"/>
        <v>46053</v>
      </c>
      <c r="G99" s="32">
        <f t="shared" si="3"/>
        <v>-0.0000000001668922778</v>
      </c>
      <c r="H99" s="32">
        <f t="shared" si="4"/>
        <v>706.6954536</v>
      </c>
      <c r="I99" s="32" t="str">
        <f t="shared" si="5"/>
        <v>#NUM!</v>
      </c>
      <c r="J99" s="32" t="str">
        <f t="shared" si="6"/>
        <v>#NUM!</v>
      </c>
      <c r="K99" s="32" t="str">
        <f t="shared" si="7"/>
        <v>#NUM!</v>
      </c>
      <c r="L99" s="33" t="str">
        <f t="shared" si="1"/>
        <v>#NUM!</v>
      </c>
      <c r="M99" s="32" t="str">
        <f t="shared" si="8"/>
        <v>#NUM!</v>
      </c>
      <c r="N99" s="36" t="str">
        <f t="shared" si="9"/>
        <v>#NUM!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7">
        <v>86.0</v>
      </c>
      <c r="F100" s="34">
        <f t="shared" si="2"/>
        <v>46081</v>
      </c>
      <c r="G100" s="32" t="str">
        <f t="shared" si="3"/>
        <v>#NUM!</v>
      </c>
      <c r="H100" s="32">
        <f t="shared" si="4"/>
        <v>706.6954536</v>
      </c>
      <c r="I100" s="32" t="str">
        <f t="shared" si="5"/>
        <v>#NUM!</v>
      </c>
      <c r="J100" s="32" t="str">
        <f t="shared" si="6"/>
        <v>#NUM!</v>
      </c>
      <c r="K100" s="32" t="str">
        <f t="shared" si="7"/>
        <v>#NUM!</v>
      </c>
      <c r="L100" s="33" t="str">
        <f t="shared" si="1"/>
        <v>#NUM!</v>
      </c>
      <c r="M100" s="32" t="str">
        <f t="shared" si="8"/>
        <v>#NUM!</v>
      </c>
      <c r="N100" s="36" t="str">
        <f t="shared" si="9"/>
        <v>#NUM!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7">
        <v>87.0</v>
      </c>
      <c r="F101" s="34">
        <f t="shared" si="2"/>
        <v>46112</v>
      </c>
      <c r="G101" s="32" t="str">
        <f t="shared" si="3"/>
        <v>#NUM!</v>
      </c>
      <c r="H101" s="32">
        <f t="shared" si="4"/>
        <v>706.6954536</v>
      </c>
      <c r="I101" s="32" t="str">
        <f t="shared" si="5"/>
        <v>#NUM!</v>
      </c>
      <c r="J101" s="32" t="str">
        <f t="shared" si="6"/>
        <v>#NUM!</v>
      </c>
      <c r="K101" s="32" t="str">
        <f t="shared" si="7"/>
        <v>#NUM!</v>
      </c>
      <c r="L101" s="33" t="str">
        <f t="shared" si="1"/>
        <v>#NUM!</v>
      </c>
      <c r="M101" s="32" t="str">
        <f t="shared" si="8"/>
        <v>#NUM!</v>
      </c>
      <c r="N101" s="36" t="str">
        <f t="shared" si="9"/>
        <v>#NUM!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7">
        <v>88.0</v>
      </c>
      <c r="F102" s="34">
        <f t="shared" si="2"/>
        <v>46142</v>
      </c>
      <c r="G102" s="32" t="str">
        <f t="shared" si="3"/>
        <v>#NUM!</v>
      </c>
      <c r="H102" s="32">
        <f t="shared" si="4"/>
        <v>706.6954536</v>
      </c>
      <c r="I102" s="32" t="str">
        <f t="shared" si="5"/>
        <v>#NUM!</v>
      </c>
      <c r="J102" s="32" t="str">
        <f t="shared" si="6"/>
        <v>#NUM!</v>
      </c>
      <c r="K102" s="32" t="str">
        <f t="shared" si="7"/>
        <v>#NUM!</v>
      </c>
      <c r="L102" s="33" t="str">
        <f t="shared" si="1"/>
        <v>#NUM!</v>
      </c>
      <c r="M102" s="32" t="str">
        <f t="shared" si="8"/>
        <v>#NUM!</v>
      </c>
      <c r="N102" s="36" t="str">
        <f t="shared" si="9"/>
        <v>#NUM!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7">
        <v>89.0</v>
      </c>
      <c r="F103" s="34">
        <f t="shared" si="2"/>
        <v>46173</v>
      </c>
      <c r="G103" s="32" t="str">
        <f t="shared" si="3"/>
        <v>#NUM!</v>
      </c>
      <c r="H103" s="32">
        <f t="shared" si="4"/>
        <v>706.6954536</v>
      </c>
      <c r="I103" s="32" t="str">
        <f t="shared" si="5"/>
        <v>#NUM!</v>
      </c>
      <c r="J103" s="32" t="str">
        <f t="shared" si="6"/>
        <v>#NUM!</v>
      </c>
      <c r="K103" s="32" t="str">
        <f t="shared" si="7"/>
        <v>#NUM!</v>
      </c>
      <c r="L103" s="33" t="str">
        <f t="shared" si="1"/>
        <v>#NUM!</v>
      </c>
      <c r="M103" s="32" t="str">
        <f t="shared" si="8"/>
        <v>#NUM!</v>
      </c>
      <c r="N103" s="36" t="str">
        <f t="shared" si="9"/>
        <v>#NUM!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7">
        <v>90.0</v>
      </c>
      <c r="F104" s="34">
        <f t="shared" si="2"/>
        <v>46203</v>
      </c>
      <c r="G104" s="32" t="str">
        <f t="shared" si="3"/>
        <v>#NUM!</v>
      </c>
      <c r="H104" s="32">
        <f t="shared" si="4"/>
        <v>706.6954536</v>
      </c>
      <c r="I104" s="32" t="str">
        <f t="shared" si="5"/>
        <v>#NUM!</v>
      </c>
      <c r="J104" s="32" t="str">
        <f t="shared" si="6"/>
        <v>#NUM!</v>
      </c>
      <c r="K104" s="32" t="str">
        <f t="shared" si="7"/>
        <v>#NUM!</v>
      </c>
      <c r="L104" s="33" t="str">
        <f t="shared" si="1"/>
        <v>#NUM!</v>
      </c>
      <c r="M104" s="32" t="str">
        <f t="shared" si="8"/>
        <v>#NUM!</v>
      </c>
      <c r="N104" s="36" t="str">
        <f t="shared" si="9"/>
        <v>#NUM!</v>
      </c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7">
        <v>91.0</v>
      </c>
      <c r="F105" s="34">
        <f t="shared" si="2"/>
        <v>46234</v>
      </c>
      <c r="G105" s="32" t="str">
        <f t="shared" si="3"/>
        <v>#NUM!</v>
      </c>
      <c r="H105" s="32">
        <f t="shared" si="4"/>
        <v>706.6954536</v>
      </c>
      <c r="I105" s="32" t="str">
        <f t="shared" si="5"/>
        <v>#NUM!</v>
      </c>
      <c r="J105" s="32" t="str">
        <f t="shared" si="6"/>
        <v>#NUM!</v>
      </c>
      <c r="K105" s="32" t="str">
        <f t="shared" si="7"/>
        <v>#NUM!</v>
      </c>
      <c r="L105" s="33" t="str">
        <f t="shared" si="1"/>
        <v>#NUM!</v>
      </c>
      <c r="M105" s="32" t="str">
        <f t="shared" si="8"/>
        <v>#NUM!</v>
      </c>
      <c r="N105" s="36" t="str">
        <f t="shared" si="9"/>
        <v>#NUM!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7">
        <v>92.0</v>
      </c>
      <c r="F106" s="34">
        <f t="shared" si="2"/>
        <v>46265</v>
      </c>
      <c r="G106" s="32" t="str">
        <f t="shared" si="3"/>
        <v>#NUM!</v>
      </c>
      <c r="H106" s="32">
        <f t="shared" si="4"/>
        <v>706.6954536</v>
      </c>
      <c r="I106" s="32" t="str">
        <f t="shared" si="5"/>
        <v>#NUM!</v>
      </c>
      <c r="J106" s="32" t="str">
        <f t="shared" si="6"/>
        <v>#NUM!</v>
      </c>
      <c r="K106" s="32" t="str">
        <f t="shared" si="7"/>
        <v>#NUM!</v>
      </c>
      <c r="L106" s="33" t="str">
        <f t="shared" si="1"/>
        <v>#NUM!</v>
      </c>
      <c r="M106" s="32" t="str">
        <f t="shared" si="8"/>
        <v>#NUM!</v>
      </c>
      <c r="N106" s="36" t="str">
        <f t="shared" si="9"/>
        <v>#NUM!</v>
      </c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7">
        <v>93.0</v>
      </c>
      <c r="F107" s="34">
        <f t="shared" si="2"/>
        <v>46295</v>
      </c>
      <c r="G107" s="32" t="str">
        <f t="shared" si="3"/>
        <v>#NUM!</v>
      </c>
      <c r="H107" s="32">
        <f t="shared" si="4"/>
        <v>706.6954536</v>
      </c>
      <c r="I107" s="32" t="str">
        <f t="shared" si="5"/>
        <v>#NUM!</v>
      </c>
      <c r="J107" s="32" t="str">
        <f t="shared" si="6"/>
        <v>#NUM!</v>
      </c>
      <c r="K107" s="32" t="str">
        <f t="shared" si="7"/>
        <v>#NUM!</v>
      </c>
      <c r="L107" s="33" t="str">
        <f t="shared" si="1"/>
        <v>#NUM!</v>
      </c>
      <c r="M107" s="32" t="str">
        <f t="shared" si="8"/>
        <v>#NUM!</v>
      </c>
      <c r="N107" s="36" t="str">
        <f t="shared" si="9"/>
        <v>#NUM!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7">
        <v>94.0</v>
      </c>
      <c r="F108" s="34">
        <f t="shared" si="2"/>
        <v>46326</v>
      </c>
      <c r="G108" s="32" t="str">
        <f t="shared" si="3"/>
        <v>#NUM!</v>
      </c>
      <c r="H108" s="32">
        <f t="shared" si="4"/>
        <v>706.6954536</v>
      </c>
      <c r="I108" s="32" t="str">
        <f t="shared" si="5"/>
        <v>#NUM!</v>
      </c>
      <c r="J108" s="32" t="str">
        <f t="shared" si="6"/>
        <v>#NUM!</v>
      </c>
      <c r="K108" s="32" t="str">
        <f t="shared" si="7"/>
        <v>#NUM!</v>
      </c>
      <c r="L108" s="33" t="str">
        <f t="shared" si="1"/>
        <v>#NUM!</v>
      </c>
      <c r="M108" s="32" t="str">
        <f t="shared" si="8"/>
        <v>#NUM!</v>
      </c>
      <c r="N108" s="36" t="str">
        <f t="shared" si="9"/>
        <v>#NUM!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7">
        <v>95.0</v>
      </c>
      <c r="F109" s="34">
        <f t="shared" si="2"/>
        <v>46356</v>
      </c>
      <c r="G109" s="32" t="str">
        <f t="shared" si="3"/>
        <v>#NUM!</v>
      </c>
      <c r="H109" s="32">
        <f t="shared" si="4"/>
        <v>706.6954536</v>
      </c>
      <c r="I109" s="32" t="str">
        <f t="shared" si="5"/>
        <v>#NUM!</v>
      </c>
      <c r="J109" s="32" t="str">
        <f t="shared" si="6"/>
        <v>#NUM!</v>
      </c>
      <c r="K109" s="32" t="str">
        <f t="shared" si="7"/>
        <v>#NUM!</v>
      </c>
      <c r="L109" s="33" t="str">
        <f t="shared" si="1"/>
        <v>#NUM!</v>
      </c>
      <c r="M109" s="32" t="str">
        <f t="shared" si="8"/>
        <v>#NUM!</v>
      </c>
      <c r="N109" s="36" t="str">
        <f t="shared" si="9"/>
        <v>#NUM!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7">
        <v>96.0</v>
      </c>
      <c r="F110" s="34">
        <f t="shared" si="2"/>
        <v>46387</v>
      </c>
      <c r="G110" s="32" t="str">
        <f t="shared" si="3"/>
        <v>#NUM!</v>
      </c>
      <c r="H110" s="32">
        <f t="shared" si="4"/>
        <v>706.6954536</v>
      </c>
      <c r="I110" s="32" t="str">
        <f t="shared" si="5"/>
        <v>#NUM!</v>
      </c>
      <c r="J110" s="32" t="str">
        <f t="shared" si="6"/>
        <v>#NUM!</v>
      </c>
      <c r="K110" s="32" t="str">
        <f t="shared" si="7"/>
        <v>#NUM!</v>
      </c>
      <c r="L110" s="33" t="str">
        <f t="shared" si="1"/>
        <v>#NUM!</v>
      </c>
      <c r="M110" s="32" t="str">
        <f t="shared" si="8"/>
        <v>#NUM!</v>
      </c>
      <c r="N110" s="36" t="str">
        <f t="shared" si="9"/>
        <v>#NUM!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7">
        <v>97.0</v>
      </c>
      <c r="F111" s="34">
        <f t="shared" si="2"/>
        <v>46418</v>
      </c>
      <c r="G111" s="32" t="str">
        <f t="shared" si="3"/>
        <v>#NUM!</v>
      </c>
      <c r="H111" s="32">
        <f t="shared" si="4"/>
        <v>706.6954536</v>
      </c>
      <c r="I111" s="32" t="str">
        <f t="shared" si="5"/>
        <v>#NUM!</v>
      </c>
      <c r="J111" s="32" t="str">
        <f t="shared" si="6"/>
        <v>#NUM!</v>
      </c>
      <c r="K111" s="32" t="str">
        <f t="shared" si="7"/>
        <v>#NUM!</v>
      </c>
      <c r="L111" s="33" t="str">
        <f t="shared" si="1"/>
        <v>#NUM!</v>
      </c>
      <c r="M111" s="32" t="str">
        <f t="shared" si="8"/>
        <v>#NUM!</v>
      </c>
      <c r="N111" s="36" t="str">
        <f t="shared" si="9"/>
        <v>#NUM!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7">
        <v>98.0</v>
      </c>
      <c r="F112" s="34">
        <f t="shared" si="2"/>
        <v>46446</v>
      </c>
      <c r="G112" s="32" t="str">
        <f t="shared" si="3"/>
        <v>#NUM!</v>
      </c>
      <c r="H112" s="32">
        <f t="shared" si="4"/>
        <v>706.6954536</v>
      </c>
      <c r="I112" s="32" t="str">
        <f t="shared" si="5"/>
        <v>#NUM!</v>
      </c>
      <c r="J112" s="32" t="str">
        <f t="shared" si="6"/>
        <v>#NUM!</v>
      </c>
      <c r="K112" s="32" t="str">
        <f t="shared" si="7"/>
        <v>#NUM!</v>
      </c>
      <c r="L112" s="33" t="str">
        <f t="shared" si="1"/>
        <v>#NUM!</v>
      </c>
      <c r="M112" s="32" t="str">
        <f t="shared" si="8"/>
        <v>#NUM!</v>
      </c>
      <c r="N112" s="36" t="str">
        <f t="shared" si="9"/>
        <v>#NUM!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7">
        <v>99.0</v>
      </c>
      <c r="F113" s="34">
        <f t="shared" si="2"/>
        <v>46477</v>
      </c>
      <c r="G113" s="32" t="str">
        <f t="shared" si="3"/>
        <v>#NUM!</v>
      </c>
      <c r="H113" s="32">
        <f t="shared" si="4"/>
        <v>706.6954536</v>
      </c>
      <c r="I113" s="32" t="str">
        <f t="shared" si="5"/>
        <v>#NUM!</v>
      </c>
      <c r="J113" s="32" t="str">
        <f t="shared" si="6"/>
        <v>#NUM!</v>
      </c>
      <c r="K113" s="32" t="str">
        <f t="shared" si="7"/>
        <v>#NUM!</v>
      </c>
      <c r="L113" s="33" t="str">
        <f t="shared" si="1"/>
        <v>#NUM!</v>
      </c>
      <c r="M113" s="32" t="str">
        <f t="shared" si="8"/>
        <v>#NUM!</v>
      </c>
      <c r="N113" s="36" t="str">
        <f t="shared" si="9"/>
        <v>#NUM!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7">
        <v>100.0</v>
      </c>
      <c r="F114" s="34">
        <f t="shared" si="2"/>
        <v>46507</v>
      </c>
      <c r="G114" s="32" t="str">
        <f t="shared" si="3"/>
        <v>#NUM!</v>
      </c>
      <c r="H114" s="32">
        <f t="shared" si="4"/>
        <v>706.6954536</v>
      </c>
      <c r="I114" s="32" t="str">
        <f t="shared" si="5"/>
        <v>#NUM!</v>
      </c>
      <c r="J114" s="32" t="str">
        <f t="shared" si="6"/>
        <v>#NUM!</v>
      </c>
      <c r="K114" s="32" t="str">
        <f t="shared" si="7"/>
        <v>#NUM!</v>
      </c>
      <c r="L114" s="33" t="str">
        <f t="shared" si="1"/>
        <v>#NUM!</v>
      </c>
      <c r="M114" s="32" t="str">
        <f t="shared" si="8"/>
        <v>#NUM!</v>
      </c>
      <c r="N114" s="36" t="str">
        <f t="shared" si="9"/>
        <v>#NUM!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7">
        <v>101.0</v>
      </c>
      <c r="F115" s="34">
        <f t="shared" si="2"/>
        <v>46538</v>
      </c>
      <c r="G115" s="32" t="str">
        <f t="shared" si="3"/>
        <v>#NUM!</v>
      </c>
      <c r="H115" s="32">
        <f t="shared" si="4"/>
        <v>706.6954536</v>
      </c>
      <c r="I115" s="32" t="str">
        <f t="shared" si="5"/>
        <v>#NUM!</v>
      </c>
      <c r="J115" s="32" t="str">
        <f t="shared" si="6"/>
        <v>#NUM!</v>
      </c>
      <c r="K115" s="32" t="str">
        <f t="shared" si="7"/>
        <v>#NUM!</v>
      </c>
      <c r="L115" s="33" t="str">
        <f t="shared" si="1"/>
        <v>#NUM!</v>
      </c>
      <c r="M115" s="32" t="str">
        <f t="shared" si="8"/>
        <v>#NUM!</v>
      </c>
      <c r="N115" s="36" t="str">
        <f t="shared" si="9"/>
        <v>#NUM!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7">
        <v>102.0</v>
      </c>
      <c r="F116" s="34">
        <f t="shared" si="2"/>
        <v>46568</v>
      </c>
      <c r="G116" s="32" t="str">
        <f t="shared" si="3"/>
        <v>#NUM!</v>
      </c>
      <c r="H116" s="32">
        <f t="shared" si="4"/>
        <v>706.6954536</v>
      </c>
      <c r="I116" s="32" t="str">
        <f t="shared" si="5"/>
        <v>#NUM!</v>
      </c>
      <c r="J116" s="32" t="str">
        <f t="shared" si="6"/>
        <v>#NUM!</v>
      </c>
      <c r="K116" s="32" t="str">
        <f t="shared" si="7"/>
        <v>#NUM!</v>
      </c>
      <c r="L116" s="33" t="str">
        <f t="shared" si="1"/>
        <v>#NUM!</v>
      </c>
      <c r="M116" s="32" t="str">
        <f t="shared" si="8"/>
        <v>#NUM!</v>
      </c>
      <c r="N116" s="36" t="str">
        <f t="shared" si="9"/>
        <v>#NUM!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7">
        <v>103.0</v>
      </c>
      <c r="F117" s="34">
        <f t="shared" si="2"/>
        <v>46599</v>
      </c>
      <c r="G117" s="32" t="str">
        <f t="shared" si="3"/>
        <v>#NUM!</v>
      </c>
      <c r="H117" s="32">
        <f t="shared" si="4"/>
        <v>706.6954536</v>
      </c>
      <c r="I117" s="32" t="str">
        <f t="shared" si="5"/>
        <v>#NUM!</v>
      </c>
      <c r="J117" s="32" t="str">
        <f t="shared" si="6"/>
        <v>#NUM!</v>
      </c>
      <c r="K117" s="32" t="str">
        <f t="shared" si="7"/>
        <v>#NUM!</v>
      </c>
      <c r="L117" s="33" t="str">
        <f t="shared" si="1"/>
        <v>#NUM!</v>
      </c>
      <c r="M117" s="32" t="str">
        <f t="shared" si="8"/>
        <v>#NUM!</v>
      </c>
      <c r="N117" s="36" t="str">
        <f t="shared" si="9"/>
        <v>#NUM!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7">
        <v>104.0</v>
      </c>
      <c r="F118" s="34">
        <f t="shared" si="2"/>
        <v>46630</v>
      </c>
      <c r="G118" s="32" t="str">
        <f t="shared" si="3"/>
        <v>#NUM!</v>
      </c>
      <c r="H118" s="32">
        <f t="shared" si="4"/>
        <v>706.6954536</v>
      </c>
      <c r="I118" s="32" t="str">
        <f t="shared" si="5"/>
        <v>#NUM!</v>
      </c>
      <c r="J118" s="32" t="str">
        <f t="shared" si="6"/>
        <v>#NUM!</v>
      </c>
      <c r="K118" s="32" t="str">
        <f t="shared" si="7"/>
        <v>#NUM!</v>
      </c>
      <c r="L118" s="33" t="str">
        <f t="shared" si="1"/>
        <v>#NUM!</v>
      </c>
      <c r="M118" s="32" t="str">
        <f t="shared" si="8"/>
        <v>#NUM!</v>
      </c>
      <c r="N118" s="36" t="str">
        <f t="shared" si="9"/>
        <v>#NUM!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7">
        <v>105.0</v>
      </c>
      <c r="F119" s="34">
        <f t="shared" si="2"/>
        <v>46660</v>
      </c>
      <c r="G119" s="32" t="str">
        <f t="shared" si="3"/>
        <v>#NUM!</v>
      </c>
      <c r="H119" s="32">
        <f t="shared" si="4"/>
        <v>706.6954536</v>
      </c>
      <c r="I119" s="32" t="str">
        <f t="shared" si="5"/>
        <v>#NUM!</v>
      </c>
      <c r="J119" s="32" t="str">
        <f t="shared" si="6"/>
        <v>#NUM!</v>
      </c>
      <c r="K119" s="32" t="str">
        <f t="shared" si="7"/>
        <v>#NUM!</v>
      </c>
      <c r="L119" s="33" t="str">
        <f t="shared" si="1"/>
        <v>#NUM!</v>
      </c>
      <c r="M119" s="32" t="str">
        <f t="shared" si="8"/>
        <v>#NUM!</v>
      </c>
      <c r="N119" s="36" t="str">
        <f t="shared" si="9"/>
        <v>#NUM!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7">
        <v>106.0</v>
      </c>
      <c r="F120" s="34">
        <f t="shared" si="2"/>
        <v>46691</v>
      </c>
      <c r="G120" s="32" t="str">
        <f t="shared" si="3"/>
        <v>#NUM!</v>
      </c>
      <c r="H120" s="32">
        <f t="shared" si="4"/>
        <v>706.6954536</v>
      </c>
      <c r="I120" s="32" t="str">
        <f t="shared" si="5"/>
        <v>#NUM!</v>
      </c>
      <c r="J120" s="32" t="str">
        <f t="shared" si="6"/>
        <v>#NUM!</v>
      </c>
      <c r="K120" s="32" t="str">
        <f t="shared" si="7"/>
        <v>#NUM!</v>
      </c>
      <c r="L120" s="33" t="str">
        <f t="shared" si="1"/>
        <v>#NUM!</v>
      </c>
      <c r="M120" s="32" t="str">
        <f t="shared" si="8"/>
        <v>#NUM!</v>
      </c>
      <c r="N120" s="36" t="str">
        <f t="shared" si="9"/>
        <v>#NUM!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7">
        <v>107.0</v>
      </c>
      <c r="F121" s="34">
        <f t="shared" si="2"/>
        <v>46721</v>
      </c>
      <c r="G121" s="32" t="str">
        <f t="shared" si="3"/>
        <v>#NUM!</v>
      </c>
      <c r="H121" s="32">
        <f t="shared" si="4"/>
        <v>706.6954536</v>
      </c>
      <c r="I121" s="32" t="str">
        <f t="shared" si="5"/>
        <v>#NUM!</v>
      </c>
      <c r="J121" s="32" t="str">
        <f t="shared" si="6"/>
        <v>#NUM!</v>
      </c>
      <c r="K121" s="32" t="str">
        <f t="shared" si="7"/>
        <v>#NUM!</v>
      </c>
      <c r="L121" s="33" t="str">
        <f t="shared" si="1"/>
        <v>#NUM!</v>
      </c>
      <c r="M121" s="32" t="str">
        <f t="shared" si="8"/>
        <v>#NUM!</v>
      </c>
      <c r="N121" s="36" t="str">
        <f t="shared" si="9"/>
        <v>#NUM!</v>
      </c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7">
        <v>108.0</v>
      </c>
      <c r="F122" s="34">
        <f t="shared" si="2"/>
        <v>46752</v>
      </c>
      <c r="G122" s="32" t="str">
        <f t="shared" si="3"/>
        <v>#NUM!</v>
      </c>
      <c r="H122" s="32">
        <f t="shared" si="4"/>
        <v>706.6954536</v>
      </c>
      <c r="I122" s="32" t="str">
        <f t="shared" si="5"/>
        <v>#NUM!</v>
      </c>
      <c r="J122" s="32" t="str">
        <f t="shared" si="6"/>
        <v>#NUM!</v>
      </c>
      <c r="K122" s="32" t="str">
        <f t="shared" si="7"/>
        <v>#NUM!</v>
      </c>
      <c r="L122" s="33" t="str">
        <f t="shared" si="1"/>
        <v>#NUM!</v>
      </c>
      <c r="M122" s="32" t="str">
        <f t="shared" si="8"/>
        <v>#NUM!</v>
      </c>
      <c r="N122" s="36" t="str">
        <f t="shared" si="9"/>
        <v>#NUM!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7">
        <v>109.0</v>
      </c>
      <c r="F123" s="34">
        <f t="shared" si="2"/>
        <v>46783</v>
      </c>
      <c r="G123" s="32" t="str">
        <f t="shared" si="3"/>
        <v>#NUM!</v>
      </c>
      <c r="H123" s="32">
        <f t="shared" si="4"/>
        <v>706.6954536</v>
      </c>
      <c r="I123" s="32" t="str">
        <f t="shared" si="5"/>
        <v>#NUM!</v>
      </c>
      <c r="J123" s="32" t="str">
        <f t="shared" si="6"/>
        <v>#NUM!</v>
      </c>
      <c r="K123" s="32" t="str">
        <f t="shared" si="7"/>
        <v>#NUM!</v>
      </c>
      <c r="L123" s="33" t="str">
        <f t="shared" si="1"/>
        <v>#NUM!</v>
      </c>
      <c r="M123" s="32" t="str">
        <f t="shared" si="8"/>
        <v>#NUM!</v>
      </c>
      <c r="N123" s="36" t="str">
        <f t="shared" si="9"/>
        <v>#NUM!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7">
        <v>110.0</v>
      </c>
      <c r="F124" s="34">
        <f t="shared" si="2"/>
        <v>46812</v>
      </c>
      <c r="G124" s="32" t="str">
        <f t="shared" si="3"/>
        <v>#NUM!</v>
      </c>
      <c r="H124" s="32">
        <f t="shared" si="4"/>
        <v>706.6954536</v>
      </c>
      <c r="I124" s="32" t="str">
        <f t="shared" si="5"/>
        <v>#NUM!</v>
      </c>
      <c r="J124" s="32" t="str">
        <f t="shared" si="6"/>
        <v>#NUM!</v>
      </c>
      <c r="K124" s="32" t="str">
        <f t="shared" si="7"/>
        <v>#NUM!</v>
      </c>
      <c r="L124" s="33" t="str">
        <f t="shared" si="1"/>
        <v>#NUM!</v>
      </c>
      <c r="M124" s="32" t="str">
        <f t="shared" si="8"/>
        <v>#NUM!</v>
      </c>
      <c r="N124" s="36" t="str">
        <f t="shared" si="9"/>
        <v>#NUM!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7">
        <v>111.0</v>
      </c>
      <c r="F125" s="34">
        <f t="shared" si="2"/>
        <v>46843</v>
      </c>
      <c r="G125" s="32" t="str">
        <f t="shared" si="3"/>
        <v>#NUM!</v>
      </c>
      <c r="H125" s="32">
        <f t="shared" si="4"/>
        <v>706.6954536</v>
      </c>
      <c r="I125" s="32" t="str">
        <f t="shared" si="5"/>
        <v>#NUM!</v>
      </c>
      <c r="J125" s="32" t="str">
        <f t="shared" si="6"/>
        <v>#NUM!</v>
      </c>
      <c r="K125" s="32" t="str">
        <f t="shared" si="7"/>
        <v>#NUM!</v>
      </c>
      <c r="L125" s="33" t="str">
        <f t="shared" si="1"/>
        <v>#NUM!</v>
      </c>
      <c r="M125" s="32" t="str">
        <f t="shared" si="8"/>
        <v>#NUM!</v>
      </c>
      <c r="N125" s="36" t="str">
        <f t="shared" si="9"/>
        <v>#NUM!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7">
        <v>112.0</v>
      </c>
      <c r="F126" s="34">
        <f t="shared" si="2"/>
        <v>46873</v>
      </c>
      <c r="G126" s="32" t="str">
        <f t="shared" si="3"/>
        <v>#NUM!</v>
      </c>
      <c r="H126" s="32">
        <f t="shared" si="4"/>
        <v>706.6954536</v>
      </c>
      <c r="I126" s="32" t="str">
        <f t="shared" si="5"/>
        <v>#NUM!</v>
      </c>
      <c r="J126" s="32" t="str">
        <f t="shared" si="6"/>
        <v>#NUM!</v>
      </c>
      <c r="K126" s="32" t="str">
        <f t="shared" si="7"/>
        <v>#NUM!</v>
      </c>
      <c r="L126" s="33" t="str">
        <f t="shared" si="1"/>
        <v>#NUM!</v>
      </c>
      <c r="M126" s="32" t="str">
        <f t="shared" si="8"/>
        <v>#NUM!</v>
      </c>
      <c r="N126" s="36" t="str">
        <f t="shared" si="9"/>
        <v>#NUM!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7">
        <v>113.0</v>
      </c>
      <c r="F127" s="34">
        <f t="shared" si="2"/>
        <v>46904</v>
      </c>
      <c r="G127" s="32" t="str">
        <f t="shared" si="3"/>
        <v>#NUM!</v>
      </c>
      <c r="H127" s="32">
        <f t="shared" si="4"/>
        <v>706.6954536</v>
      </c>
      <c r="I127" s="32" t="str">
        <f t="shared" si="5"/>
        <v>#NUM!</v>
      </c>
      <c r="J127" s="32" t="str">
        <f t="shared" si="6"/>
        <v>#NUM!</v>
      </c>
      <c r="K127" s="32" t="str">
        <f t="shared" si="7"/>
        <v>#NUM!</v>
      </c>
      <c r="L127" s="33" t="str">
        <f t="shared" si="1"/>
        <v>#NUM!</v>
      </c>
      <c r="M127" s="32" t="str">
        <f t="shared" si="8"/>
        <v>#NUM!</v>
      </c>
      <c r="N127" s="36" t="str">
        <f t="shared" si="9"/>
        <v>#NUM!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7">
        <v>114.0</v>
      </c>
      <c r="F128" s="34">
        <f t="shared" si="2"/>
        <v>46934</v>
      </c>
      <c r="G128" s="32" t="str">
        <f t="shared" si="3"/>
        <v>#NUM!</v>
      </c>
      <c r="H128" s="32">
        <f t="shared" si="4"/>
        <v>706.6954536</v>
      </c>
      <c r="I128" s="32" t="str">
        <f t="shared" si="5"/>
        <v>#NUM!</v>
      </c>
      <c r="J128" s="32" t="str">
        <f t="shared" si="6"/>
        <v>#NUM!</v>
      </c>
      <c r="K128" s="32" t="str">
        <f t="shared" si="7"/>
        <v>#NUM!</v>
      </c>
      <c r="L128" s="33" t="str">
        <f t="shared" si="1"/>
        <v>#NUM!</v>
      </c>
      <c r="M128" s="32" t="str">
        <f t="shared" si="8"/>
        <v>#NUM!</v>
      </c>
      <c r="N128" s="36" t="str">
        <f t="shared" si="9"/>
        <v>#NUM!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7">
        <v>115.0</v>
      </c>
      <c r="F129" s="34">
        <f t="shared" si="2"/>
        <v>46965</v>
      </c>
      <c r="G129" s="32" t="str">
        <f t="shared" si="3"/>
        <v>#NUM!</v>
      </c>
      <c r="H129" s="32">
        <f t="shared" si="4"/>
        <v>706.6954536</v>
      </c>
      <c r="I129" s="32" t="str">
        <f t="shared" si="5"/>
        <v>#NUM!</v>
      </c>
      <c r="J129" s="32" t="str">
        <f t="shared" si="6"/>
        <v>#NUM!</v>
      </c>
      <c r="K129" s="32" t="str">
        <f t="shared" si="7"/>
        <v>#NUM!</v>
      </c>
      <c r="L129" s="33" t="str">
        <f t="shared" si="1"/>
        <v>#NUM!</v>
      </c>
      <c r="M129" s="32" t="str">
        <f t="shared" si="8"/>
        <v>#NUM!</v>
      </c>
      <c r="N129" s="36" t="str">
        <f t="shared" si="9"/>
        <v>#NUM!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7">
        <v>116.0</v>
      </c>
      <c r="F130" s="34">
        <f t="shared" si="2"/>
        <v>46996</v>
      </c>
      <c r="G130" s="32" t="str">
        <f t="shared" si="3"/>
        <v>#NUM!</v>
      </c>
      <c r="H130" s="32">
        <f t="shared" si="4"/>
        <v>706.6954536</v>
      </c>
      <c r="I130" s="32" t="str">
        <f t="shared" si="5"/>
        <v>#NUM!</v>
      </c>
      <c r="J130" s="32" t="str">
        <f t="shared" si="6"/>
        <v>#NUM!</v>
      </c>
      <c r="K130" s="32" t="str">
        <f t="shared" si="7"/>
        <v>#NUM!</v>
      </c>
      <c r="L130" s="33" t="str">
        <f t="shared" si="1"/>
        <v>#NUM!</v>
      </c>
      <c r="M130" s="32" t="str">
        <f t="shared" si="8"/>
        <v>#NUM!</v>
      </c>
      <c r="N130" s="36" t="str">
        <f t="shared" si="9"/>
        <v>#NUM!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7">
        <v>117.0</v>
      </c>
      <c r="F131" s="34">
        <f t="shared" si="2"/>
        <v>47026</v>
      </c>
      <c r="G131" s="32" t="str">
        <f t="shared" si="3"/>
        <v>#NUM!</v>
      </c>
      <c r="H131" s="32">
        <f t="shared" si="4"/>
        <v>706.6954536</v>
      </c>
      <c r="I131" s="32" t="str">
        <f t="shared" si="5"/>
        <v>#NUM!</v>
      </c>
      <c r="J131" s="32" t="str">
        <f t="shared" si="6"/>
        <v>#NUM!</v>
      </c>
      <c r="K131" s="32" t="str">
        <f t="shared" si="7"/>
        <v>#NUM!</v>
      </c>
      <c r="L131" s="33" t="str">
        <f t="shared" si="1"/>
        <v>#NUM!</v>
      </c>
      <c r="M131" s="32" t="str">
        <f t="shared" si="8"/>
        <v>#NUM!</v>
      </c>
      <c r="N131" s="36" t="str">
        <f t="shared" si="9"/>
        <v>#NUM!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7">
        <v>118.0</v>
      </c>
      <c r="F132" s="34">
        <f t="shared" si="2"/>
        <v>47057</v>
      </c>
      <c r="G132" s="32" t="str">
        <f t="shared" si="3"/>
        <v>#NUM!</v>
      </c>
      <c r="H132" s="32">
        <f t="shared" si="4"/>
        <v>706.6954536</v>
      </c>
      <c r="I132" s="32" t="str">
        <f t="shared" si="5"/>
        <v>#NUM!</v>
      </c>
      <c r="J132" s="32" t="str">
        <f t="shared" si="6"/>
        <v>#NUM!</v>
      </c>
      <c r="K132" s="32" t="str">
        <f t="shared" si="7"/>
        <v>#NUM!</v>
      </c>
      <c r="L132" s="33" t="str">
        <f t="shared" si="1"/>
        <v>#NUM!</v>
      </c>
      <c r="M132" s="32" t="str">
        <f t="shared" si="8"/>
        <v>#NUM!</v>
      </c>
      <c r="N132" s="36" t="str">
        <f t="shared" si="9"/>
        <v>#NUM!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7">
        <v>119.0</v>
      </c>
      <c r="F133" s="34">
        <f t="shared" si="2"/>
        <v>47087</v>
      </c>
      <c r="G133" s="32" t="str">
        <f t="shared" si="3"/>
        <v>#NUM!</v>
      </c>
      <c r="H133" s="32">
        <f t="shared" si="4"/>
        <v>706.6954536</v>
      </c>
      <c r="I133" s="32" t="str">
        <f t="shared" si="5"/>
        <v>#NUM!</v>
      </c>
      <c r="J133" s="32" t="str">
        <f t="shared" si="6"/>
        <v>#NUM!</v>
      </c>
      <c r="K133" s="32" t="str">
        <f t="shared" si="7"/>
        <v>#NUM!</v>
      </c>
      <c r="L133" s="33" t="str">
        <f t="shared" si="1"/>
        <v>#NUM!</v>
      </c>
      <c r="M133" s="32" t="str">
        <f t="shared" si="8"/>
        <v>#NUM!</v>
      </c>
      <c r="N133" s="36" t="str">
        <f t="shared" si="9"/>
        <v>#NUM!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7">
        <v>120.0</v>
      </c>
      <c r="F134" s="34">
        <f t="shared" si="2"/>
        <v>47118</v>
      </c>
      <c r="G134" s="32" t="str">
        <f t="shared" si="3"/>
        <v>#NUM!</v>
      </c>
      <c r="H134" s="32">
        <f t="shared" si="4"/>
        <v>706.6954536</v>
      </c>
      <c r="I134" s="32" t="str">
        <f t="shared" si="5"/>
        <v>#NUM!</v>
      </c>
      <c r="J134" s="32" t="str">
        <f t="shared" si="6"/>
        <v>#NUM!</v>
      </c>
      <c r="K134" s="32" t="str">
        <f t="shared" si="7"/>
        <v>#NUM!</v>
      </c>
      <c r="L134" s="33" t="str">
        <f t="shared" si="1"/>
        <v>#NUM!</v>
      </c>
      <c r="M134" s="32" t="str">
        <f t="shared" si="8"/>
        <v>#NUM!</v>
      </c>
      <c r="N134" s="36" t="str">
        <f t="shared" si="9"/>
        <v>#NUM!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7">
        <v>121.0</v>
      </c>
      <c r="F135" s="34">
        <f t="shared" si="2"/>
        <v>47149</v>
      </c>
      <c r="G135" s="32" t="str">
        <f t="shared" si="3"/>
        <v>#NUM!</v>
      </c>
      <c r="H135" s="32">
        <f t="shared" si="4"/>
        <v>706.6954536</v>
      </c>
      <c r="I135" s="32" t="str">
        <f t="shared" si="5"/>
        <v>#NUM!</v>
      </c>
      <c r="J135" s="32" t="str">
        <f t="shared" si="6"/>
        <v>#NUM!</v>
      </c>
      <c r="K135" s="32" t="str">
        <f t="shared" si="7"/>
        <v>#NUM!</v>
      </c>
      <c r="L135" s="33" t="str">
        <f t="shared" si="1"/>
        <v>#NUM!</v>
      </c>
      <c r="M135" s="32" t="str">
        <f t="shared" si="8"/>
        <v>#NUM!</v>
      </c>
      <c r="N135" s="36" t="str">
        <f t="shared" si="9"/>
        <v>#NUM!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7">
        <v>122.0</v>
      </c>
      <c r="F136" s="34">
        <f t="shared" si="2"/>
        <v>47177</v>
      </c>
      <c r="G136" s="32" t="str">
        <f t="shared" si="3"/>
        <v>#NUM!</v>
      </c>
      <c r="H136" s="32">
        <f t="shared" si="4"/>
        <v>706.6954536</v>
      </c>
      <c r="I136" s="32" t="str">
        <f t="shared" si="5"/>
        <v>#NUM!</v>
      </c>
      <c r="J136" s="32" t="str">
        <f t="shared" si="6"/>
        <v>#NUM!</v>
      </c>
      <c r="K136" s="32" t="str">
        <f t="shared" si="7"/>
        <v>#NUM!</v>
      </c>
      <c r="L136" s="33" t="str">
        <f t="shared" si="1"/>
        <v>#NUM!</v>
      </c>
      <c r="M136" s="32" t="str">
        <f t="shared" si="8"/>
        <v>#NUM!</v>
      </c>
      <c r="N136" s="36" t="str">
        <f t="shared" si="9"/>
        <v>#NUM!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7">
        <v>123.0</v>
      </c>
      <c r="F137" s="34">
        <f t="shared" si="2"/>
        <v>47208</v>
      </c>
      <c r="G137" s="32" t="str">
        <f t="shared" si="3"/>
        <v>#NUM!</v>
      </c>
      <c r="H137" s="32">
        <f t="shared" si="4"/>
        <v>706.6954536</v>
      </c>
      <c r="I137" s="32" t="str">
        <f t="shared" si="5"/>
        <v>#NUM!</v>
      </c>
      <c r="J137" s="32" t="str">
        <f t="shared" si="6"/>
        <v>#NUM!</v>
      </c>
      <c r="K137" s="32" t="str">
        <f t="shared" si="7"/>
        <v>#NUM!</v>
      </c>
      <c r="L137" s="33" t="str">
        <f t="shared" si="1"/>
        <v>#NUM!</v>
      </c>
      <c r="M137" s="32" t="str">
        <f t="shared" si="8"/>
        <v>#NUM!</v>
      </c>
      <c r="N137" s="36" t="str">
        <f t="shared" si="9"/>
        <v>#NUM!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7">
        <v>124.0</v>
      </c>
      <c r="F138" s="34">
        <f t="shared" si="2"/>
        <v>47238</v>
      </c>
      <c r="G138" s="32" t="str">
        <f t="shared" si="3"/>
        <v>#NUM!</v>
      </c>
      <c r="H138" s="32">
        <f t="shared" si="4"/>
        <v>706.6954536</v>
      </c>
      <c r="I138" s="32" t="str">
        <f t="shared" si="5"/>
        <v>#NUM!</v>
      </c>
      <c r="J138" s="32" t="str">
        <f t="shared" si="6"/>
        <v>#NUM!</v>
      </c>
      <c r="K138" s="32" t="str">
        <f t="shared" si="7"/>
        <v>#NUM!</v>
      </c>
      <c r="L138" s="33" t="str">
        <f t="shared" si="1"/>
        <v>#NUM!</v>
      </c>
      <c r="M138" s="32" t="str">
        <f t="shared" si="8"/>
        <v>#NUM!</v>
      </c>
      <c r="N138" s="36" t="str">
        <f t="shared" si="9"/>
        <v>#NUM!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7">
        <v>125.0</v>
      </c>
      <c r="F139" s="34">
        <f t="shared" si="2"/>
        <v>47269</v>
      </c>
      <c r="G139" s="32" t="str">
        <f t="shared" si="3"/>
        <v>#NUM!</v>
      </c>
      <c r="H139" s="32">
        <f t="shared" si="4"/>
        <v>706.6954536</v>
      </c>
      <c r="I139" s="32" t="str">
        <f t="shared" si="5"/>
        <v>#NUM!</v>
      </c>
      <c r="J139" s="32" t="str">
        <f t="shared" si="6"/>
        <v>#NUM!</v>
      </c>
      <c r="K139" s="32" t="str">
        <f t="shared" si="7"/>
        <v>#NUM!</v>
      </c>
      <c r="L139" s="33" t="str">
        <f t="shared" si="1"/>
        <v>#NUM!</v>
      </c>
      <c r="M139" s="32" t="str">
        <f t="shared" si="8"/>
        <v>#NUM!</v>
      </c>
      <c r="N139" s="36" t="str">
        <f t="shared" si="9"/>
        <v>#NUM!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7">
        <v>126.0</v>
      </c>
      <c r="F140" s="34">
        <f t="shared" si="2"/>
        <v>47299</v>
      </c>
      <c r="G140" s="32" t="str">
        <f t="shared" si="3"/>
        <v>#NUM!</v>
      </c>
      <c r="H140" s="32">
        <f t="shared" si="4"/>
        <v>706.6954536</v>
      </c>
      <c r="I140" s="32" t="str">
        <f t="shared" si="5"/>
        <v>#NUM!</v>
      </c>
      <c r="J140" s="32" t="str">
        <f t="shared" si="6"/>
        <v>#NUM!</v>
      </c>
      <c r="K140" s="32" t="str">
        <f t="shared" si="7"/>
        <v>#NUM!</v>
      </c>
      <c r="L140" s="33" t="str">
        <f t="shared" si="1"/>
        <v>#NUM!</v>
      </c>
      <c r="M140" s="32" t="str">
        <f t="shared" si="8"/>
        <v>#NUM!</v>
      </c>
      <c r="N140" s="36" t="str">
        <f t="shared" si="9"/>
        <v>#NUM!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7">
        <v>127.0</v>
      </c>
      <c r="F141" s="34">
        <f t="shared" si="2"/>
        <v>47330</v>
      </c>
      <c r="G141" s="32" t="str">
        <f t="shared" si="3"/>
        <v>#NUM!</v>
      </c>
      <c r="H141" s="32">
        <f t="shared" si="4"/>
        <v>706.6954536</v>
      </c>
      <c r="I141" s="32" t="str">
        <f t="shared" si="5"/>
        <v>#NUM!</v>
      </c>
      <c r="J141" s="32" t="str">
        <f t="shared" si="6"/>
        <v>#NUM!</v>
      </c>
      <c r="K141" s="32" t="str">
        <f t="shared" si="7"/>
        <v>#NUM!</v>
      </c>
      <c r="L141" s="33" t="str">
        <f t="shared" si="1"/>
        <v>#NUM!</v>
      </c>
      <c r="M141" s="32" t="str">
        <f t="shared" si="8"/>
        <v>#NUM!</v>
      </c>
      <c r="N141" s="36" t="str">
        <f t="shared" si="9"/>
        <v>#NUM!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7">
        <v>128.0</v>
      </c>
      <c r="F142" s="34">
        <f t="shared" si="2"/>
        <v>47361</v>
      </c>
      <c r="G142" s="32" t="str">
        <f t="shared" si="3"/>
        <v>#NUM!</v>
      </c>
      <c r="H142" s="32">
        <f t="shared" si="4"/>
        <v>706.6954536</v>
      </c>
      <c r="I142" s="32" t="str">
        <f t="shared" si="5"/>
        <v>#NUM!</v>
      </c>
      <c r="J142" s="32" t="str">
        <f t="shared" si="6"/>
        <v>#NUM!</v>
      </c>
      <c r="K142" s="32" t="str">
        <f t="shared" si="7"/>
        <v>#NUM!</v>
      </c>
      <c r="L142" s="33" t="str">
        <f t="shared" si="1"/>
        <v>#NUM!</v>
      </c>
      <c r="M142" s="32" t="str">
        <f t="shared" si="8"/>
        <v>#NUM!</v>
      </c>
      <c r="N142" s="36" t="str">
        <f t="shared" si="9"/>
        <v>#NUM!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7">
        <v>129.0</v>
      </c>
      <c r="F143" s="34">
        <f t="shared" si="2"/>
        <v>47391</v>
      </c>
      <c r="G143" s="32" t="str">
        <f t="shared" si="3"/>
        <v>#NUM!</v>
      </c>
      <c r="H143" s="32">
        <f t="shared" si="4"/>
        <v>706.6954536</v>
      </c>
      <c r="I143" s="32" t="str">
        <f t="shared" si="5"/>
        <v>#NUM!</v>
      </c>
      <c r="J143" s="32" t="str">
        <f t="shared" si="6"/>
        <v>#NUM!</v>
      </c>
      <c r="K143" s="32" t="str">
        <f t="shared" si="7"/>
        <v>#NUM!</v>
      </c>
      <c r="L143" s="33" t="str">
        <f t="shared" si="1"/>
        <v>#NUM!</v>
      </c>
      <c r="M143" s="32" t="str">
        <f t="shared" si="8"/>
        <v>#NUM!</v>
      </c>
      <c r="N143" s="36" t="str">
        <f t="shared" si="9"/>
        <v>#NUM!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7">
        <v>130.0</v>
      </c>
      <c r="F144" s="34">
        <f t="shared" si="2"/>
        <v>47422</v>
      </c>
      <c r="G144" s="32" t="str">
        <f t="shared" si="3"/>
        <v>#NUM!</v>
      </c>
      <c r="H144" s="32">
        <f t="shared" si="4"/>
        <v>706.6954536</v>
      </c>
      <c r="I144" s="32" t="str">
        <f t="shared" si="5"/>
        <v>#NUM!</v>
      </c>
      <c r="J144" s="32" t="str">
        <f t="shared" si="6"/>
        <v>#NUM!</v>
      </c>
      <c r="K144" s="32" t="str">
        <f t="shared" si="7"/>
        <v>#NUM!</v>
      </c>
      <c r="L144" s="33" t="str">
        <f t="shared" si="1"/>
        <v>#NUM!</v>
      </c>
      <c r="M144" s="32" t="str">
        <f t="shared" si="8"/>
        <v>#NUM!</v>
      </c>
      <c r="N144" s="36" t="str">
        <f t="shared" si="9"/>
        <v>#NUM!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7">
        <v>131.0</v>
      </c>
      <c r="F145" s="34">
        <f t="shared" si="2"/>
        <v>47452</v>
      </c>
      <c r="G145" s="32" t="str">
        <f t="shared" si="3"/>
        <v>#NUM!</v>
      </c>
      <c r="H145" s="32">
        <f t="shared" si="4"/>
        <v>706.6954536</v>
      </c>
      <c r="I145" s="32" t="str">
        <f t="shared" si="5"/>
        <v>#NUM!</v>
      </c>
      <c r="J145" s="32" t="str">
        <f t="shared" si="6"/>
        <v>#NUM!</v>
      </c>
      <c r="K145" s="32" t="str">
        <f t="shared" si="7"/>
        <v>#NUM!</v>
      </c>
      <c r="L145" s="33" t="str">
        <f t="shared" si="1"/>
        <v>#NUM!</v>
      </c>
      <c r="M145" s="32" t="str">
        <f t="shared" si="8"/>
        <v>#NUM!</v>
      </c>
      <c r="N145" s="36" t="str">
        <f t="shared" si="9"/>
        <v>#NUM!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7">
        <v>132.0</v>
      </c>
      <c r="F146" s="34">
        <f t="shared" si="2"/>
        <v>47483</v>
      </c>
      <c r="G146" s="32" t="str">
        <f t="shared" si="3"/>
        <v>#NUM!</v>
      </c>
      <c r="H146" s="32">
        <f t="shared" si="4"/>
        <v>706.6954536</v>
      </c>
      <c r="I146" s="32" t="str">
        <f t="shared" si="5"/>
        <v>#NUM!</v>
      </c>
      <c r="J146" s="32" t="str">
        <f t="shared" si="6"/>
        <v>#NUM!</v>
      </c>
      <c r="K146" s="32" t="str">
        <f t="shared" si="7"/>
        <v>#NUM!</v>
      </c>
      <c r="L146" s="33" t="str">
        <f t="shared" si="1"/>
        <v>#NUM!</v>
      </c>
      <c r="M146" s="32" t="str">
        <f t="shared" si="8"/>
        <v>#NUM!</v>
      </c>
      <c r="N146" s="36" t="str">
        <f t="shared" si="9"/>
        <v>#NUM!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7">
        <v>133.0</v>
      </c>
      <c r="F147" s="34">
        <f t="shared" si="2"/>
        <v>47514</v>
      </c>
      <c r="G147" s="32" t="str">
        <f t="shared" si="3"/>
        <v>#NUM!</v>
      </c>
      <c r="H147" s="32">
        <f t="shared" si="4"/>
        <v>706.6954536</v>
      </c>
      <c r="I147" s="32" t="str">
        <f t="shared" si="5"/>
        <v>#NUM!</v>
      </c>
      <c r="J147" s="32" t="str">
        <f t="shared" si="6"/>
        <v>#NUM!</v>
      </c>
      <c r="K147" s="32" t="str">
        <f t="shared" si="7"/>
        <v>#NUM!</v>
      </c>
      <c r="L147" s="33" t="str">
        <f t="shared" si="1"/>
        <v>#NUM!</v>
      </c>
      <c r="M147" s="32" t="str">
        <f t="shared" si="8"/>
        <v>#NUM!</v>
      </c>
      <c r="N147" s="36" t="str">
        <f t="shared" si="9"/>
        <v>#NUM!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7">
        <v>134.0</v>
      </c>
      <c r="F148" s="34">
        <f t="shared" si="2"/>
        <v>47542</v>
      </c>
      <c r="G148" s="32" t="str">
        <f t="shared" si="3"/>
        <v>#NUM!</v>
      </c>
      <c r="H148" s="32">
        <f t="shared" si="4"/>
        <v>706.6954536</v>
      </c>
      <c r="I148" s="32" t="str">
        <f t="shared" si="5"/>
        <v>#NUM!</v>
      </c>
      <c r="J148" s="32" t="str">
        <f t="shared" si="6"/>
        <v>#NUM!</v>
      </c>
      <c r="K148" s="32" t="str">
        <f t="shared" si="7"/>
        <v>#NUM!</v>
      </c>
      <c r="L148" s="33" t="str">
        <f t="shared" si="1"/>
        <v>#NUM!</v>
      </c>
      <c r="M148" s="32" t="str">
        <f t="shared" si="8"/>
        <v>#NUM!</v>
      </c>
      <c r="N148" s="36" t="str">
        <f t="shared" si="9"/>
        <v>#NUM!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7">
        <v>135.0</v>
      </c>
      <c r="F149" s="34">
        <f t="shared" si="2"/>
        <v>47573</v>
      </c>
      <c r="G149" s="32" t="str">
        <f t="shared" si="3"/>
        <v>#NUM!</v>
      </c>
      <c r="H149" s="32">
        <f t="shared" si="4"/>
        <v>706.6954536</v>
      </c>
      <c r="I149" s="32" t="str">
        <f t="shared" si="5"/>
        <v>#NUM!</v>
      </c>
      <c r="J149" s="32" t="str">
        <f t="shared" si="6"/>
        <v>#NUM!</v>
      </c>
      <c r="K149" s="32" t="str">
        <f t="shared" si="7"/>
        <v>#NUM!</v>
      </c>
      <c r="L149" s="33" t="str">
        <f t="shared" si="1"/>
        <v>#NUM!</v>
      </c>
      <c r="M149" s="32" t="str">
        <f t="shared" si="8"/>
        <v>#NUM!</v>
      </c>
      <c r="N149" s="36" t="str">
        <f t="shared" si="9"/>
        <v>#NUM!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7">
        <v>136.0</v>
      </c>
      <c r="F150" s="34">
        <f t="shared" si="2"/>
        <v>47603</v>
      </c>
      <c r="G150" s="32" t="str">
        <f t="shared" si="3"/>
        <v>#NUM!</v>
      </c>
      <c r="H150" s="32">
        <f t="shared" si="4"/>
        <v>706.6954536</v>
      </c>
      <c r="I150" s="32" t="str">
        <f t="shared" si="5"/>
        <v>#NUM!</v>
      </c>
      <c r="J150" s="32" t="str">
        <f t="shared" si="6"/>
        <v>#NUM!</v>
      </c>
      <c r="K150" s="32" t="str">
        <f t="shared" si="7"/>
        <v>#NUM!</v>
      </c>
      <c r="L150" s="33" t="str">
        <f t="shared" si="1"/>
        <v>#NUM!</v>
      </c>
      <c r="M150" s="32" t="str">
        <f t="shared" si="8"/>
        <v>#NUM!</v>
      </c>
      <c r="N150" s="36" t="str">
        <f t="shared" si="9"/>
        <v>#NUM!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7">
        <v>137.0</v>
      </c>
      <c r="F151" s="34">
        <f t="shared" si="2"/>
        <v>47634</v>
      </c>
      <c r="G151" s="32" t="str">
        <f t="shared" si="3"/>
        <v>#NUM!</v>
      </c>
      <c r="H151" s="32">
        <f t="shared" si="4"/>
        <v>706.6954536</v>
      </c>
      <c r="I151" s="32" t="str">
        <f t="shared" si="5"/>
        <v>#NUM!</v>
      </c>
      <c r="J151" s="32" t="str">
        <f t="shared" si="6"/>
        <v>#NUM!</v>
      </c>
      <c r="K151" s="32" t="str">
        <f t="shared" si="7"/>
        <v>#NUM!</v>
      </c>
      <c r="L151" s="33" t="str">
        <f t="shared" si="1"/>
        <v>#NUM!</v>
      </c>
      <c r="M151" s="32" t="str">
        <f t="shared" si="8"/>
        <v>#NUM!</v>
      </c>
      <c r="N151" s="36" t="str">
        <f t="shared" si="9"/>
        <v>#NUM!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7">
        <v>138.0</v>
      </c>
      <c r="F152" s="34">
        <f t="shared" si="2"/>
        <v>47664</v>
      </c>
      <c r="G152" s="32" t="str">
        <f t="shared" si="3"/>
        <v>#NUM!</v>
      </c>
      <c r="H152" s="32">
        <f t="shared" si="4"/>
        <v>706.6954536</v>
      </c>
      <c r="I152" s="32" t="str">
        <f t="shared" si="5"/>
        <v>#NUM!</v>
      </c>
      <c r="J152" s="32" t="str">
        <f t="shared" si="6"/>
        <v>#NUM!</v>
      </c>
      <c r="K152" s="32" t="str">
        <f t="shared" si="7"/>
        <v>#NUM!</v>
      </c>
      <c r="L152" s="33" t="str">
        <f t="shared" si="1"/>
        <v>#NUM!</v>
      </c>
      <c r="M152" s="32" t="str">
        <f t="shared" si="8"/>
        <v>#NUM!</v>
      </c>
      <c r="N152" s="36" t="str">
        <f t="shared" si="9"/>
        <v>#NUM!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7">
        <v>139.0</v>
      </c>
      <c r="F153" s="34">
        <f t="shared" si="2"/>
        <v>47695</v>
      </c>
      <c r="G153" s="32" t="str">
        <f t="shared" si="3"/>
        <v>#NUM!</v>
      </c>
      <c r="H153" s="32">
        <f t="shared" si="4"/>
        <v>706.6954536</v>
      </c>
      <c r="I153" s="32" t="str">
        <f t="shared" si="5"/>
        <v>#NUM!</v>
      </c>
      <c r="J153" s="32" t="str">
        <f t="shared" si="6"/>
        <v>#NUM!</v>
      </c>
      <c r="K153" s="32" t="str">
        <f t="shared" si="7"/>
        <v>#NUM!</v>
      </c>
      <c r="L153" s="33" t="str">
        <f t="shared" si="1"/>
        <v>#NUM!</v>
      </c>
      <c r="M153" s="32" t="str">
        <f t="shared" si="8"/>
        <v>#NUM!</v>
      </c>
      <c r="N153" s="36" t="str">
        <f t="shared" si="9"/>
        <v>#NUM!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7">
        <v>140.0</v>
      </c>
      <c r="F154" s="34">
        <f t="shared" si="2"/>
        <v>47726</v>
      </c>
      <c r="G154" s="32" t="str">
        <f t="shared" si="3"/>
        <v>#NUM!</v>
      </c>
      <c r="H154" s="32">
        <f t="shared" si="4"/>
        <v>706.6954536</v>
      </c>
      <c r="I154" s="32" t="str">
        <f t="shared" si="5"/>
        <v>#NUM!</v>
      </c>
      <c r="J154" s="32" t="str">
        <f t="shared" si="6"/>
        <v>#NUM!</v>
      </c>
      <c r="K154" s="32" t="str">
        <f t="shared" si="7"/>
        <v>#NUM!</v>
      </c>
      <c r="L154" s="33" t="str">
        <f t="shared" si="1"/>
        <v>#NUM!</v>
      </c>
      <c r="M154" s="32" t="str">
        <f t="shared" si="8"/>
        <v>#NUM!</v>
      </c>
      <c r="N154" s="36" t="str">
        <f t="shared" si="9"/>
        <v>#NUM!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7">
        <v>141.0</v>
      </c>
      <c r="F155" s="34">
        <f t="shared" si="2"/>
        <v>47756</v>
      </c>
      <c r="G155" s="32" t="str">
        <f t="shared" si="3"/>
        <v>#NUM!</v>
      </c>
      <c r="H155" s="32">
        <f t="shared" si="4"/>
        <v>706.6954536</v>
      </c>
      <c r="I155" s="32" t="str">
        <f t="shared" si="5"/>
        <v>#NUM!</v>
      </c>
      <c r="J155" s="32" t="str">
        <f t="shared" si="6"/>
        <v>#NUM!</v>
      </c>
      <c r="K155" s="32" t="str">
        <f t="shared" si="7"/>
        <v>#NUM!</v>
      </c>
      <c r="L155" s="33" t="str">
        <f t="shared" si="1"/>
        <v>#NUM!</v>
      </c>
      <c r="M155" s="32" t="str">
        <f t="shared" si="8"/>
        <v>#NUM!</v>
      </c>
      <c r="N155" s="36" t="str">
        <f t="shared" si="9"/>
        <v>#NUM!</v>
      </c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7">
        <v>142.0</v>
      </c>
      <c r="F156" s="34">
        <f t="shared" si="2"/>
        <v>47787</v>
      </c>
      <c r="G156" s="32" t="str">
        <f t="shared" si="3"/>
        <v>#NUM!</v>
      </c>
      <c r="H156" s="32">
        <f t="shared" si="4"/>
        <v>706.6954536</v>
      </c>
      <c r="I156" s="32" t="str">
        <f t="shared" si="5"/>
        <v>#NUM!</v>
      </c>
      <c r="J156" s="32" t="str">
        <f t="shared" si="6"/>
        <v>#NUM!</v>
      </c>
      <c r="K156" s="32" t="str">
        <f t="shared" si="7"/>
        <v>#NUM!</v>
      </c>
      <c r="L156" s="33" t="str">
        <f t="shared" si="1"/>
        <v>#NUM!</v>
      </c>
      <c r="M156" s="32" t="str">
        <f t="shared" si="8"/>
        <v>#NUM!</v>
      </c>
      <c r="N156" s="36" t="str">
        <f t="shared" si="9"/>
        <v>#NUM!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7">
        <v>143.0</v>
      </c>
      <c r="F157" s="34">
        <f t="shared" si="2"/>
        <v>47817</v>
      </c>
      <c r="G157" s="32" t="str">
        <f t="shared" si="3"/>
        <v>#NUM!</v>
      </c>
      <c r="H157" s="32">
        <f t="shared" si="4"/>
        <v>706.6954536</v>
      </c>
      <c r="I157" s="32" t="str">
        <f t="shared" si="5"/>
        <v>#NUM!</v>
      </c>
      <c r="J157" s="32" t="str">
        <f t="shared" si="6"/>
        <v>#NUM!</v>
      </c>
      <c r="K157" s="32" t="str">
        <f t="shared" si="7"/>
        <v>#NUM!</v>
      </c>
      <c r="L157" s="33" t="str">
        <f t="shared" si="1"/>
        <v>#NUM!</v>
      </c>
      <c r="M157" s="32" t="str">
        <f t="shared" si="8"/>
        <v>#NUM!</v>
      </c>
      <c r="N157" s="36" t="str">
        <f t="shared" si="9"/>
        <v>#NUM!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7">
        <v>144.0</v>
      </c>
      <c r="F158" s="34">
        <f t="shared" si="2"/>
        <v>47848</v>
      </c>
      <c r="G158" s="32" t="str">
        <f t="shared" si="3"/>
        <v>#NUM!</v>
      </c>
      <c r="H158" s="32">
        <f t="shared" si="4"/>
        <v>706.6954536</v>
      </c>
      <c r="I158" s="32" t="str">
        <f t="shared" si="5"/>
        <v>#NUM!</v>
      </c>
      <c r="J158" s="32" t="str">
        <f t="shared" si="6"/>
        <v>#NUM!</v>
      </c>
      <c r="K158" s="32" t="str">
        <f t="shared" si="7"/>
        <v>#NUM!</v>
      </c>
      <c r="L158" s="33" t="str">
        <f t="shared" si="1"/>
        <v>#NUM!</v>
      </c>
      <c r="M158" s="32" t="str">
        <f t="shared" si="8"/>
        <v>#NUM!</v>
      </c>
      <c r="N158" s="36" t="str">
        <f t="shared" si="9"/>
        <v>#NUM!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7">
        <v>145.0</v>
      </c>
      <c r="F159" s="34">
        <f t="shared" si="2"/>
        <v>47879</v>
      </c>
      <c r="G159" s="32" t="str">
        <f t="shared" si="3"/>
        <v>#NUM!</v>
      </c>
      <c r="H159" s="32">
        <f t="shared" si="4"/>
        <v>706.6954536</v>
      </c>
      <c r="I159" s="32" t="str">
        <f t="shared" si="5"/>
        <v>#NUM!</v>
      </c>
      <c r="J159" s="32" t="str">
        <f t="shared" si="6"/>
        <v>#NUM!</v>
      </c>
      <c r="K159" s="32" t="str">
        <f t="shared" si="7"/>
        <v>#NUM!</v>
      </c>
      <c r="L159" s="33" t="str">
        <f t="shared" si="1"/>
        <v>#NUM!</v>
      </c>
      <c r="M159" s="32" t="str">
        <f t="shared" si="8"/>
        <v>#NUM!</v>
      </c>
      <c r="N159" s="36" t="str">
        <f t="shared" si="9"/>
        <v>#NUM!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7">
        <v>146.0</v>
      </c>
      <c r="F160" s="34">
        <f t="shared" si="2"/>
        <v>47907</v>
      </c>
      <c r="G160" s="32" t="str">
        <f t="shared" si="3"/>
        <v>#NUM!</v>
      </c>
      <c r="H160" s="32">
        <f t="shared" si="4"/>
        <v>706.6954536</v>
      </c>
      <c r="I160" s="32" t="str">
        <f t="shared" si="5"/>
        <v>#NUM!</v>
      </c>
      <c r="J160" s="32" t="str">
        <f t="shared" si="6"/>
        <v>#NUM!</v>
      </c>
      <c r="K160" s="32" t="str">
        <f t="shared" si="7"/>
        <v>#NUM!</v>
      </c>
      <c r="L160" s="33" t="str">
        <f t="shared" si="1"/>
        <v>#NUM!</v>
      </c>
      <c r="M160" s="32" t="str">
        <f t="shared" si="8"/>
        <v>#NUM!</v>
      </c>
      <c r="N160" s="36" t="str">
        <f t="shared" si="9"/>
        <v>#NUM!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7">
        <v>147.0</v>
      </c>
      <c r="F161" s="34">
        <f t="shared" si="2"/>
        <v>47938</v>
      </c>
      <c r="G161" s="32" t="str">
        <f t="shared" si="3"/>
        <v>#NUM!</v>
      </c>
      <c r="H161" s="32">
        <f t="shared" si="4"/>
        <v>706.6954536</v>
      </c>
      <c r="I161" s="32" t="str">
        <f t="shared" si="5"/>
        <v>#NUM!</v>
      </c>
      <c r="J161" s="32" t="str">
        <f t="shared" si="6"/>
        <v>#NUM!</v>
      </c>
      <c r="K161" s="32" t="str">
        <f t="shared" si="7"/>
        <v>#NUM!</v>
      </c>
      <c r="L161" s="33" t="str">
        <f t="shared" si="1"/>
        <v>#NUM!</v>
      </c>
      <c r="M161" s="32" t="str">
        <f t="shared" si="8"/>
        <v>#NUM!</v>
      </c>
      <c r="N161" s="36" t="str">
        <f t="shared" si="9"/>
        <v>#NUM!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7">
        <v>148.0</v>
      </c>
      <c r="F162" s="34">
        <f t="shared" si="2"/>
        <v>47968</v>
      </c>
      <c r="G162" s="32" t="str">
        <f t="shared" si="3"/>
        <v>#NUM!</v>
      </c>
      <c r="H162" s="32">
        <f t="shared" si="4"/>
        <v>706.6954536</v>
      </c>
      <c r="I162" s="32" t="str">
        <f t="shared" si="5"/>
        <v>#NUM!</v>
      </c>
      <c r="J162" s="32" t="str">
        <f t="shared" si="6"/>
        <v>#NUM!</v>
      </c>
      <c r="K162" s="32" t="str">
        <f t="shared" si="7"/>
        <v>#NUM!</v>
      </c>
      <c r="L162" s="33" t="str">
        <f t="shared" si="1"/>
        <v>#NUM!</v>
      </c>
      <c r="M162" s="32" t="str">
        <f t="shared" si="8"/>
        <v>#NUM!</v>
      </c>
      <c r="N162" s="36" t="str">
        <f t="shared" si="9"/>
        <v>#NUM!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7">
        <v>149.0</v>
      </c>
      <c r="F163" s="34">
        <f t="shared" si="2"/>
        <v>47999</v>
      </c>
      <c r="G163" s="32" t="str">
        <f t="shared" si="3"/>
        <v>#NUM!</v>
      </c>
      <c r="H163" s="32">
        <f t="shared" si="4"/>
        <v>706.6954536</v>
      </c>
      <c r="I163" s="32" t="str">
        <f t="shared" si="5"/>
        <v>#NUM!</v>
      </c>
      <c r="J163" s="32" t="str">
        <f t="shared" si="6"/>
        <v>#NUM!</v>
      </c>
      <c r="K163" s="32" t="str">
        <f t="shared" si="7"/>
        <v>#NUM!</v>
      </c>
      <c r="L163" s="33" t="str">
        <f t="shared" si="1"/>
        <v>#NUM!</v>
      </c>
      <c r="M163" s="32" t="str">
        <f t="shared" si="8"/>
        <v>#NUM!</v>
      </c>
      <c r="N163" s="36" t="str">
        <f t="shared" si="9"/>
        <v>#NUM!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7">
        <v>150.0</v>
      </c>
      <c r="F164" s="34">
        <f t="shared" si="2"/>
        <v>48029</v>
      </c>
      <c r="G164" s="32" t="str">
        <f t="shared" si="3"/>
        <v>#NUM!</v>
      </c>
      <c r="H164" s="32">
        <f t="shared" si="4"/>
        <v>706.6954536</v>
      </c>
      <c r="I164" s="32" t="str">
        <f t="shared" si="5"/>
        <v>#NUM!</v>
      </c>
      <c r="J164" s="32" t="str">
        <f t="shared" si="6"/>
        <v>#NUM!</v>
      </c>
      <c r="K164" s="32" t="str">
        <f t="shared" si="7"/>
        <v>#NUM!</v>
      </c>
      <c r="L164" s="33" t="str">
        <f t="shared" si="1"/>
        <v>#NUM!</v>
      </c>
      <c r="M164" s="32" t="str">
        <f t="shared" si="8"/>
        <v>#NUM!</v>
      </c>
      <c r="N164" s="36" t="str">
        <f t="shared" si="9"/>
        <v>#NUM!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7">
        <v>151.0</v>
      </c>
      <c r="F165" s="34">
        <f t="shared" si="2"/>
        <v>48060</v>
      </c>
      <c r="G165" s="32" t="str">
        <f t="shared" si="3"/>
        <v>#NUM!</v>
      </c>
      <c r="H165" s="32">
        <f t="shared" si="4"/>
        <v>706.6954536</v>
      </c>
      <c r="I165" s="32" t="str">
        <f t="shared" si="5"/>
        <v>#NUM!</v>
      </c>
      <c r="J165" s="32" t="str">
        <f t="shared" si="6"/>
        <v>#NUM!</v>
      </c>
      <c r="K165" s="32" t="str">
        <f t="shared" si="7"/>
        <v>#NUM!</v>
      </c>
      <c r="L165" s="33" t="str">
        <f t="shared" si="1"/>
        <v>#NUM!</v>
      </c>
      <c r="M165" s="32" t="str">
        <f t="shared" si="8"/>
        <v>#NUM!</v>
      </c>
      <c r="N165" s="36" t="str">
        <f t="shared" si="9"/>
        <v>#NUM!</v>
      </c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7">
        <v>152.0</v>
      </c>
      <c r="F166" s="34">
        <f t="shared" si="2"/>
        <v>48091</v>
      </c>
      <c r="G166" s="32" t="str">
        <f t="shared" si="3"/>
        <v>#NUM!</v>
      </c>
      <c r="H166" s="32">
        <f t="shared" si="4"/>
        <v>706.6954536</v>
      </c>
      <c r="I166" s="32" t="str">
        <f t="shared" si="5"/>
        <v>#NUM!</v>
      </c>
      <c r="J166" s="32" t="str">
        <f t="shared" si="6"/>
        <v>#NUM!</v>
      </c>
      <c r="K166" s="32" t="str">
        <f t="shared" si="7"/>
        <v>#NUM!</v>
      </c>
      <c r="L166" s="33" t="str">
        <f t="shared" si="1"/>
        <v>#NUM!</v>
      </c>
      <c r="M166" s="32" t="str">
        <f t="shared" si="8"/>
        <v>#NUM!</v>
      </c>
      <c r="N166" s="36" t="str">
        <f t="shared" si="9"/>
        <v>#NUM!</v>
      </c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7">
        <v>153.0</v>
      </c>
      <c r="F167" s="34">
        <f t="shared" si="2"/>
        <v>48121</v>
      </c>
      <c r="G167" s="32" t="str">
        <f t="shared" si="3"/>
        <v>#NUM!</v>
      </c>
      <c r="H167" s="32">
        <f t="shared" si="4"/>
        <v>706.6954536</v>
      </c>
      <c r="I167" s="32" t="str">
        <f t="shared" si="5"/>
        <v>#NUM!</v>
      </c>
      <c r="J167" s="32" t="str">
        <f t="shared" si="6"/>
        <v>#NUM!</v>
      </c>
      <c r="K167" s="32" t="str">
        <f t="shared" si="7"/>
        <v>#NUM!</v>
      </c>
      <c r="L167" s="33" t="str">
        <f t="shared" si="1"/>
        <v>#NUM!</v>
      </c>
      <c r="M167" s="32" t="str">
        <f t="shared" si="8"/>
        <v>#NUM!</v>
      </c>
      <c r="N167" s="36" t="str">
        <f t="shared" si="9"/>
        <v>#NUM!</v>
      </c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7">
        <v>154.0</v>
      </c>
      <c r="F168" s="34">
        <f t="shared" si="2"/>
        <v>48152</v>
      </c>
      <c r="G168" s="32" t="str">
        <f t="shared" si="3"/>
        <v>#NUM!</v>
      </c>
      <c r="H168" s="32">
        <f t="shared" si="4"/>
        <v>706.6954536</v>
      </c>
      <c r="I168" s="32" t="str">
        <f t="shared" si="5"/>
        <v>#NUM!</v>
      </c>
      <c r="J168" s="32" t="str">
        <f t="shared" si="6"/>
        <v>#NUM!</v>
      </c>
      <c r="K168" s="32" t="str">
        <f t="shared" si="7"/>
        <v>#NUM!</v>
      </c>
      <c r="L168" s="33" t="str">
        <f t="shared" si="1"/>
        <v>#NUM!</v>
      </c>
      <c r="M168" s="32" t="str">
        <f t="shared" si="8"/>
        <v>#NUM!</v>
      </c>
      <c r="N168" s="36" t="str">
        <f t="shared" si="9"/>
        <v>#NUM!</v>
      </c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7">
        <v>155.0</v>
      </c>
      <c r="F169" s="34">
        <f t="shared" si="2"/>
        <v>48182</v>
      </c>
      <c r="G169" s="32" t="str">
        <f t="shared" si="3"/>
        <v>#NUM!</v>
      </c>
      <c r="H169" s="32">
        <f t="shared" si="4"/>
        <v>706.6954536</v>
      </c>
      <c r="I169" s="32" t="str">
        <f t="shared" si="5"/>
        <v>#NUM!</v>
      </c>
      <c r="J169" s="32" t="str">
        <f t="shared" si="6"/>
        <v>#NUM!</v>
      </c>
      <c r="K169" s="32" t="str">
        <f t="shared" si="7"/>
        <v>#NUM!</v>
      </c>
      <c r="L169" s="33" t="str">
        <f t="shared" si="1"/>
        <v>#NUM!</v>
      </c>
      <c r="M169" s="32" t="str">
        <f t="shared" si="8"/>
        <v>#NUM!</v>
      </c>
      <c r="N169" s="36" t="str">
        <f t="shared" si="9"/>
        <v>#NUM!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7">
        <v>156.0</v>
      </c>
      <c r="F170" s="34">
        <f t="shared" si="2"/>
        <v>48213</v>
      </c>
      <c r="G170" s="32" t="str">
        <f t="shared" si="3"/>
        <v>#NUM!</v>
      </c>
      <c r="H170" s="32">
        <f t="shared" si="4"/>
        <v>706.6954536</v>
      </c>
      <c r="I170" s="32" t="str">
        <f t="shared" si="5"/>
        <v>#NUM!</v>
      </c>
      <c r="J170" s="32" t="str">
        <f t="shared" si="6"/>
        <v>#NUM!</v>
      </c>
      <c r="K170" s="32" t="str">
        <f t="shared" si="7"/>
        <v>#NUM!</v>
      </c>
      <c r="L170" s="33" t="str">
        <f t="shared" si="1"/>
        <v>#NUM!</v>
      </c>
      <c r="M170" s="32" t="str">
        <f t="shared" si="8"/>
        <v>#NUM!</v>
      </c>
      <c r="N170" s="36" t="str">
        <f t="shared" si="9"/>
        <v>#NUM!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7">
        <v>157.0</v>
      </c>
      <c r="F171" s="34">
        <f t="shared" si="2"/>
        <v>48244</v>
      </c>
      <c r="G171" s="32" t="str">
        <f t="shared" si="3"/>
        <v>#NUM!</v>
      </c>
      <c r="H171" s="32">
        <f t="shared" si="4"/>
        <v>706.6954536</v>
      </c>
      <c r="I171" s="32" t="str">
        <f t="shared" si="5"/>
        <v>#NUM!</v>
      </c>
      <c r="J171" s="32" t="str">
        <f t="shared" si="6"/>
        <v>#NUM!</v>
      </c>
      <c r="K171" s="32" t="str">
        <f t="shared" si="7"/>
        <v>#NUM!</v>
      </c>
      <c r="L171" s="33" t="str">
        <f t="shared" si="1"/>
        <v>#NUM!</v>
      </c>
      <c r="M171" s="32" t="str">
        <f t="shared" si="8"/>
        <v>#NUM!</v>
      </c>
      <c r="N171" s="36" t="str">
        <f t="shared" si="9"/>
        <v>#NUM!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7">
        <v>158.0</v>
      </c>
      <c r="F172" s="34">
        <f t="shared" si="2"/>
        <v>48273</v>
      </c>
      <c r="G172" s="32" t="str">
        <f t="shared" si="3"/>
        <v>#NUM!</v>
      </c>
      <c r="H172" s="32">
        <f t="shared" si="4"/>
        <v>706.6954536</v>
      </c>
      <c r="I172" s="32" t="str">
        <f t="shared" si="5"/>
        <v>#NUM!</v>
      </c>
      <c r="J172" s="32" t="str">
        <f t="shared" si="6"/>
        <v>#NUM!</v>
      </c>
      <c r="K172" s="32" t="str">
        <f t="shared" si="7"/>
        <v>#NUM!</v>
      </c>
      <c r="L172" s="33" t="str">
        <f t="shared" si="1"/>
        <v>#NUM!</v>
      </c>
      <c r="M172" s="32" t="str">
        <f t="shared" si="8"/>
        <v>#NUM!</v>
      </c>
      <c r="N172" s="36" t="str">
        <f t="shared" si="9"/>
        <v>#NUM!</v>
      </c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7">
        <v>159.0</v>
      </c>
      <c r="F173" s="34">
        <f t="shared" si="2"/>
        <v>48304</v>
      </c>
      <c r="G173" s="32" t="str">
        <f t="shared" si="3"/>
        <v>#NUM!</v>
      </c>
      <c r="H173" s="32">
        <f t="shared" si="4"/>
        <v>706.6954536</v>
      </c>
      <c r="I173" s="32" t="str">
        <f t="shared" si="5"/>
        <v>#NUM!</v>
      </c>
      <c r="J173" s="32" t="str">
        <f t="shared" si="6"/>
        <v>#NUM!</v>
      </c>
      <c r="K173" s="32" t="str">
        <f t="shared" si="7"/>
        <v>#NUM!</v>
      </c>
      <c r="L173" s="33" t="str">
        <f t="shared" si="1"/>
        <v>#NUM!</v>
      </c>
      <c r="M173" s="32" t="str">
        <f t="shared" si="8"/>
        <v>#NUM!</v>
      </c>
      <c r="N173" s="36" t="str">
        <f t="shared" si="9"/>
        <v>#NUM!</v>
      </c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7">
        <v>160.0</v>
      </c>
      <c r="F174" s="34">
        <f t="shared" si="2"/>
        <v>48334</v>
      </c>
      <c r="G174" s="32" t="str">
        <f t="shared" si="3"/>
        <v>#NUM!</v>
      </c>
      <c r="H174" s="32">
        <f t="shared" si="4"/>
        <v>706.6954536</v>
      </c>
      <c r="I174" s="32" t="str">
        <f t="shared" si="5"/>
        <v>#NUM!</v>
      </c>
      <c r="J174" s="32" t="str">
        <f t="shared" si="6"/>
        <v>#NUM!</v>
      </c>
      <c r="K174" s="32" t="str">
        <f t="shared" si="7"/>
        <v>#NUM!</v>
      </c>
      <c r="L174" s="33" t="str">
        <f t="shared" si="1"/>
        <v>#NUM!</v>
      </c>
      <c r="M174" s="32" t="str">
        <f t="shared" si="8"/>
        <v>#NUM!</v>
      </c>
      <c r="N174" s="36" t="str">
        <f t="shared" si="9"/>
        <v>#NUM!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7">
        <v>161.0</v>
      </c>
      <c r="F175" s="34">
        <f t="shared" si="2"/>
        <v>48365</v>
      </c>
      <c r="G175" s="32" t="str">
        <f t="shared" si="3"/>
        <v>#NUM!</v>
      </c>
      <c r="H175" s="32">
        <f t="shared" si="4"/>
        <v>706.6954536</v>
      </c>
      <c r="I175" s="32" t="str">
        <f t="shared" si="5"/>
        <v>#NUM!</v>
      </c>
      <c r="J175" s="32" t="str">
        <f t="shared" si="6"/>
        <v>#NUM!</v>
      </c>
      <c r="K175" s="32" t="str">
        <f t="shared" si="7"/>
        <v>#NUM!</v>
      </c>
      <c r="L175" s="33" t="str">
        <f t="shared" si="1"/>
        <v>#NUM!</v>
      </c>
      <c r="M175" s="32" t="str">
        <f t="shared" si="8"/>
        <v>#NUM!</v>
      </c>
      <c r="N175" s="36" t="str">
        <f t="shared" si="9"/>
        <v>#NUM!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7">
        <v>162.0</v>
      </c>
      <c r="F176" s="34">
        <f t="shared" si="2"/>
        <v>48395</v>
      </c>
      <c r="G176" s="32" t="str">
        <f t="shared" si="3"/>
        <v>#NUM!</v>
      </c>
      <c r="H176" s="32">
        <f t="shared" si="4"/>
        <v>706.6954536</v>
      </c>
      <c r="I176" s="32" t="str">
        <f t="shared" si="5"/>
        <v>#NUM!</v>
      </c>
      <c r="J176" s="32" t="str">
        <f t="shared" si="6"/>
        <v>#NUM!</v>
      </c>
      <c r="K176" s="32" t="str">
        <f t="shared" si="7"/>
        <v>#NUM!</v>
      </c>
      <c r="L176" s="33" t="str">
        <f t="shared" si="1"/>
        <v>#NUM!</v>
      </c>
      <c r="M176" s="32" t="str">
        <f t="shared" si="8"/>
        <v>#NUM!</v>
      </c>
      <c r="N176" s="36" t="str">
        <f t="shared" si="9"/>
        <v>#NUM!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7">
        <v>163.0</v>
      </c>
      <c r="F177" s="34">
        <f t="shared" si="2"/>
        <v>48426</v>
      </c>
      <c r="G177" s="32" t="str">
        <f t="shared" si="3"/>
        <v>#NUM!</v>
      </c>
      <c r="H177" s="32">
        <f t="shared" si="4"/>
        <v>706.6954536</v>
      </c>
      <c r="I177" s="32" t="str">
        <f t="shared" si="5"/>
        <v>#NUM!</v>
      </c>
      <c r="J177" s="32" t="str">
        <f t="shared" si="6"/>
        <v>#NUM!</v>
      </c>
      <c r="K177" s="32" t="str">
        <f t="shared" si="7"/>
        <v>#NUM!</v>
      </c>
      <c r="L177" s="33" t="str">
        <f t="shared" si="1"/>
        <v>#NUM!</v>
      </c>
      <c r="M177" s="32" t="str">
        <f t="shared" si="8"/>
        <v>#NUM!</v>
      </c>
      <c r="N177" s="36" t="str">
        <f t="shared" si="9"/>
        <v>#NUM!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7">
        <v>164.0</v>
      </c>
      <c r="F178" s="34">
        <f t="shared" si="2"/>
        <v>48457</v>
      </c>
      <c r="G178" s="32" t="str">
        <f t="shared" si="3"/>
        <v>#NUM!</v>
      </c>
      <c r="H178" s="32">
        <f t="shared" si="4"/>
        <v>706.6954536</v>
      </c>
      <c r="I178" s="32" t="str">
        <f t="shared" si="5"/>
        <v>#NUM!</v>
      </c>
      <c r="J178" s="32" t="str">
        <f t="shared" si="6"/>
        <v>#NUM!</v>
      </c>
      <c r="K178" s="32" t="str">
        <f t="shared" si="7"/>
        <v>#NUM!</v>
      </c>
      <c r="L178" s="33" t="str">
        <f t="shared" si="1"/>
        <v>#NUM!</v>
      </c>
      <c r="M178" s="32" t="str">
        <f t="shared" si="8"/>
        <v>#NUM!</v>
      </c>
      <c r="N178" s="36" t="str">
        <f t="shared" si="9"/>
        <v>#NUM!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7">
        <v>165.0</v>
      </c>
      <c r="F179" s="34">
        <f t="shared" si="2"/>
        <v>48487</v>
      </c>
      <c r="G179" s="32" t="str">
        <f t="shared" si="3"/>
        <v>#NUM!</v>
      </c>
      <c r="H179" s="32">
        <f t="shared" si="4"/>
        <v>706.6954536</v>
      </c>
      <c r="I179" s="32" t="str">
        <f t="shared" si="5"/>
        <v>#NUM!</v>
      </c>
      <c r="J179" s="32" t="str">
        <f t="shared" si="6"/>
        <v>#NUM!</v>
      </c>
      <c r="K179" s="32" t="str">
        <f t="shared" si="7"/>
        <v>#NUM!</v>
      </c>
      <c r="L179" s="33" t="str">
        <f t="shared" si="1"/>
        <v>#NUM!</v>
      </c>
      <c r="M179" s="32" t="str">
        <f t="shared" si="8"/>
        <v>#NUM!</v>
      </c>
      <c r="N179" s="36" t="str">
        <f t="shared" si="9"/>
        <v>#NUM!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7">
        <v>166.0</v>
      </c>
      <c r="F180" s="34">
        <f t="shared" si="2"/>
        <v>48518</v>
      </c>
      <c r="G180" s="32" t="str">
        <f t="shared" si="3"/>
        <v>#NUM!</v>
      </c>
      <c r="H180" s="32">
        <f t="shared" si="4"/>
        <v>706.6954536</v>
      </c>
      <c r="I180" s="32" t="str">
        <f t="shared" si="5"/>
        <v>#NUM!</v>
      </c>
      <c r="J180" s="32" t="str">
        <f t="shared" si="6"/>
        <v>#NUM!</v>
      </c>
      <c r="K180" s="32" t="str">
        <f t="shared" si="7"/>
        <v>#NUM!</v>
      </c>
      <c r="L180" s="33" t="str">
        <f t="shared" si="1"/>
        <v>#NUM!</v>
      </c>
      <c r="M180" s="32" t="str">
        <f t="shared" si="8"/>
        <v>#NUM!</v>
      </c>
      <c r="N180" s="36" t="str">
        <f t="shared" si="9"/>
        <v>#NUM!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7">
        <v>167.0</v>
      </c>
      <c r="F181" s="34">
        <f t="shared" si="2"/>
        <v>48548</v>
      </c>
      <c r="G181" s="32" t="str">
        <f t="shared" si="3"/>
        <v>#NUM!</v>
      </c>
      <c r="H181" s="32">
        <f t="shared" si="4"/>
        <v>706.6954536</v>
      </c>
      <c r="I181" s="32" t="str">
        <f t="shared" si="5"/>
        <v>#NUM!</v>
      </c>
      <c r="J181" s="32" t="str">
        <f t="shared" si="6"/>
        <v>#NUM!</v>
      </c>
      <c r="K181" s="32" t="str">
        <f t="shared" si="7"/>
        <v>#NUM!</v>
      </c>
      <c r="L181" s="33" t="str">
        <f t="shared" si="1"/>
        <v>#NUM!</v>
      </c>
      <c r="M181" s="32" t="str">
        <f t="shared" si="8"/>
        <v>#NUM!</v>
      </c>
      <c r="N181" s="36" t="str">
        <f t="shared" si="9"/>
        <v>#NUM!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7">
        <v>168.0</v>
      </c>
      <c r="F182" s="34">
        <f t="shared" si="2"/>
        <v>48579</v>
      </c>
      <c r="G182" s="32" t="str">
        <f t="shared" si="3"/>
        <v>#NUM!</v>
      </c>
      <c r="H182" s="32">
        <f t="shared" si="4"/>
        <v>706.6954536</v>
      </c>
      <c r="I182" s="32" t="str">
        <f t="shared" si="5"/>
        <v>#NUM!</v>
      </c>
      <c r="J182" s="32" t="str">
        <f t="shared" si="6"/>
        <v>#NUM!</v>
      </c>
      <c r="K182" s="32" t="str">
        <f t="shared" si="7"/>
        <v>#NUM!</v>
      </c>
      <c r="L182" s="33" t="str">
        <f t="shared" si="1"/>
        <v>#NUM!</v>
      </c>
      <c r="M182" s="32" t="str">
        <f t="shared" si="8"/>
        <v>#NUM!</v>
      </c>
      <c r="N182" s="36" t="str">
        <f t="shared" si="9"/>
        <v>#NUM!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4"/>
      <c r="G183" s="2"/>
      <c r="H183" s="32"/>
      <c r="I183" s="2"/>
      <c r="J183" s="2"/>
      <c r="K183" s="2"/>
      <c r="L183" s="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4"/>
      <c r="G184" s="2"/>
      <c r="H184" s="32"/>
      <c r="I184" s="2"/>
      <c r="J184" s="2"/>
      <c r="K184" s="2"/>
      <c r="L184" s="9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4"/>
      <c r="G185" s="2"/>
      <c r="H185" s="32"/>
      <c r="I185" s="2"/>
      <c r="J185" s="2"/>
      <c r="K185" s="2"/>
      <c r="L185" s="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4"/>
      <c r="G186" s="2"/>
      <c r="H186" s="32"/>
      <c r="I186" s="2"/>
      <c r="J186" s="2"/>
      <c r="K186" s="2"/>
      <c r="L186" s="9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4"/>
      <c r="G187" s="2"/>
      <c r="H187" s="32"/>
      <c r="I187" s="2"/>
      <c r="J187" s="2"/>
      <c r="K187" s="2"/>
      <c r="L187" s="9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4"/>
      <c r="G188" s="2"/>
      <c r="H188" s="32"/>
      <c r="I188" s="2"/>
      <c r="J188" s="2"/>
      <c r="K188" s="2"/>
      <c r="L188" s="9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4"/>
      <c r="G189" s="2"/>
      <c r="H189" s="32"/>
      <c r="I189" s="2"/>
      <c r="J189" s="2"/>
      <c r="K189" s="2"/>
      <c r="L189" s="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4"/>
      <c r="G190" s="2"/>
      <c r="H190" s="32"/>
      <c r="I190" s="2"/>
      <c r="J190" s="2"/>
      <c r="K190" s="2"/>
      <c r="L190" s="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4"/>
      <c r="G191" s="2"/>
      <c r="H191" s="32"/>
      <c r="I191" s="2"/>
      <c r="J191" s="2"/>
      <c r="K191" s="2"/>
      <c r="L191" s="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4"/>
      <c r="G192" s="2"/>
      <c r="H192" s="32"/>
      <c r="I192" s="2"/>
      <c r="J192" s="2"/>
      <c r="K192" s="2"/>
      <c r="L192" s="9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4"/>
      <c r="G193" s="2"/>
      <c r="H193" s="32"/>
      <c r="I193" s="2"/>
      <c r="J193" s="2"/>
      <c r="K193" s="2"/>
      <c r="L193" s="9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4"/>
      <c r="G194" s="2"/>
      <c r="H194" s="32"/>
      <c r="I194" s="2"/>
      <c r="J194" s="2"/>
      <c r="K194" s="2"/>
      <c r="L194" s="9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4"/>
      <c r="G195" s="2"/>
      <c r="H195" s="32"/>
      <c r="I195" s="2"/>
      <c r="J195" s="2"/>
      <c r="K195" s="2"/>
      <c r="L195" s="9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4"/>
      <c r="G196" s="2"/>
      <c r="H196" s="32"/>
      <c r="I196" s="2"/>
      <c r="J196" s="2"/>
      <c r="K196" s="2"/>
      <c r="L196" s="9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>
      <c r="A3" s="1" t="s">
        <v>62</v>
      </c>
      <c r="B3" s="26">
        <v>50000.0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>
      <c r="A4" s="1" t="s">
        <v>63</v>
      </c>
      <c r="B4" s="26">
        <v>80000.0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>
      <c r="A5" s="1" t="s">
        <v>64</v>
      </c>
      <c r="B5" s="27">
        <v>0.05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>
      <c r="A6" s="1" t="s">
        <v>65</v>
      </c>
      <c r="B6" s="13">
        <v>7.0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>
      <c r="A7" s="1" t="s">
        <v>66</v>
      </c>
      <c r="B7" s="13" t="s">
        <v>51</v>
      </c>
      <c r="C7" s="28">
        <f>switch(B7,"Bi-Weekly",26,"Semi-Monthly",24,12)</f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>
      <c r="A8" s="2" t="s">
        <v>67</v>
      </c>
      <c r="B8" s="13">
        <f>C7*B6</f>
        <v>84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>
      <c r="A9" s="1" t="s">
        <v>68</v>
      </c>
      <c r="B9" s="16">
        <v>43465.0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>
      <c r="A11" s="2" t="s">
        <v>69</v>
      </c>
      <c r="B11" s="29">
        <f>-CUMIPMT(B5/C7,B8,B3,1,B8,0)</f>
        <v>9362.418102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>
      <c r="A12" s="2"/>
      <c r="B12" s="2"/>
      <c r="C12" s="2"/>
      <c r="D12" s="2"/>
      <c r="E12" s="2"/>
      <c r="F12" s="2" t="s">
        <v>70</v>
      </c>
      <c r="G12" s="2" t="s">
        <v>71</v>
      </c>
      <c r="H12" s="2" t="s">
        <v>72</v>
      </c>
      <c r="I12" s="2" t="s">
        <v>73</v>
      </c>
      <c r="J12" s="2" t="s">
        <v>74</v>
      </c>
      <c r="K12" s="2" t="s">
        <v>62</v>
      </c>
      <c r="L12" s="2" t="s">
        <v>75</v>
      </c>
      <c r="M12" s="2" t="s">
        <v>76</v>
      </c>
      <c r="N12" s="2" t="s">
        <v>77</v>
      </c>
      <c r="O12" s="37" t="s">
        <v>78</v>
      </c>
      <c r="P12" s="2"/>
      <c r="Q12" s="2" t="s">
        <v>70</v>
      </c>
      <c r="R12" s="2" t="s">
        <v>71</v>
      </c>
      <c r="S12" s="2" t="s">
        <v>72</v>
      </c>
      <c r="T12" s="2" t="s">
        <v>73</v>
      </c>
      <c r="U12" s="2" t="s">
        <v>74</v>
      </c>
      <c r="V12" s="2" t="s">
        <v>62</v>
      </c>
      <c r="W12" s="2" t="s">
        <v>75</v>
      </c>
      <c r="X12" s="2" t="s">
        <v>76</v>
      </c>
      <c r="Y12" s="2" t="s">
        <v>77</v>
      </c>
      <c r="Z12" s="37" t="s">
        <v>78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>
      <c r="A13" s="2"/>
      <c r="B13" s="2"/>
      <c r="C13" s="2"/>
      <c r="D13" s="2"/>
      <c r="E13" s="2"/>
      <c r="F13" s="38">
        <f>IFERROR(__xludf.DUMMYFUNCTION("FILTER(Q13:Z195,W13:W195&gt;-0.01)"),0.0)</f>
        <v>0</v>
      </c>
      <c r="G13" s="16">
        <f>IFERROR(__xludf.DUMMYFUNCTION("""COMPUTED_VALUE"""),43465.0)</f>
        <v>43465</v>
      </c>
      <c r="H13" s="29">
        <f>IFERROR(__xludf.DUMMYFUNCTION("""COMPUTED_VALUE"""),0.0)</f>
        <v>0</v>
      </c>
      <c r="I13" s="18"/>
      <c r="J13" s="18"/>
      <c r="K13" s="18"/>
      <c r="L13" s="26">
        <f>IFERROR(__xludf.DUMMYFUNCTION("""COMPUTED_VALUE"""),50000.0)</f>
        <v>50000</v>
      </c>
      <c r="M13" s="39">
        <f>IFERROR(__xludf.DUMMYFUNCTION("""COMPUTED_VALUE"""),0.625)</f>
        <v>0.625</v>
      </c>
      <c r="N13" s="2"/>
      <c r="O13" s="2"/>
      <c r="P13" s="2"/>
      <c r="Q13" s="13">
        <v>0.0</v>
      </c>
      <c r="R13" s="16">
        <f>B9</f>
        <v>43465</v>
      </c>
      <c r="S13" s="29">
        <v>0.0</v>
      </c>
      <c r="T13" s="18"/>
      <c r="U13" s="18"/>
      <c r="V13" s="18"/>
      <c r="W13" s="26">
        <f>B3</f>
        <v>50000</v>
      </c>
      <c r="X13" s="39">
        <f>W13/B4</f>
        <v>0.625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>
      <c r="A14" s="2"/>
      <c r="B14" s="2"/>
      <c r="C14" s="2"/>
      <c r="D14" s="2"/>
      <c r="E14" s="2"/>
      <c r="F14" s="13">
        <f>IFERROR(__xludf.DUMMYFUNCTION("""COMPUTED_VALUE"""),1.0)</f>
        <v>1</v>
      </c>
      <c r="G14" s="17">
        <f>IFERROR(__xludf.DUMMYFUNCTION("""COMPUTED_VALUE"""),43496.0)</f>
        <v>43496</v>
      </c>
      <c r="H14" s="26">
        <f>IFERROR(__xludf.DUMMYFUNCTION("""COMPUTED_VALUE"""),50000.0)</f>
        <v>50000</v>
      </c>
      <c r="I14" s="40">
        <f>IFERROR(__xludf.DUMMYFUNCTION("""COMPUTED_VALUE"""),706.6954535953523)</f>
        <v>706.6954536</v>
      </c>
      <c r="J14" s="40">
        <f>IFERROR(__xludf.DUMMYFUNCTION("""COMPUTED_VALUE"""),208.3333333333333)</f>
        <v>208.3333333</v>
      </c>
      <c r="K14" s="40">
        <f>IFERROR(__xludf.DUMMYFUNCTION("""COMPUTED_VALUE"""),498.3621202620191)</f>
        <v>498.3621203</v>
      </c>
      <c r="L14" s="26">
        <f>IFERROR(__xludf.DUMMYFUNCTION("""COMPUTED_VALUE"""),49501.63787973798)</f>
        <v>49501.63788</v>
      </c>
      <c r="M14" s="39">
        <f>IFERROR(__xludf.DUMMYFUNCTION("""COMPUTED_VALUE"""),0.6187704734967248)</f>
        <v>0.6187704735</v>
      </c>
      <c r="N14" s="40">
        <f>IFERROR(__xludf.DUMMYFUNCTION("""COMPUTED_VALUE"""),208.3333333333333)</f>
        <v>208.3333333</v>
      </c>
      <c r="O14" s="40">
        <f>IFERROR(__xludf.DUMMYFUNCTION("""COMPUTED_VALUE"""),498.3621202620191)</f>
        <v>498.3621203</v>
      </c>
      <c r="P14" s="2"/>
      <c r="Q14" s="13">
        <v>1.0</v>
      </c>
      <c r="R14" s="17">
        <f t="shared" ref="R14:R195" si="2">IF(C7=12,EOMONTH(R13,1),IF(C7=26,R13+14,IF(DAY(R13)=15,EOMONTH(R13,0),R13+15)))</f>
        <v>43496</v>
      </c>
      <c r="S14" s="26">
        <f t="shared" ref="S14:S195" si="3">W13</f>
        <v>50000</v>
      </c>
      <c r="T14" s="40">
        <f t="shared" ref="T14:T195" si="4">-PMT($B$5/$C$7,$B$8,$B$3)</f>
        <v>706.6954536</v>
      </c>
      <c r="U14" s="40">
        <f t="shared" ref="U14:U195" si="5">-IPMT($B$5/$C$7,Q14,$B$8,$B$3)</f>
        <v>208.3333333</v>
      </c>
      <c r="V14" s="40">
        <f t="shared" ref="V14:V195" si="6">-PPMT($B$5/$C$7,Q14,$B$8,$B$3)</f>
        <v>498.3621203</v>
      </c>
      <c r="W14" s="26">
        <f t="shared" ref="W14:W195" si="7">S14-V14</f>
        <v>49501.63788</v>
      </c>
      <c r="X14" s="39">
        <f t="shared" ref="X14:X195" si="8">W14/$B$4</f>
        <v>0.6187704735</v>
      </c>
      <c r="Y14" s="40">
        <f t="shared" ref="Y14:Z14" si="1">U14+Y13</f>
        <v>208.3333333</v>
      </c>
      <c r="Z14" s="40">
        <f t="shared" si="1"/>
        <v>498.3621203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>
      <c r="A15" s="2"/>
      <c r="B15" s="2"/>
      <c r="C15" s="2"/>
      <c r="D15" s="2"/>
      <c r="E15" s="2"/>
      <c r="F15" s="13">
        <f>IFERROR(__xludf.DUMMYFUNCTION("""COMPUTED_VALUE"""),2.0)</f>
        <v>2</v>
      </c>
      <c r="G15" s="17">
        <f>IFERROR(__xludf.DUMMYFUNCTION("""COMPUTED_VALUE"""),43511.0)</f>
        <v>43511</v>
      </c>
      <c r="H15" s="26">
        <f>IFERROR(__xludf.DUMMYFUNCTION("""COMPUTED_VALUE"""),49501.63787973798)</f>
        <v>49501.63788</v>
      </c>
      <c r="I15" s="40">
        <f>IFERROR(__xludf.DUMMYFUNCTION("""COMPUTED_VALUE"""),706.6954535953523)</f>
        <v>706.6954536</v>
      </c>
      <c r="J15" s="40">
        <f>IFERROR(__xludf.DUMMYFUNCTION("""COMPUTED_VALUE"""),206.25682449890826)</f>
        <v>206.2568245</v>
      </c>
      <c r="K15" s="40">
        <f>IFERROR(__xludf.DUMMYFUNCTION("""COMPUTED_VALUE"""),500.4386290964442)</f>
        <v>500.4386291</v>
      </c>
      <c r="L15" s="26">
        <f>IFERROR(__xludf.DUMMYFUNCTION("""COMPUTED_VALUE"""),49001.19925064153)</f>
        <v>49001.19925</v>
      </c>
      <c r="M15" s="39">
        <f>IFERROR(__xludf.DUMMYFUNCTION("""COMPUTED_VALUE"""),0.6125149906330192)</f>
        <v>0.6125149906</v>
      </c>
      <c r="N15" s="40">
        <f>IFERROR(__xludf.DUMMYFUNCTION("""COMPUTED_VALUE"""),414.5901578322415)</f>
        <v>414.5901578</v>
      </c>
      <c r="O15" s="40">
        <f>IFERROR(__xludf.DUMMYFUNCTION("""COMPUTED_VALUE"""),998.8007493584632)</f>
        <v>998.8007494</v>
      </c>
      <c r="P15" s="2"/>
      <c r="Q15" s="13">
        <v>2.0</v>
      </c>
      <c r="R15" s="17">
        <f t="shared" si="2"/>
        <v>43511</v>
      </c>
      <c r="S15" s="26">
        <f t="shared" si="3"/>
        <v>49501.63788</v>
      </c>
      <c r="T15" s="40">
        <f t="shared" si="4"/>
        <v>706.6954536</v>
      </c>
      <c r="U15" s="40">
        <f t="shared" si="5"/>
        <v>206.2568245</v>
      </c>
      <c r="V15" s="40">
        <f t="shared" si="6"/>
        <v>500.4386291</v>
      </c>
      <c r="W15" s="26">
        <f t="shared" si="7"/>
        <v>49001.19925</v>
      </c>
      <c r="X15" s="39">
        <f t="shared" si="8"/>
        <v>0.6125149906</v>
      </c>
      <c r="Y15" s="40">
        <f t="shared" ref="Y15:Z15" si="9">U15+Y14</f>
        <v>414.5901578</v>
      </c>
      <c r="Z15" s="40">
        <f t="shared" si="9"/>
        <v>998.8007494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>
      <c r="A16" s="2"/>
      <c r="B16" s="2"/>
      <c r="C16" s="2"/>
      <c r="D16" s="2"/>
      <c r="E16" s="2"/>
      <c r="F16" s="13">
        <f>IFERROR(__xludf.DUMMYFUNCTION("""COMPUTED_VALUE"""),3.0)</f>
        <v>3</v>
      </c>
      <c r="G16" s="17">
        <f>IFERROR(__xludf.DUMMYFUNCTION("""COMPUTED_VALUE"""),43524.0)</f>
        <v>43524</v>
      </c>
      <c r="H16" s="26">
        <f>IFERROR(__xludf.DUMMYFUNCTION("""COMPUTED_VALUE"""),49001.19925064153)</f>
        <v>49001.19925</v>
      </c>
      <c r="I16" s="40">
        <f>IFERROR(__xludf.DUMMYFUNCTION("""COMPUTED_VALUE"""),706.6954535953523)</f>
        <v>706.6954536</v>
      </c>
      <c r="J16" s="40">
        <f>IFERROR(__xludf.DUMMYFUNCTION("""COMPUTED_VALUE"""),204.1716635443397)</f>
        <v>204.1716635</v>
      </c>
      <c r="K16" s="40">
        <f>IFERROR(__xludf.DUMMYFUNCTION("""COMPUTED_VALUE"""),502.52379005101267)</f>
        <v>502.5237901</v>
      </c>
      <c r="L16" s="26">
        <f>IFERROR(__xludf.DUMMYFUNCTION("""COMPUTED_VALUE"""),48498.67546059052)</f>
        <v>48498.67546</v>
      </c>
      <c r="M16" s="39">
        <f>IFERROR(__xludf.DUMMYFUNCTION("""COMPUTED_VALUE"""),0.6062334432573815)</f>
        <v>0.6062334433</v>
      </c>
      <c r="N16" s="40">
        <f>IFERROR(__xludf.DUMMYFUNCTION("""COMPUTED_VALUE"""),618.7618213765812)</f>
        <v>618.7618214</v>
      </c>
      <c r="O16" s="40">
        <f>IFERROR(__xludf.DUMMYFUNCTION("""COMPUTED_VALUE"""),1501.3245394094758)</f>
        <v>1501.324539</v>
      </c>
      <c r="P16" s="2"/>
      <c r="Q16" s="13">
        <v>3.0</v>
      </c>
      <c r="R16" s="17">
        <f t="shared" si="2"/>
        <v>43524</v>
      </c>
      <c r="S16" s="26">
        <f t="shared" si="3"/>
        <v>49001.19925</v>
      </c>
      <c r="T16" s="40">
        <f t="shared" si="4"/>
        <v>706.6954536</v>
      </c>
      <c r="U16" s="40">
        <f t="shared" si="5"/>
        <v>204.1716635</v>
      </c>
      <c r="V16" s="40">
        <f t="shared" si="6"/>
        <v>502.5237901</v>
      </c>
      <c r="W16" s="26">
        <f t="shared" si="7"/>
        <v>48498.67546</v>
      </c>
      <c r="X16" s="39">
        <f t="shared" si="8"/>
        <v>0.6062334433</v>
      </c>
      <c r="Y16" s="40">
        <f t="shared" ref="Y16:Z16" si="10">U16+Y15</f>
        <v>618.7618214</v>
      </c>
      <c r="Z16" s="40">
        <f t="shared" si="10"/>
        <v>1501.324539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>
      <c r="A17" s="2"/>
      <c r="B17" s="2"/>
      <c r="C17" s="2"/>
      <c r="D17" s="2"/>
      <c r="E17" s="2"/>
      <c r="F17" s="13">
        <f>IFERROR(__xludf.DUMMYFUNCTION("""COMPUTED_VALUE"""),4.0)</f>
        <v>4</v>
      </c>
      <c r="G17" s="17">
        <f>IFERROR(__xludf.DUMMYFUNCTION("""COMPUTED_VALUE"""),43539.0)</f>
        <v>43539</v>
      </c>
      <c r="H17" s="26">
        <f>IFERROR(__xludf.DUMMYFUNCTION("""COMPUTED_VALUE"""),48498.67546059052)</f>
        <v>48498.67546</v>
      </c>
      <c r="I17" s="40">
        <f>IFERROR(__xludf.DUMMYFUNCTION("""COMPUTED_VALUE"""),706.6954535953523)</f>
        <v>706.6954536</v>
      </c>
      <c r="J17" s="40">
        <f>IFERROR(__xludf.DUMMYFUNCTION("""COMPUTED_VALUE"""),202.07781441912724)</f>
        <v>202.0778144</v>
      </c>
      <c r="K17" s="40">
        <f>IFERROR(__xludf.DUMMYFUNCTION("""COMPUTED_VALUE"""),504.61763917622517)</f>
        <v>504.6176392</v>
      </c>
      <c r="L17" s="26">
        <f>IFERROR(__xludf.DUMMYFUNCTION("""COMPUTED_VALUE"""),47994.057821414295)</f>
        <v>47994.05782</v>
      </c>
      <c r="M17" s="39">
        <f>IFERROR(__xludf.DUMMYFUNCTION("""COMPUTED_VALUE"""),0.5999257227676786)</f>
        <v>0.5999257228</v>
      </c>
      <c r="N17" s="40">
        <f>IFERROR(__xludf.DUMMYFUNCTION("""COMPUTED_VALUE"""),820.8396357957084)</f>
        <v>820.8396358</v>
      </c>
      <c r="O17" s="40">
        <f>IFERROR(__xludf.DUMMYFUNCTION("""COMPUTED_VALUE"""),2005.942178585701)</f>
        <v>2005.942179</v>
      </c>
      <c r="P17" s="2"/>
      <c r="Q17" s="13">
        <v>4.0</v>
      </c>
      <c r="R17" s="17">
        <f t="shared" si="2"/>
        <v>43539</v>
      </c>
      <c r="S17" s="26">
        <f t="shared" si="3"/>
        <v>48498.67546</v>
      </c>
      <c r="T17" s="40">
        <f t="shared" si="4"/>
        <v>706.6954536</v>
      </c>
      <c r="U17" s="40">
        <f t="shared" si="5"/>
        <v>202.0778144</v>
      </c>
      <c r="V17" s="40">
        <f t="shared" si="6"/>
        <v>504.6176392</v>
      </c>
      <c r="W17" s="26">
        <f t="shared" si="7"/>
        <v>47994.05782</v>
      </c>
      <c r="X17" s="39">
        <f t="shared" si="8"/>
        <v>0.5999257228</v>
      </c>
      <c r="Y17" s="40">
        <f t="shared" ref="Y17:Z17" si="11">U17+Y16</f>
        <v>820.8396358</v>
      </c>
      <c r="Z17" s="40">
        <f t="shared" si="11"/>
        <v>2005.942179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>
      <c r="A18" s="2"/>
      <c r="B18" s="2"/>
      <c r="C18" s="2"/>
      <c r="D18" s="2"/>
      <c r="E18" s="2"/>
      <c r="F18" s="13">
        <f>IFERROR(__xludf.DUMMYFUNCTION("""COMPUTED_VALUE"""),5.0)</f>
        <v>5</v>
      </c>
      <c r="G18" s="17">
        <f>IFERROR(__xludf.DUMMYFUNCTION("""COMPUTED_VALUE"""),43555.0)</f>
        <v>43555</v>
      </c>
      <c r="H18" s="26">
        <f>IFERROR(__xludf.DUMMYFUNCTION("""COMPUTED_VALUE"""),47994.057821414295)</f>
        <v>47994.05782</v>
      </c>
      <c r="I18" s="40">
        <f>IFERROR(__xludf.DUMMYFUNCTION("""COMPUTED_VALUE"""),706.6954535953523)</f>
        <v>706.6954536</v>
      </c>
      <c r="J18" s="40">
        <f>IFERROR(__xludf.DUMMYFUNCTION("""COMPUTED_VALUE"""),199.97524092255966)</f>
        <v>199.9752409</v>
      </c>
      <c r="K18" s="40">
        <f>IFERROR(__xludf.DUMMYFUNCTION("""COMPUTED_VALUE"""),506.7202126727928)</f>
        <v>506.7202127</v>
      </c>
      <c r="L18" s="26">
        <f>IFERROR(__xludf.DUMMYFUNCTION("""COMPUTED_VALUE"""),47487.3376087415)</f>
        <v>47487.33761</v>
      </c>
      <c r="M18" s="39">
        <f>IFERROR(__xludf.DUMMYFUNCTION("""COMPUTED_VALUE"""),0.5935917201092688)</f>
        <v>0.5935917201</v>
      </c>
      <c r="N18" s="40">
        <f>IFERROR(__xludf.DUMMYFUNCTION("""COMPUTED_VALUE"""),1020.8148767182681)</f>
        <v>1020.814877</v>
      </c>
      <c r="O18" s="40">
        <f>IFERROR(__xludf.DUMMYFUNCTION("""COMPUTED_VALUE"""),2512.6623912584937)</f>
        <v>2512.662391</v>
      </c>
      <c r="P18" s="2"/>
      <c r="Q18" s="13">
        <v>5.0</v>
      </c>
      <c r="R18" s="17">
        <f t="shared" si="2"/>
        <v>43555</v>
      </c>
      <c r="S18" s="26">
        <f t="shared" si="3"/>
        <v>47994.05782</v>
      </c>
      <c r="T18" s="40">
        <f t="shared" si="4"/>
        <v>706.6954536</v>
      </c>
      <c r="U18" s="40">
        <f t="shared" si="5"/>
        <v>199.9752409</v>
      </c>
      <c r="V18" s="40">
        <f t="shared" si="6"/>
        <v>506.7202127</v>
      </c>
      <c r="W18" s="26">
        <f t="shared" si="7"/>
        <v>47487.33761</v>
      </c>
      <c r="X18" s="39">
        <f t="shared" si="8"/>
        <v>0.5935917201</v>
      </c>
      <c r="Y18" s="40">
        <f t="shared" ref="Y18:Z18" si="12">U18+Y17</f>
        <v>1020.814877</v>
      </c>
      <c r="Z18" s="40">
        <f t="shared" si="12"/>
        <v>2512.662391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>
      <c r="A19" s="2"/>
      <c r="B19" s="2"/>
      <c r="C19" s="2"/>
      <c r="D19" s="2"/>
      <c r="E19" s="2"/>
      <c r="F19" s="13">
        <f>IFERROR(__xludf.DUMMYFUNCTION("""COMPUTED_VALUE"""),6.0)</f>
        <v>6</v>
      </c>
      <c r="G19" s="17">
        <f>IFERROR(__xludf.DUMMYFUNCTION("""COMPUTED_VALUE"""),43570.0)</f>
        <v>43570</v>
      </c>
      <c r="H19" s="26">
        <f>IFERROR(__xludf.DUMMYFUNCTION("""COMPUTED_VALUE"""),47487.3376087415)</f>
        <v>47487.33761</v>
      </c>
      <c r="I19" s="40">
        <f>IFERROR(__xludf.DUMMYFUNCTION("""COMPUTED_VALUE"""),706.6954535953523)</f>
        <v>706.6954536</v>
      </c>
      <c r="J19" s="40">
        <f>IFERROR(__xludf.DUMMYFUNCTION("""COMPUTED_VALUE"""),197.86390670308958)</f>
        <v>197.8639067</v>
      </c>
      <c r="K19" s="40">
        <f>IFERROR(__xludf.DUMMYFUNCTION("""COMPUTED_VALUE"""),508.8315468922628)</f>
        <v>508.8315469</v>
      </c>
      <c r="L19" s="26">
        <f>IFERROR(__xludf.DUMMYFUNCTION("""COMPUTED_VALUE"""),46978.50606184924)</f>
        <v>46978.50606</v>
      </c>
      <c r="M19" s="39">
        <f>IFERROR(__xludf.DUMMYFUNCTION("""COMPUTED_VALUE"""),0.5872313257731155)</f>
        <v>0.5872313258</v>
      </c>
      <c r="N19" s="40">
        <f>IFERROR(__xludf.DUMMYFUNCTION("""COMPUTED_VALUE"""),1218.6787834213578)</f>
        <v>1218.678783</v>
      </c>
      <c r="O19" s="40">
        <f>IFERROR(__xludf.DUMMYFUNCTION("""COMPUTED_VALUE"""),3021.4939381507565)</f>
        <v>3021.493938</v>
      </c>
      <c r="P19" s="2"/>
      <c r="Q19" s="13">
        <v>6.0</v>
      </c>
      <c r="R19" s="17">
        <f t="shared" si="2"/>
        <v>43570</v>
      </c>
      <c r="S19" s="26">
        <f t="shared" si="3"/>
        <v>47487.33761</v>
      </c>
      <c r="T19" s="40">
        <f t="shared" si="4"/>
        <v>706.6954536</v>
      </c>
      <c r="U19" s="40">
        <f t="shared" si="5"/>
        <v>197.8639067</v>
      </c>
      <c r="V19" s="40">
        <f t="shared" si="6"/>
        <v>508.8315469</v>
      </c>
      <c r="W19" s="26">
        <f t="shared" si="7"/>
        <v>46978.50606</v>
      </c>
      <c r="X19" s="39">
        <f t="shared" si="8"/>
        <v>0.5872313258</v>
      </c>
      <c r="Y19" s="40">
        <f t="shared" ref="Y19:Z19" si="13">U19+Y18</f>
        <v>1218.678783</v>
      </c>
      <c r="Z19" s="40">
        <f t="shared" si="13"/>
        <v>3021.493938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>
      <c r="A20" s="2"/>
      <c r="B20" s="2"/>
      <c r="C20" s="2"/>
      <c r="D20" s="2"/>
      <c r="E20" s="2"/>
      <c r="F20" s="13">
        <f>IFERROR(__xludf.DUMMYFUNCTION("""COMPUTED_VALUE"""),7.0)</f>
        <v>7</v>
      </c>
      <c r="G20" s="17">
        <f>IFERROR(__xludf.DUMMYFUNCTION("""COMPUTED_VALUE"""),43585.0)</f>
        <v>43585</v>
      </c>
      <c r="H20" s="26">
        <f>IFERROR(__xludf.DUMMYFUNCTION("""COMPUTED_VALUE"""),46978.50606184924)</f>
        <v>46978.50606</v>
      </c>
      <c r="I20" s="40">
        <f>IFERROR(__xludf.DUMMYFUNCTION("""COMPUTED_VALUE"""),706.6954535953523)</f>
        <v>706.6954536</v>
      </c>
      <c r="J20" s="40">
        <f>IFERROR(__xludf.DUMMYFUNCTION("""COMPUTED_VALUE"""),195.74377525770518)</f>
        <v>195.7437753</v>
      </c>
      <c r="K20" s="40">
        <f>IFERROR(__xludf.DUMMYFUNCTION("""COMPUTED_VALUE"""),510.9516783376472)</f>
        <v>510.9516783</v>
      </c>
      <c r="L20" s="26">
        <f>IFERROR(__xludf.DUMMYFUNCTION("""COMPUTED_VALUE"""),46467.5543835116)</f>
        <v>46467.55438</v>
      </c>
      <c r="M20" s="39">
        <f>IFERROR(__xludf.DUMMYFUNCTION("""COMPUTED_VALUE"""),0.580844429793895)</f>
        <v>0.5808444298</v>
      </c>
      <c r="N20" s="40">
        <f>IFERROR(__xludf.DUMMYFUNCTION("""COMPUTED_VALUE"""),1414.422558679063)</f>
        <v>1414.422559</v>
      </c>
      <c r="O20" s="40">
        <f>IFERROR(__xludf.DUMMYFUNCTION("""COMPUTED_VALUE"""),3532.4456164884036)</f>
        <v>3532.445616</v>
      </c>
      <c r="P20" s="2"/>
      <c r="Q20" s="13">
        <v>7.0</v>
      </c>
      <c r="R20" s="17">
        <f t="shared" si="2"/>
        <v>43585</v>
      </c>
      <c r="S20" s="26">
        <f t="shared" si="3"/>
        <v>46978.50606</v>
      </c>
      <c r="T20" s="40">
        <f t="shared" si="4"/>
        <v>706.6954536</v>
      </c>
      <c r="U20" s="40">
        <f t="shared" si="5"/>
        <v>195.7437753</v>
      </c>
      <c r="V20" s="40">
        <f t="shared" si="6"/>
        <v>510.9516783</v>
      </c>
      <c r="W20" s="26">
        <f t="shared" si="7"/>
        <v>46467.55438</v>
      </c>
      <c r="X20" s="39">
        <f t="shared" si="8"/>
        <v>0.5808444298</v>
      </c>
      <c r="Y20" s="40">
        <f t="shared" ref="Y20:Z20" si="14">U20+Y19</f>
        <v>1414.422559</v>
      </c>
      <c r="Z20" s="40">
        <f t="shared" si="14"/>
        <v>3532.445616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>
      <c r="A21" s="2"/>
      <c r="B21" s="2"/>
      <c r="C21" s="2"/>
      <c r="D21" s="2"/>
      <c r="E21" s="2"/>
      <c r="F21" s="13">
        <f>IFERROR(__xludf.DUMMYFUNCTION("""COMPUTED_VALUE"""),8.0)</f>
        <v>8</v>
      </c>
      <c r="G21" s="17">
        <f>IFERROR(__xludf.DUMMYFUNCTION("""COMPUTED_VALUE"""),43600.0)</f>
        <v>43600</v>
      </c>
      <c r="H21" s="26">
        <f>IFERROR(__xludf.DUMMYFUNCTION("""COMPUTED_VALUE"""),46467.5543835116)</f>
        <v>46467.55438</v>
      </c>
      <c r="I21" s="40">
        <f>IFERROR(__xludf.DUMMYFUNCTION("""COMPUTED_VALUE"""),706.6954535953523)</f>
        <v>706.6954536</v>
      </c>
      <c r="J21" s="40">
        <f>IFERROR(__xludf.DUMMYFUNCTION("""COMPUTED_VALUE"""),193.61480993129837)</f>
        <v>193.6148099</v>
      </c>
      <c r="K21" s="40">
        <f>IFERROR(__xludf.DUMMYFUNCTION("""COMPUTED_VALUE"""),513.0806436640539)</f>
        <v>513.0806437</v>
      </c>
      <c r="L21" s="26">
        <f>IFERROR(__xludf.DUMMYFUNCTION("""COMPUTED_VALUE"""),45954.47373984754)</f>
        <v>45954.47374</v>
      </c>
      <c r="M21" s="39">
        <f>IFERROR(__xludf.DUMMYFUNCTION("""COMPUTED_VALUE"""),0.5744309217480943)</f>
        <v>0.5744309217</v>
      </c>
      <c r="N21" s="40">
        <f>IFERROR(__xludf.DUMMYFUNCTION("""COMPUTED_VALUE"""),1608.0373686103615)</f>
        <v>1608.037369</v>
      </c>
      <c r="O21" s="40">
        <f>IFERROR(__xludf.DUMMYFUNCTION("""COMPUTED_VALUE"""),4045.5262601524573)</f>
        <v>4045.52626</v>
      </c>
      <c r="P21" s="2"/>
      <c r="Q21" s="13">
        <v>8.0</v>
      </c>
      <c r="R21" s="17">
        <f t="shared" si="2"/>
        <v>43600</v>
      </c>
      <c r="S21" s="26">
        <f t="shared" si="3"/>
        <v>46467.55438</v>
      </c>
      <c r="T21" s="40">
        <f t="shared" si="4"/>
        <v>706.6954536</v>
      </c>
      <c r="U21" s="40">
        <f t="shared" si="5"/>
        <v>193.6148099</v>
      </c>
      <c r="V21" s="40">
        <f t="shared" si="6"/>
        <v>513.0806437</v>
      </c>
      <c r="W21" s="26">
        <f t="shared" si="7"/>
        <v>45954.47374</v>
      </c>
      <c r="X21" s="39">
        <f t="shared" si="8"/>
        <v>0.5744309217</v>
      </c>
      <c r="Y21" s="40">
        <f t="shared" ref="Y21:Z21" si="15">U21+Y20</f>
        <v>1608.037369</v>
      </c>
      <c r="Z21" s="40">
        <f t="shared" si="15"/>
        <v>4045.52626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>
      <c r="A22" s="2"/>
      <c r="B22" s="2"/>
      <c r="C22" s="2"/>
      <c r="D22" s="2"/>
      <c r="E22" s="2"/>
      <c r="F22" s="13">
        <f>IFERROR(__xludf.DUMMYFUNCTION("""COMPUTED_VALUE"""),9.0)</f>
        <v>9</v>
      </c>
      <c r="G22" s="17">
        <f>IFERROR(__xludf.DUMMYFUNCTION("""COMPUTED_VALUE"""),43616.0)</f>
        <v>43616</v>
      </c>
      <c r="H22" s="26">
        <f>IFERROR(__xludf.DUMMYFUNCTION("""COMPUTED_VALUE"""),45954.47373984754)</f>
        <v>45954.47374</v>
      </c>
      <c r="I22" s="40">
        <f>IFERROR(__xludf.DUMMYFUNCTION("""COMPUTED_VALUE"""),706.6954535953523)</f>
        <v>706.6954536</v>
      </c>
      <c r="J22" s="40">
        <f>IFERROR(__xludf.DUMMYFUNCTION("""COMPUTED_VALUE"""),191.47697391603148)</f>
        <v>191.4769739</v>
      </c>
      <c r="K22" s="40">
        <f>IFERROR(__xludf.DUMMYFUNCTION("""COMPUTED_VALUE"""),515.2184796793209)</f>
        <v>515.2184797</v>
      </c>
      <c r="L22" s="26">
        <f>IFERROR(__xludf.DUMMYFUNCTION("""COMPUTED_VALUE"""),45439.25526016822)</f>
        <v>45439.25526</v>
      </c>
      <c r="M22" s="39">
        <f>IFERROR(__xludf.DUMMYFUNCTION("""COMPUTED_VALUE"""),0.5679906907521027)</f>
        <v>0.5679906908</v>
      </c>
      <c r="N22" s="40">
        <f>IFERROR(__xludf.DUMMYFUNCTION("""COMPUTED_VALUE"""),1799.514342526393)</f>
        <v>1799.514343</v>
      </c>
      <c r="O22" s="40">
        <f>IFERROR(__xludf.DUMMYFUNCTION("""COMPUTED_VALUE"""),4560.744739831778)</f>
        <v>4560.74474</v>
      </c>
      <c r="P22" s="2"/>
      <c r="Q22" s="13">
        <v>9.0</v>
      </c>
      <c r="R22" s="17">
        <f t="shared" si="2"/>
        <v>43616</v>
      </c>
      <c r="S22" s="26">
        <f t="shared" si="3"/>
        <v>45954.47374</v>
      </c>
      <c r="T22" s="40">
        <f t="shared" si="4"/>
        <v>706.6954536</v>
      </c>
      <c r="U22" s="40">
        <f t="shared" si="5"/>
        <v>191.4769739</v>
      </c>
      <c r="V22" s="40">
        <f t="shared" si="6"/>
        <v>515.2184797</v>
      </c>
      <c r="W22" s="26">
        <f t="shared" si="7"/>
        <v>45439.25526</v>
      </c>
      <c r="X22" s="39">
        <f t="shared" si="8"/>
        <v>0.5679906908</v>
      </c>
      <c r="Y22" s="40">
        <f t="shared" ref="Y22:Z22" si="16">U22+Y21</f>
        <v>1799.514343</v>
      </c>
      <c r="Z22" s="40">
        <f t="shared" si="16"/>
        <v>4560.74474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>
      <c r="A23" s="2"/>
      <c r="B23" s="2"/>
      <c r="C23" s="2"/>
      <c r="D23" s="2"/>
      <c r="E23" s="2"/>
      <c r="F23" s="13">
        <f>IFERROR(__xludf.DUMMYFUNCTION("""COMPUTED_VALUE"""),10.0)</f>
        <v>10</v>
      </c>
      <c r="G23" s="17">
        <f>IFERROR(__xludf.DUMMYFUNCTION("""COMPUTED_VALUE"""),43631.0)</f>
        <v>43631</v>
      </c>
      <c r="H23" s="26">
        <f>IFERROR(__xludf.DUMMYFUNCTION("""COMPUTED_VALUE"""),45439.25526016822)</f>
        <v>45439.25526</v>
      </c>
      <c r="I23" s="40">
        <f>IFERROR(__xludf.DUMMYFUNCTION("""COMPUTED_VALUE"""),706.6954535953523)</f>
        <v>706.6954536</v>
      </c>
      <c r="J23" s="40">
        <f>IFERROR(__xludf.DUMMYFUNCTION("""COMPUTED_VALUE"""),189.33023025070096)</f>
        <v>189.3302303</v>
      </c>
      <c r="K23" s="40">
        <f>IFERROR(__xludf.DUMMYFUNCTION("""COMPUTED_VALUE"""),517.3652233446514)</f>
        <v>517.3652233</v>
      </c>
      <c r="L23" s="26">
        <f>IFERROR(__xludf.DUMMYFUNCTION("""COMPUTED_VALUE"""),44921.89003682357)</f>
        <v>44921.89004</v>
      </c>
      <c r="M23" s="39">
        <f>IFERROR(__xludf.DUMMYFUNCTION("""COMPUTED_VALUE"""),0.5615236254602947)</f>
        <v>0.5615236255</v>
      </c>
      <c r="N23" s="40">
        <f>IFERROR(__xludf.DUMMYFUNCTION("""COMPUTED_VALUE"""),1988.8445727770938)</f>
        <v>1988.844573</v>
      </c>
      <c r="O23" s="40">
        <f>IFERROR(__xludf.DUMMYFUNCTION("""COMPUTED_VALUE"""),5078.10996317643)</f>
        <v>5078.109963</v>
      </c>
      <c r="P23" s="2"/>
      <c r="Q23" s="13">
        <v>10.0</v>
      </c>
      <c r="R23" s="17">
        <f t="shared" si="2"/>
        <v>43631</v>
      </c>
      <c r="S23" s="26">
        <f t="shared" si="3"/>
        <v>45439.25526</v>
      </c>
      <c r="T23" s="40">
        <f t="shared" si="4"/>
        <v>706.6954536</v>
      </c>
      <c r="U23" s="40">
        <f t="shared" si="5"/>
        <v>189.3302303</v>
      </c>
      <c r="V23" s="40">
        <f t="shared" si="6"/>
        <v>517.3652233</v>
      </c>
      <c r="W23" s="26">
        <f t="shared" si="7"/>
        <v>44921.89004</v>
      </c>
      <c r="X23" s="39">
        <f t="shared" si="8"/>
        <v>0.5615236255</v>
      </c>
      <c r="Y23" s="40">
        <f t="shared" ref="Y23:Z23" si="17">U23+Y22</f>
        <v>1988.844573</v>
      </c>
      <c r="Z23" s="40">
        <f t="shared" si="17"/>
        <v>5078.109963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s="2"/>
      <c r="B24" s="2"/>
      <c r="C24" s="2"/>
      <c r="D24" s="2"/>
      <c r="E24" s="2"/>
      <c r="F24" s="13">
        <f>IFERROR(__xludf.DUMMYFUNCTION("""COMPUTED_VALUE"""),11.0)</f>
        <v>11</v>
      </c>
      <c r="G24" s="17">
        <f>IFERROR(__xludf.DUMMYFUNCTION("""COMPUTED_VALUE"""),43646.0)</f>
        <v>43646</v>
      </c>
      <c r="H24" s="26">
        <f>IFERROR(__xludf.DUMMYFUNCTION("""COMPUTED_VALUE"""),44921.89003682357)</f>
        <v>44921.89004</v>
      </c>
      <c r="I24" s="40">
        <f>IFERROR(__xludf.DUMMYFUNCTION("""COMPUTED_VALUE"""),706.6954535953523)</f>
        <v>706.6954536</v>
      </c>
      <c r="J24" s="40">
        <f>IFERROR(__xludf.DUMMYFUNCTION("""COMPUTED_VALUE"""),187.17454182009834)</f>
        <v>187.1745418</v>
      </c>
      <c r="K24" s="40">
        <f>IFERROR(__xludf.DUMMYFUNCTION("""COMPUTED_VALUE"""),519.520911775254)</f>
        <v>519.5209118</v>
      </c>
      <c r="L24" s="26">
        <f>IFERROR(__xludf.DUMMYFUNCTION("""COMPUTED_VALUE"""),44402.36912504832)</f>
        <v>44402.36913</v>
      </c>
      <c r="M24" s="39">
        <f>IFERROR(__xludf.DUMMYFUNCTION("""COMPUTED_VALUE"""),0.5550296140631039)</f>
        <v>0.5550296141</v>
      </c>
      <c r="N24" s="40">
        <f>IFERROR(__xludf.DUMMYFUNCTION("""COMPUTED_VALUE"""),2176.019114597192)</f>
        <v>2176.019115</v>
      </c>
      <c r="O24" s="40">
        <f>IFERROR(__xludf.DUMMYFUNCTION("""COMPUTED_VALUE"""),5597.630874951684)</f>
        <v>5597.630875</v>
      </c>
      <c r="P24" s="2"/>
      <c r="Q24" s="13">
        <v>11.0</v>
      </c>
      <c r="R24" s="17">
        <f t="shared" si="2"/>
        <v>43646</v>
      </c>
      <c r="S24" s="26">
        <f t="shared" si="3"/>
        <v>44921.89004</v>
      </c>
      <c r="T24" s="40">
        <f t="shared" si="4"/>
        <v>706.6954536</v>
      </c>
      <c r="U24" s="40">
        <f t="shared" si="5"/>
        <v>187.1745418</v>
      </c>
      <c r="V24" s="40">
        <f t="shared" si="6"/>
        <v>519.5209118</v>
      </c>
      <c r="W24" s="26">
        <f t="shared" si="7"/>
        <v>44402.36913</v>
      </c>
      <c r="X24" s="39">
        <f t="shared" si="8"/>
        <v>0.5550296141</v>
      </c>
      <c r="Y24" s="40">
        <f t="shared" ref="Y24:Z24" si="18">U24+Y23</f>
        <v>2176.019115</v>
      </c>
      <c r="Z24" s="40">
        <f t="shared" si="18"/>
        <v>5597.630875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>
      <c r="A25" s="2"/>
      <c r="B25" s="2"/>
      <c r="C25" s="2"/>
      <c r="D25" s="2"/>
      <c r="E25" s="2"/>
      <c r="F25" s="13">
        <f>IFERROR(__xludf.DUMMYFUNCTION("""COMPUTED_VALUE"""),12.0)</f>
        <v>12</v>
      </c>
      <c r="G25" s="17">
        <f>IFERROR(__xludf.DUMMYFUNCTION("""COMPUTED_VALUE"""),43661.0)</f>
        <v>43661</v>
      </c>
      <c r="H25" s="26">
        <f>IFERROR(__xludf.DUMMYFUNCTION("""COMPUTED_VALUE"""),44402.36912504832)</f>
        <v>44402.36913</v>
      </c>
      <c r="I25" s="40">
        <f>IFERROR(__xludf.DUMMYFUNCTION("""COMPUTED_VALUE"""),706.6954535953523)</f>
        <v>706.6954536</v>
      </c>
      <c r="J25" s="40">
        <f>IFERROR(__xludf.DUMMYFUNCTION("""COMPUTED_VALUE"""),185.00987135436802)</f>
        <v>185.0098714</v>
      </c>
      <c r="K25" s="40">
        <f>IFERROR(__xludf.DUMMYFUNCTION("""COMPUTED_VALUE"""),521.6855822409844)</f>
        <v>521.6855822</v>
      </c>
      <c r="L25" s="26">
        <f>IFERROR(__xludf.DUMMYFUNCTION("""COMPUTED_VALUE"""),43880.68354280733)</f>
        <v>43880.68354</v>
      </c>
      <c r="M25" s="39">
        <f>IFERROR(__xludf.DUMMYFUNCTION("""COMPUTED_VALUE"""),0.5485085442850917)</f>
        <v>0.5485085443</v>
      </c>
      <c r="N25" s="40">
        <f>IFERROR(__xludf.DUMMYFUNCTION("""COMPUTED_VALUE"""),2361.02898595156)</f>
        <v>2361.028986</v>
      </c>
      <c r="O25" s="40">
        <f>IFERROR(__xludf.DUMMYFUNCTION("""COMPUTED_VALUE"""),6119.316457192668)</f>
        <v>6119.316457</v>
      </c>
      <c r="P25" s="2"/>
      <c r="Q25" s="13">
        <v>12.0</v>
      </c>
      <c r="R25" s="17">
        <f t="shared" si="2"/>
        <v>43661</v>
      </c>
      <c r="S25" s="26">
        <f t="shared" si="3"/>
        <v>44402.36913</v>
      </c>
      <c r="T25" s="40">
        <f t="shared" si="4"/>
        <v>706.6954536</v>
      </c>
      <c r="U25" s="40">
        <f t="shared" si="5"/>
        <v>185.0098714</v>
      </c>
      <c r="V25" s="40">
        <f t="shared" si="6"/>
        <v>521.6855822</v>
      </c>
      <c r="W25" s="26">
        <f t="shared" si="7"/>
        <v>43880.68354</v>
      </c>
      <c r="X25" s="39">
        <f t="shared" si="8"/>
        <v>0.5485085443</v>
      </c>
      <c r="Y25" s="40">
        <f t="shared" ref="Y25:Z25" si="19">U25+Y24</f>
        <v>2361.028986</v>
      </c>
      <c r="Z25" s="40">
        <f t="shared" si="19"/>
        <v>6119.316457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>
      <c r="A26" s="2"/>
      <c r="B26" s="2"/>
      <c r="C26" s="2"/>
      <c r="D26" s="2"/>
      <c r="E26" s="2"/>
      <c r="F26" s="13">
        <f>IFERROR(__xludf.DUMMYFUNCTION("""COMPUTED_VALUE"""),13.0)</f>
        <v>13</v>
      </c>
      <c r="G26" s="17">
        <f>IFERROR(__xludf.DUMMYFUNCTION("""COMPUTED_VALUE"""),43677.0)</f>
        <v>43677</v>
      </c>
      <c r="H26" s="26">
        <f>IFERROR(__xludf.DUMMYFUNCTION("""COMPUTED_VALUE"""),43880.68354280733)</f>
        <v>43880.68354</v>
      </c>
      <c r="I26" s="40">
        <f>IFERROR(__xludf.DUMMYFUNCTION("""COMPUTED_VALUE"""),706.6954535953523)</f>
        <v>706.6954536</v>
      </c>
      <c r="J26" s="40">
        <f>IFERROR(__xludf.DUMMYFUNCTION("""COMPUTED_VALUE"""),182.83618142836397)</f>
        <v>182.8361814</v>
      </c>
      <c r="K26" s="40">
        <f>IFERROR(__xludf.DUMMYFUNCTION("""COMPUTED_VALUE"""),523.8592721669884)</f>
        <v>523.8592722</v>
      </c>
      <c r="L26" s="26">
        <f>IFERROR(__xludf.DUMMYFUNCTION("""COMPUTED_VALUE"""),43356.82427064034)</f>
        <v>43356.82427</v>
      </c>
      <c r="M26" s="39">
        <f>IFERROR(__xludf.DUMMYFUNCTION("""COMPUTED_VALUE"""),0.5419603033830043)</f>
        <v>0.5419603034</v>
      </c>
      <c r="N26" s="40">
        <f>IFERROR(__xludf.DUMMYFUNCTION("""COMPUTED_VALUE"""),2543.865167379924)</f>
        <v>2543.865167</v>
      </c>
      <c r="O26" s="40">
        <f>IFERROR(__xludf.DUMMYFUNCTION("""COMPUTED_VALUE"""),6643.1757293596565)</f>
        <v>6643.175729</v>
      </c>
      <c r="P26" s="2"/>
      <c r="Q26" s="13">
        <v>13.0</v>
      </c>
      <c r="R26" s="17">
        <f t="shared" si="2"/>
        <v>43677</v>
      </c>
      <c r="S26" s="26">
        <f t="shared" si="3"/>
        <v>43880.68354</v>
      </c>
      <c r="T26" s="40">
        <f t="shared" si="4"/>
        <v>706.6954536</v>
      </c>
      <c r="U26" s="40">
        <f t="shared" si="5"/>
        <v>182.8361814</v>
      </c>
      <c r="V26" s="40">
        <f t="shared" si="6"/>
        <v>523.8592722</v>
      </c>
      <c r="W26" s="26">
        <f t="shared" si="7"/>
        <v>43356.82427</v>
      </c>
      <c r="X26" s="39">
        <f t="shared" si="8"/>
        <v>0.5419603034</v>
      </c>
      <c r="Y26" s="40">
        <f t="shared" ref="Y26:Z26" si="20">U26+Y25</f>
        <v>2543.865167</v>
      </c>
      <c r="Z26" s="40">
        <f t="shared" si="20"/>
        <v>6643.175729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>
      <c r="A27" s="2"/>
      <c r="B27" s="2"/>
      <c r="C27" s="2"/>
      <c r="D27" s="2"/>
      <c r="E27" s="2"/>
      <c r="F27" s="13">
        <f>IFERROR(__xludf.DUMMYFUNCTION("""COMPUTED_VALUE"""),14.0)</f>
        <v>14</v>
      </c>
      <c r="G27" s="17">
        <f>IFERROR(__xludf.DUMMYFUNCTION("""COMPUTED_VALUE"""),43692.0)</f>
        <v>43692</v>
      </c>
      <c r="H27" s="26">
        <f>IFERROR(__xludf.DUMMYFUNCTION("""COMPUTED_VALUE"""),43356.82427064034)</f>
        <v>43356.82427</v>
      </c>
      <c r="I27" s="40">
        <f>IFERROR(__xludf.DUMMYFUNCTION("""COMPUTED_VALUE"""),706.6954535953523)</f>
        <v>706.6954536</v>
      </c>
      <c r="J27" s="40">
        <f>IFERROR(__xludf.DUMMYFUNCTION("""COMPUTED_VALUE"""),180.6534344610015)</f>
        <v>180.6534345</v>
      </c>
      <c r="K27" s="40">
        <f>IFERROR(__xludf.DUMMYFUNCTION("""COMPUTED_VALUE"""),526.042019134351)</f>
        <v>526.0420191</v>
      </c>
      <c r="L27" s="26">
        <f>IFERROR(__xludf.DUMMYFUNCTION("""COMPUTED_VALUE"""),42830.78225150599)</f>
        <v>42830.78225</v>
      </c>
      <c r="M27" s="39">
        <f>IFERROR(__xludf.DUMMYFUNCTION("""COMPUTED_VALUE"""),0.5353847781438249)</f>
        <v>0.5353847781</v>
      </c>
      <c r="N27" s="40">
        <f>IFERROR(__xludf.DUMMYFUNCTION("""COMPUTED_VALUE"""),2724.5186018409254)</f>
        <v>2724.518602</v>
      </c>
      <c r="O27" s="40">
        <f>IFERROR(__xludf.DUMMYFUNCTION("""COMPUTED_VALUE"""),7169.2177484940075)</f>
        <v>7169.217748</v>
      </c>
      <c r="P27" s="2"/>
      <c r="Q27" s="13">
        <v>14.0</v>
      </c>
      <c r="R27" s="17">
        <f t="shared" si="2"/>
        <v>43692</v>
      </c>
      <c r="S27" s="26">
        <f t="shared" si="3"/>
        <v>43356.82427</v>
      </c>
      <c r="T27" s="40">
        <f t="shared" si="4"/>
        <v>706.6954536</v>
      </c>
      <c r="U27" s="40">
        <f t="shared" si="5"/>
        <v>180.6534345</v>
      </c>
      <c r="V27" s="40">
        <f t="shared" si="6"/>
        <v>526.0420191</v>
      </c>
      <c r="W27" s="26">
        <f t="shared" si="7"/>
        <v>42830.78225</v>
      </c>
      <c r="X27" s="39">
        <f t="shared" si="8"/>
        <v>0.5353847781</v>
      </c>
      <c r="Y27" s="40">
        <f t="shared" ref="Y27:Z27" si="21">U27+Y26</f>
        <v>2724.518602</v>
      </c>
      <c r="Z27" s="40">
        <f t="shared" si="21"/>
        <v>7169.217748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>
      <c r="A28" s="2"/>
      <c r="B28" s="2"/>
      <c r="C28" s="2"/>
      <c r="D28" s="2"/>
      <c r="E28" s="2"/>
      <c r="F28" s="13">
        <f>IFERROR(__xludf.DUMMYFUNCTION("""COMPUTED_VALUE"""),15.0)</f>
        <v>15</v>
      </c>
      <c r="G28" s="17">
        <f>IFERROR(__xludf.DUMMYFUNCTION("""COMPUTED_VALUE"""),43708.0)</f>
        <v>43708</v>
      </c>
      <c r="H28" s="26">
        <f>IFERROR(__xludf.DUMMYFUNCTION("""COMPUTED_VALUE"""),42830.78225150599)</f>
        <v>42830.78225</v>
      </c>
      <c r="I28" s="40">
        <f>IFERROR(__xludf.DUMMYFUNCTION("""COMPUTED_VALUE"""),706.6954535953523)</f>
        <v>706.6954536</v>
      </c>
      <c r="J28" s="40">
        <f>IFERROR(__xludf.DUMMYFUNCTION("""COMPUTED_VALUE"""),178.46159271460834)</f>
        <v>178.4615927</v>
      </c>
      <c r="K28" s="40">
        <f>IFERROR(__xludf.DUMMYFUNCTION("""COMPUTED_VALUE"""),528.233860880744)</f>
        <v>528.2338609</v>
      </c>
      <c r="L28" s="26">
        <f>IFERROR(__xludf.DUMMYFUNCTION("""COMPUTED_VALUE"""),42302.54839062525)</f>
        <v>42302.54839</v>
      </c>
      <c r="M28" s="39">
        <f>IFERROR(__xludf.DUMMYFUNCTION("""COMPUTED_VALUE"""),0.5287818548828156)</f>
        <v>0.5287818549</v>
      </c>
      <c r="N28" s="40">
        <f>IFERROR(__xludf.DUMMYFUNCTION("""COMPUTED_VALUE"""),2902.9801945555337)</f>
        <v>2902.980195</v>
      </c>
      <c r="O28" s="40">
        <f>IFERROR(__xludf.DUMMYFUNCTION("""COMPUTED_VALUE"""),7697.451609374752)</f>
        <v>7697.451609</v>
      </c>
      <c r="P28" s="2"/>
      <c r="Q28" s="13">
        <v>15.0</v>
      </c>
      <c r="R28" s="17">
        <f t="shared" si="2"/>
        <v>43708</v>
      </c>
      <c r="S28" s="26">
        <f t="shared" si="3"/>
        <v>42830.78225</v>
      </c>
      <c r="T28" s="40">
        <f t="shared" si="4"/>
        <v>706.6954536</v>
      </c>
      <c r="U28" s="40">
        <f t="shared" si="5"/>
        <v>178.4615927</v>
      </c>
      <c r="V28" s="40">
        <f t="shared" si="6"/>
        <v>528.2338609</v>
      </c>
      <c r="W28" s="26">
        <f t="shared" si="7"/>
        <v>42302.54839</v>
      </c>
      <c r="X28" s="39">
        <f t="shared" si="8"/>
        <v>0.5287818549</v>
      </c>
      <c r="Y28" s="40">
        <f t="shared" ref="Y28:Z28" si="22">U28+Y27</f>
        <v>2902.980195</v>
      </c>
      <c r="Z28" s="40">
        <f t="shared" si="22"/>
        <v>7697.451609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>
      <c r="A29" s="2"/>
      <c r="B29" s="2"/>
      <c r="C29" s="2"/>
      <c r="D29" s="2"/>
      <c r="E29" s="2"/>
      <c r="F29" s="13">
        <f>IFERROR(__xludf.DUMMYFUNCTION("""COMPUTED_VALUE"""),16.0)</f>
        <v>16</v>
      </c>
      <c r="G29" s="17">
        <f>IFERROR(__xludf.DUMMYFUNCTION("""COMPUTED_VALUE"""),43723.0)</f>
        <v>43723</v>
      </c>
      <c r="H29" s="26">
        <f>IFERROR(__xludf.DUMMYFUNCTION("""COMPUTED_VALUE"""),42302.54839062525)</f>
        <v>42302.54839</v>
      </c>
      <c r="I29" s="40">
        <f>IFERROR(__xludf.DUMMYFUNCTION("""COMPUTED_VALUE"""),706.6954535953523)</f>
        <v>706.6954536</v>
      </c>
      <c r="J29" s="40">
        <f>IFERROR(__xludf.DUMMYFUNCTION("""COMPUTED_VALUE"""),176.26061829427192)</f>
        <v>176.2606183</v>
      </c>
      <c r="K29" s="40">
        <f>IFERROR(__xludf.DUMMYFUNCTION("""COMPUTED_VALUE"""),530.4348353010805)</f>
        <v>530.4348353</v>
      </c>
      <c r="L29" s="26">
        <f>IFERROR(__xludf.DUMMYFUNCTION("""COMPUTED_VALUE"""),41772.11355532417)</f>
        <v>41772.11356</v>
      </c>
      <c r="M29" s="39">
        <f>IFERROR(__xludf.DUMMYFUNCTION("""COMPUTED_VALUE"""),0.5221514194415521)</f>
        <v>0.5221514194</v>
      </c>
      <c r="N29" s="40">
        <f>IFERROR(__xludf.DUMMYFUNCTION("""COMPUTED_VALUE"""),3079.2408128498055)</f>
        <v>3079.240813</v>
      </c>
      <c r="O29" s="40">
        <f>IFERROR(__xludf.DUMMYFUNCTION("""COMPUTED_VALUE"""),8227.886444675833)</f>
        <v>8227.886445</v>
      </c>
      <c r="P29" s="2"/>
      <c r="Q29" s="13">
        <v>16.0</v>
      </c>
      <c r="R29" s="17">
        <f t="shared" si="2"/>
        <v>43723</v>
      </c>
      <c r="S29" s="26">
        <f t="shared" si="3"/>
        <v>42302.54839</v>
      </c>
      <c r="T29" s="40">
        <f t="shared" si="4"/>
        <v>706.6954536</v>
      </c>
      <c r="U29" s="40">
        <f t="shared" si="5"/>
        <v>176.2606183</v>
      </c>
      <c r="V29" s="40">
        <f t="shared" si="6"/>
        <v>530.4348353</v>
      </c>
      <c r="W29" s="26">
        <f t="shared" si="7"/>
        <v>41772.11356</v>
      </c>
      <c r="X29" s="39">
        <f t="shared" si="8"/>
        <v>0.5221514194</v>
      </c>
      <c r="Y29" s="40">
        <f t="shared" ref="Y29:Z29" si="23">U29+Y28</f>
        <v>3079.240813</v>
      </c>
      <c r="Z29" s="40">
        <f t="shared" si="23"/>
        <v>8227.886445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>
      <c r="A30" s="2"/>
      <c r="B30" s="2"/>
      <c r="C30" s="2"/>
      <c r="D30" s="2"/>
      <c r="E30" s="2"/>
      <c r="F30" s="13">
        <f>IFERROR(__xludf.DUMMYFUNCTION("""COMPUTED_VALUE"""),17.0)</f>
        <v>17</v>
      </c>
      <c r="G30" s="17">
        <f>IFERROR(__xludf.DUMMYFUNCTION("""COMPUTED_VALUE"""),43738.0)</f>
        <v>43738</v>
      </c>
      <c r="H30" s="26">
        <f>IFERROR(__xludf.DUMMYFUNCTION("""COMPUTED_VALUE"""),41772.11355532417)</f>
        <v>41772.11356</v>
      </c>
      <c r="I30" s="40">
        <f>IFERROR(__xludf.DUMMYFUNCTION("""COMPUTED_VALUE"""),706.6954535953523)</f>
        <v>706.6954536</v>
      </c>
      <c r="J30" s="40">
        <f>IFERROR(__xludf.DUMMYFUNCTION("""COMPUTED_VALUE"""),174.0504731471841)</f>
        <v>174.0504731</v>
      </c>
      <c r="K30" s="40">
        <f>IFERROR(__xludf.DUMMYFUNCTION("""COMPUTED_VALUE"""),532.6449804481683)</f>
        <v>532.6449804</v>
      </c>
      <c r="L30" s="26">
        <f>IFERROR(__xludf.DUMMYFUNCTION("""COMPUTED_VALUE"""),41239.468574876)</f>
        <v>41239.46857</v>
      </c>
      <c r="M30" s="39">
        <f>IFERROR(__xludf.DUMMYFUNCTION("""COMPUTED_VALUE"""),0.51549335718595)</f>
        <v>0.5154933572</v>
      </c>
      <c r="N30" s="40">
        <f>IFERROR(__xludf.DUMMYFUNCTION("""COMPUTED_VALUE"""),3253.2912859969897)</f>
        <v>3253.291286</v>
      </c>
      <c r="O30" s="40">
        <f>IFERROR(__xludf.DUMMYFUNCTION("""COMPUTED_VALUE"""),8760.531425124002)</f>
        <v>8760.531425</v>
      </c>
      <c r="P30" s="2"/>
      <c r="Q30" s="13">
        <v>17.0</v>
      </c>
      <c r="R30" s="17">
        <f t="shared" si="2"/>
        <v>43738</v>
      </c>
      <c r="S30" s="26">
        <f t="shared" si="3"/>
        <v>41772.11356</v>
      </c>
      <c r="T30" s="40">
        <f t="shared" si="4"/>
        <v>706.6954536</v>
      </c>
      <c r="U30" s="40">
        <f t="shared" si="5"/>
        <v>174.0504731</v>
      </c>
      <c r="V30" s="40">
        <f t="shared" si="6"/>
        <v>532.6449804</v>
      </c>
      <c r="W30" s="26">
        <f t="shared" si="7"/>
        <v>41239.46857</v>
      </c>
      <c r="X30" s="39">
        <f t="shared" si="8"/>
        <v>0.5154933572</v>
      </c>
      <c r="Y30" s="40">
        <f t="shared" ref="Y30:Z30" si="24">U30+Y29</f>
        <v>3253.291286</v>
      </c>
      <c r="Z30" s="40">
        <f t="shared" si="24"/>
        <v>8760.531425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>
      <c r="A31" s="2"/>
      <c r="B31" s="2"/>
      <c r="C31" s="2"/>
      <c r="D31" s="2"/>
      <c r="E31" s="2"/>
      <c r="F31" s="13">
        <f>IFERROR(__xludf.DUMMYFUNCTION("""COMPUTED_VALUE"""),18.0)</f>
        <v>18</v>
      </c>
      <c r="G31" s="17">
        <f>IFERROR(__xludf.DUMMYFUNCTION("""COMPUTED_VALUE"""),43753.0)</f>
        <v>43753</v>
      </c>
      <c r="H31" s="26">
        <f>IFERROR(__xludf.DUMMYFUNCTION("""COMPUTED_VALUE"""),41239.468574876)</f>
        <v>41239.46857</v>
      </c>
      <c r="I31" s="40">
        <f>IFERROR(__xludf.DUMMYFUNCTION("""COMPUTED_VALUE"""),706.6954535953523)</f>
        <v>706.6954536</v>
      </c>
      <c r="J31" s="40">
        <f>IFERROR(__xludf.DUMMYFUNCTION("""COMPUTED_VALUE"""),171.8311190619835)</f>
        <v>171.8311191</v>
      </c>
      <c r="K31" s="40">
        <f>IFERROR(__xludf.DUMMYFUNCTION("""COMPUTED_VALUE"""),534.8643345333688)</f>
        <v>534.8643345</v>
      </c>
      <c r="L31" s="26">
        <f>IFERROR(__xludf.DUMMYFUNCTION("""COMPUTED_VALUE"""),40704.60424034263)</f>
        <v>40704.60424</v>
      </c>
      <c r="M31" s="39">
        <f>IFERROR(__xludf.DUMMYFUNCTION("""COMPUTED_VALUE"""),0.5088075530042829)</f>
        <v>0.508807553</v>
      </c>
      <c r="N31" s="40">
        <f>IFERROR(__xludf.DUMMYFUNCTION("""COMPUTED_VALUE"""),3425.122405058973)</f>
        <v>3425.122405</v>
      </c>
      <c r="O31" s="40">
        <f>IFERROR(__xludf.DUMMYFUNCTION("""COMPUTED_VALUE"""),9295.395759657371)</f>
        <v>9295.39576</v>
      </c>
      <c r="P31" s="2"/>
      <c r="Q31" s="13">
        <v>18.0</v>
      </c>
      <c r="R31" s="17">
        <f t="shared" si="2"/>
        <v>43753</v>
      </c>
      <c r="S31" s="26">
        <f t="shared" si="3"/>
        <v>41239.46857</v>
      </c>
      <c r="T31" s="40">
        <f t="shared" si="4"/>
        <v>706.6954536</v>
      </c>
      <c r="U31" s="40">
        <f t="shared" si="5"/>
        <v>171.8311191</v>
      </c>
      <c r="V31" s="40">
        <f t="shared" si="6"/>
        <v>534.8643345</v>
      </c>
      <c r="W31" s="26">
        <f t="shared" si="7"/>
        <v>40704.60424</v>
      </c>
      <c r="X31" s="39">
        <f t="shared" si="8"/>
        <v>0.508807553</v>
      </c>
      <c r="Y31" s="40">
        <f t="shared" ref="Y31:Z31" si="25">U31+Y30</f>
        <v>3425.122405</v>
      </c>
      <c r="Z31" s="40">
        <f t="shared" si="25"/>
        <v>9295.39576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>
      <c r="A32" s="2"/>
      <c r="B32" s="2"/>
      <c r="C32" s="2"/>
      <c r="D32" s="2"/>
      <c r="E32" s="2"/>
      <c r="F32" s="13">
        <f>IFERROR(__xludf.DUMMYFUNCTION("""COMPUTED_VALUE"""),19.0)</f>
        <v>19</v>
      </c>
      <c r="G32" s="17">
        <f>IFERROR(__xludf.DUMMYFUNCTION("""COMPUTED_VALUE"""),43769.0)</f>
        <v>43769</v>
      </c>
      <c r="H32" s="26">
        <f>IFERROR(__xludf.DUMMYFUNCTION("""COMPUTED_VALUE"""),40704.60424034263)</f>
        <v>40704.60424</v>
      </c>
      <c r="I32" s="40">
        <f>IFERROR(__xludf.DUMMYFUNCTION("""COMPUTED_VALUE"""),706.6954535953523)</f>
        <v>706.6954536</v>
      </c>
      <c r="J32" s="40">
        <f>IFERROR(__xludf.DUMMYFUNCTION("""COMPUTED_VALUE"""),169.60251766809438)</f>
        <v>169.6025177</v>
      </c>
      <c r="K32" s="40">
        <f>IFERROR(__xludf.DUMMYFUNCTION("""COMPUTED_VALUE"""),537.092935927258)</f>
        <v>537.0929359</v>
      </c>
      <c r="L32" s="26">
        <f>IFERROR(__xludf.DUMMYFUNCTION("""COMPUTED_VALUE"""),40167.51130441538)</f>
        <v>40167.5113</v>
      </c>
      <c r="M32" s="39">
        <f>IFERROR(__xludf.DUMMYFUNCTION("""COMPUTED_VALUE"""),0.5020938913051922)</f>
        <v>0.5020938913</v>
      </c>
      <c r="N32" s="40">
        <f>IFERROR(__xludf.DUMMYFUNCTION("""COMPUTED_VALUE"""),3594.7249227270677)</f>
        <v>3594.724923</v>
      </c>
      <c r="O32" s="40">
        <f>IFERROR(__xludf.DUMMYFUNCTION("""COMPUTED_VALUE"""),9832.488695584629)</f>
        <v>9832.488696</v>
      </c>
      <c r="P32" s="2"/>
      <c r="Q32" s="13">
        <v>19.0</v>
      </c>
      <c r="R32" s="17">
        <f t="shared" si="2"/>
        <v>43769</v>
      </c>
      <c r="S32" s="26">
        <f t="shared" si="3"/>
        <v>40704.60424</v>
      </c>
      <c r="T32" s="40">
        <f t="shared" si="4"/>
        <v>706.6954536</v>
      </c>
      <c r="U32" s="40">
        <f t="shared" si="5"/>
        <v>169.6025177</v>
      </c>
      <c r="V32" s="40">
        <f t="shared" si="6"/>
        <v>537.0929359</v>
      </c>
      <c r="W32" s="26">
        <f t="shared" si="7"/>
        <v>40167.5113</v>
      </c>
      <c r="X32" s="39">
        <f t="shared" si="8"/>
        <v>0.5020938913</v>
      </c>
      <c r="Y32" s="40">
        <f t="shared" ref="Y32:Z32" si="26">U32+Y31</f>
        <v>3594.724923</v>
      </c>
      <c r="Z32" s="40">
        <f t="shared" si="26"/>
        <v>9832.488696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>
      <c r="A33" s="2"/>
      <c r="B33" s="2"/>
      <c r="C33" s="2"/>
      <c r="D33" s="2"/>
      <c r="E33" s="2"/>
      <c r="F33" s="13">
        <f>IFERROR(__xludf.DUMMYFUNCTION("""COMPUTED_VALUE"""),20.0)</f>
        <v>20</v>
      </c>
      <c r="G33" s="17">
        <f>IFERROR(__xludf.DUMMYFUNCTION("""COMPUTED_VALUE"""),43784.0)</f>
        <v>43784</v>
      </c>
      <c r="H33" s="26">
        <f>IFERROR(__xludf.DUMMYFUNCTION("""COMPUTED_VALUE"""),40167.51130441538)</f>
        <v>40167.5113</v>
      </c>
      <c r="I33" s="40">
        <f>IFERROR(__xludf.DUMMYFUNCTION("""COMPUTED_VALUE"""),706.6954535953523)</f>
        <v>706.6954536</v>
      </c>
      <c r="J33" s="40">
        <f>IFERROR(__xludf.DUMMYFUNCTION("""COMPUTED_VALUE"""),167.36463043506419)</f>
        <v>167.3646304</v>
      </c>
      <c r="K33" s="40">
        <f>IFERROR(__xludf.DUMMYFUNCTION("""COMPUTED_VALUE"""),539.3308231602882)</f>
        <v>539.3308232</v>
      </c>
      <c r="L33" s="26">
        <f>IFERROR(__xludf.DUMMYFUNCTION("""COMPUTED_VALUE"""),39628.18048125509)</f>
        <v>39628.18048</v>
      </c>
      <c r="M33" s="39">
        <f>IFERROR(__xludf.DUMMYFUNCTION("""COMPUTED_VALUE"""),0.49535225601568866)</f>
        <v>0.495352256</v>
      </c>
      <c r="N33" s="40">
        <f>IFERROR(__xludf.DUMMYFUNCTION("""COMPUTED_VALUE"""),3762.089553162132)</f>
        <v>3762.089553</v>
      </c>
      <c r="O33" s="40">
        <f>IFERROR(__xludf.DUMMYFUNCTION("""COMPUTED_VALUE"""),10371.819518744916)</f>
        <v>10371.81952</v>
      </c>
      <c r="P33" s="2"/>
      <c r="Q33" s="13">
        <v>20.0</v>
      </c>
      <c r="R33" s="17">
        <f t="shared" si="2"/>
        <v>43784</v>
      </c>
      <c r="S33" s="26">
        <f t="shared" si="3"/>
        <v>40167.5113</v>
      </c>
      <c r="T33" s="40">
        <f t="shared" si="4"/>
        <v>706.6954536</v>
      </c>
      <c r="U33" s="40">
        <f t="shared" si="5"/>
        <v>167.3646304</v>
      </c>
      <c r="V33" s="40">
        <f t="shared" si="6"/>
        <v>539.3308232</v>
      </c>
      <c r="W33" s="26">
        <f t="shared" si="7"/>
        <v>39628.18048</v>
      </c>
      <c r="X33" s="39">
        <f t="shared" si="8"/>
        <v>0.495352256</v>
      </c>
      <c r="Y33" s="40">
        <f t="shared" ref="Y33:Z33" si="27">U33+Y32</f>
        <v>3762.089553</v>
      </c>
      <c r="Z33" s="40">
        <f t="shared" si="27"/>
        <v>10371.81952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>
      <c r="A34" s="2"/>
      <c r="B34" s="2"/>
      <c r="C34" s="2"/>
      <c r="D34" s="2"/>
      <c r="E34" s="2"/>
      <c r="F34" s="13">
        <f>IFERROR(__xludf.DUMMYFUNCTION("""COMPUTED_VALUE"""),21.0)</f>
        <v>21</v>
      </c>
      <c r="G34" s="17">
        <f>IFERROR(__xludf.DUMMYFUNCTION("""COMPUTED_VALUE"""),43799.0)</f>
        <v>43799</v>
      </c>
      <c r="H34" s="26">
        <f>IFERROR(__xludf.DUMMYFUNCTION("""COMPUTED_VALUE"""),39628.18048125509)</f>
        <v>39628.18048</v>
      </c>
      <c r="I34" s="40">
        <f>IFERROR(__xludf.DUMMYFUNCTION("""COMPUTED_VALUE"""),706.6954535953523)</f>
        <v>706.6954536</v>
      </c>
      <c r="J34" s="40">
        <f>IFERROR(__xludf.DUMMYFUNCTION("""COMPUTED_VALUE"""),165.1174186718963)</f>
        <v>165.1174187</v>
      </c>
      <c r="K34" s="40">
        <f>IFERROR(__xludf.DUMMYFUNCTION("""COMPUTED_VALUE"""),541.5780349234561)</f>
        <v>541.5780349</v>
      </c>
      <c r="L34" s="26">
        <f>IFERROR(__xludf.DUMMYFUNCTION("""COMPUTED_VALUE"""),39086.602446331635)</f>
        <v>39086.60245</v>
      </c>
      <c r="M34" s="39">
        <f>IFERROR(__xludf.DUMMYFUNCTION("""COMPUTED_VALUE"""),0.48858253057914547)</f>
        <v>0.4885825306</v>
      </c>
      <c r="N34" s="40">
        <f>IFERROR(__xludf.DUMMYFUNCTION("""COMPUTED_VALUE"""),3927.206971834028)</f>
        <v>3927.206972</v>
      </c>
      <c r="O34" s="40">
        <f>IFERROR(__xludf.DUMMYFUNCTION("""COMPUTED_VALUE"""),10913.397553668372)</f>
        <v>10913.39755</v>
      </c>
      <c r="P34" s="2"/>
      <c r="Q34" s="13">
        <v>21.0</v>
      </c>
      <c r="R34" s="17">
        <f t="shared" si="2"/>
        <v>43799</v>
      </c>
      <c r="S34" s="26">
        <f t="shared" si="3"/>
        <v>39628.18048</v>
      </c>
      <c r="T34" s="40">
        <f t="shared" si="4"/>
        <v>706.6954536</v>
      </c>
      <c r="U34" s="40">
        <f t="shared" si="5"/>
        <v>165.1174187</v>
      </c>
      <c r="V34" s="40">
        <f t="shared" si="6"/>
        <v>541.5780349</v>
      </c>
      <c r="W34" s="26">
        <f t="shared" si="7"/>
        <v>39086.60245</v>
      </c>
      <c r="X34" s="39">
        <f t="shared" si="8"/>
        <v>0.4885825306</v>
      </c>
      <c r="Y34" s="40">
        <f t="shared" ref="Y34:Z34" si="28">U34+Y33</f>
        <v>3927.206972</v>
      </c>
      <c r="Z34" s="40">
        <f t="shared" si="28"/>
        <v>10913.39755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>
      <c r="A35" s="2"/>
      <c r="B35" s="2"/>
      <c r="C35" s="2"/>
      <c r="D35" s="2"/>
      <c r="E35" s="2"/>
      <c r="F35" s="13">
        <f>IFERROR(__xludf.DUMMYFUNCTION("""COMPUTED_VALUE"""),22.0)</f>
        <v>22</v>
      </c>
      <c r="G35" s="17">
        <f>IFERROR(__xludf.DUMMYFUNCTION("""COMPUTED_VALUE"""),43814.0)</f>
        <v>43814</v>
      </c>
      <c r="H35" s="26">
        <f>IFERROR(__xludf.DUMMYFUNCTION("""COMPUTED_VALUE"""),39086.602446331635)</f>
        <v>39086.60245</v>
      </c>
      <c r="I35" s="40">
        <f>IFERROR(__xludf.DUMMYFUNCTION("""COMPUTED_VALUE"""),706.6954535953523)</f>
        <v>706.6954536</v>
      </c>
      <c r="J35" s="40">
        <f>IFERROR(__xludf.DUMMYFUNCTION("""COMPUTED_VALUE"""),162.86084352638193)</f>
        <v>162.8608435</v>
      </c>
      <c r="K35" s="40">
        <f>IFERROR(__xludf.DUMMYFUNCTION("""COMPUTED_VALUE"""),543.8346100689705)</f>
        <v>543.8346101</v>
      </c>
      <c r="L35" s="26">
        <f>IFERROR(__xludf.DUMMYFUNCTION("""COMPUTED_VALUE"""),38542.76783626266)</f>
        <v>38542.76784</v>
      </c>
      <c r="M35" s="39">
        <f>IFERROR(__xludf.DUMMYFUNCTION("""COMPUTED_VALUE"""),0.48178459795328327)</f>
        <v>0.481784598</v>
      </c>
      <c r="N35" s="40">
        <f>IFERROR(__xludf.DUMMYFUNCTION("""COMPUTED_VALUE"""),4090.06781536041)</f>
        <v>4090.067815</v>
      </c>
      <c r="O35" s="40">
        <f>IFERROR(__xludf.DUMMYFUNCTION("""COMPUTED_VALUE"""),11457.232163737342)</f>
        <v>11457.23216</v>
      </c>
      <c r="P35" s="2"/>
      <c r="Q35" s="13">
        <v>22.0</v>
      </c>
      <c r="R35" s="17">
        <f t="shared" si="2"/>
        <v>43814</v>
      </c>
      <c r="S35" s="26">
        <f t="shared" si="3"/>
        <v>39086.60245</v>
      </c>
      <c r="T35" s="40">
        <f t="shared" si="4"/>
        <v>706.6954536</v>
      </c>
      <c r="U35" s="40">
        <f t="shared" si="5"/>
        <v>162.8608435</v>
      </c>
      <c r="V35" s="40">
        <f t="shared" si="6"/>
        <v>543.8346101</v>
      </c>
      <c r="W35" s="26">
        <f t="shared" si="7"/>
        <v>38542.76784</v>
      </c>
      <c r="X35" s="39">
        <f t="shared" si="8"/>
        <v>0.481784598</v>
      </c>
      <c r="Y35" s="40">
        <f t="shared" ref="Y35:Z35" si="29">U35+Y34</f>
        <v>4090.067815</v>
      </c>
      <c r="Z35" s="40">
        <f t="shared" si="29"/>
        <v>11457.23216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>
      <c r="A36" s="2"/>
      <c r="B36" s="2"/>
      <c r="C36" s="2"/>
      <c r="D36" s="2"/>
      <c r="E36" s="2"/>
      <c r="F36" s="13">
        <f>IFERROR(__xludf.DUMMYFUNCTION("""COMPUTED_VALUE"""),23.0)</f>
        <v>23</v>
      </c>
      <c r="G36" s="17">
        <f>IFERROR(__xludf.DUMMYFUNCTION("""COMPUTED_VALUE"""),43830.0)</f>
        <v>43830</v>
      </c>
      <c r="H36" s="26">
        <f>IFERROR(__xludf.DUMMYFUNCTION("""COMPUTED_VALUE"""),38542.76783626266)</f>
        <v>38542.76784</v>
      </c>
      <c r="I36" s="40">
        <f>IFERROR(__xludf.DUMMYFUNCTION("""COMPUTED_VALUE"""),706.6954535953523)</f>
        <v>706.6954536</v>
      </c>
      <c r="J36" s="40">
        <f>IFERROR(__xludf.DUMMYFUNCTION("""COMPUTED_VALUE"""),160.5948659844279)</f>
        <v>160.594866</v>
      </c>
      <c r="K36" s="40">
        <f>IFERROR(__xludf.DUMMYFUNCTION("""COMPUTED_VALUE"""),546.1005876109244)</f>
        <v>546.1005876</v>
      </c>
      <c r="L36" s="26">
        <f>IFERROR(__xludf.DUMMYFUNCTION("""COMPUTED_VALUE"""),37996.667248651735)</f>
        <v>37996.66725</v>
      </c>
      <c r="M36" s="39">
        <f>IFERROR(__xludf.DUMMYFUNCTION("""COMPUTED_VALUE"""),0.4749583406081467)</f>
        <v>0.4749583406</v>
      </c>
      <c r="N36" s="40">
        <f>IFERROR(__xludf.DUMMYFUNCTION("""COMPUTED_VALUE"""),4250.662681344837)</f>
        <v>4250.662681</v>
      </c>
      <c r="O36" s="40">
        <f>IFERROR(__xludf.DUMMYFUNCTION("""COMPUTED_VALUE"""),12003.332751348267)</f>
        <v>12003.33275</v>
      </c>
      <c r="P36" s="2"/>
      <c r="Q36" s="13">
        <v>23.0</v>
      </c>
      <c r="R36" s="17">
        <f t="shared" si="2"/>
        <v>43830</v>
      </c>
      <c r="S36" s="26">
        <f t="shared" si="3"/>
        <v>38542.76784</v>
      </c>
      <c r="T36" s="40">
        <f t="shared" si="4"/>
        <v>706.6954536</v>
      </c>
      <c r="U36" s="40">
        <f t="shared" si="5"/>
        <v>160.594866</v>
      </c>
      <c r="V36" s="40">
        <f t="shared" si="6"/>
        <v>546.1005876</v>
      </c>
      <c r="W36" s="26">
        <f t="shared" si="7"/>
        <v>37996.66725</v>
      </c>
      <c r="X36" s="39">
        <f t="shared" si="8"/>
        <v>0.4749583406</v>
      </c>
      <c r="Y36" s="40">
        <f t="shared" ref="Y36:Z36" si="30">U36+Y35</f>
        <v>4250.662681</v>
      </c>
      <c r="Z36" s="40">
        <f t="shared" si="30"/>
        <v>12003.33275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>
      <c r="A37" s="2"/>
      <c r="B37" s="2"/>
      <c r="C37" s="2"/>
      <c r="D37" s="2"/>
      <c r="E37" s="2"/>
      <c r="F37" s="13">
        <f>IFERROR(__xludf.DUMMYFUNCTION("""COMPUTED_VALUE"""),24.0)</f>
        <v>24</v>
      </c>
      <c r="G37" s="17">
        <f>IFERROR(__xludf.DUMMYFUNCTION("""COMPUTED_VALUE"""),43845.0)</f>
        <v>43845</v>
      </c>
      <c r="H37" s="26">
        <f>IFERROR(__xludf.DUMMYFUNCTION("""COMPUTED_VALUE"""),37996.667248651735)</f>
        <v>37996.66725</v>
      </c>
      <c r="I37" s="40">
        <f>IFERROR(__xludf.DUMMYFUNCTION("""COMPUTED_VALUE"""),706.6954535953523)</f>
        <v>706.6954536</v>
      </c>
      <c r="J37" s="40">
        <f>IFERROR(__xludf.DUMMYFUNCTION("""COMPUTED_VALUE"""),158.31944686938246)</f>
        <v>158.3194469</v>
      </c>
      <c r="K37" s="40">
        <f>IFERROR(__xludf.DUMMYFUNCTION("""COMPUTED_VALUE"""),548.37600672597)</f>
        <v>548.3760067</v>
      </c>
      <c r="L37" s="26">
        <f>IFERROR(__xludf.DUMMYFUNCTION("""COMPUTED_VALUE"""),37448.29124192576)</f>
        <v>37448.29124</v>
      </c>
      <c r="M37" s="39">
        <f>IFERROR(__xludf.DUMMYFUNCTION("""COMPUTED_VALUE"""),0.46810364052407205)</f>
        <v>0.4681036405</v>
      </c>
      <c r="N37" s="40">
        <f>IFERROR(__xludf.DUMMYFUNCTION("""COMPUTED_VALUE"""),4408.98212821422)</f>
        <v>4408.982128</v>
      </c>
      <c r="O37" s="40">
        <f>IFERROR(__xludf.DUMMYFUNCTION("""COMPUTED_VALUE"""),12551.708758074237)</f>
        <v>12551.70876</v>
      </c>
      <c r="P37" s="2"/>
      <c r="Q37" s="13">
        <v>24.0</v>
      </c>
      <c r="R37" s="17">
        <f t="shared" si="2"/>
        <v>43845</v>
      </c>
      <c r="S37" s="26">
        <f t="shared" si="3"/>
        <v>37996.66725</v>
      </c>
      <c r="T37" s="40">
        <f t="shared" si="4"/>
        <v>706.6954536</v>
      </c>
      <c r="U37" s="40">
        <f t="shared" si="5"/>
        <v>158.3194469</v>
      </c>
      <c r="V37" s="40">
        <f t="shared" si="6"/>
        <v>548.3760067</v>
      </c>
      <c r="W37" s="26">
        <f t="shared" si="7"/>
        <v>37448.29124</v>
      </c>
      <c r="X37" s="39">
        <f t="shared" si="8"/>
        <v>0.4681036405</v>
      </c>
      <c r="Y37" s="40">
        <f t="shared" ref="Y37:Z37" si="31">U37+Y36</f>
        <v>4408.982128</v>
      </c>
      <c r="Z37" s="40">
        <f t="shared" si="31"/>
        <v>12551.70876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>
      <c r="A38" s="2"/>
      <c r="B38" s="2"/>
      <c r="C38" s="2"/>
      <c r="D38" s="2"/>
      <c r="E38" s="2"/>
      <c r="F38" s="13">
        <f>IFERROR(__xludf.DUMMYFUNCTION("""COMPUTED_VALUE"""),25.0)</f>
        <v>25</v>
      </c>
      <c r="G38" s="17">
        <f>IFERROR(__xludf.DUMMYFUNCTION("""COMPUTED_VALUE"""),43861.0)</f>
        <v>43861</v>
      </c>
      <c r="H38" s="26">
        <f>IFERROR(__xludf.DUMMYFUNCTION("""COMPUTED_VALUE"""),37448.29124192576)</f>
        <v>37448.29124</v>
      </c>
      <c r="I38" s="40">
        <f>IFERROR(__xludf.DUMMYFUNCTION("""COMPUTED_VALUE"""),706.6954535953523)</f>
        <v>706.6954536</v>
      </c>
      <c r="J38" s="40">
        <f>IFERROR(__xludf.DUMMYFUNCTION("""COMPUTED_VALUE"""),156.03454684135755)</f>
        <v>156.0345468</v>
      </c>
      <c r="K38" s="40">
        <f>IFERROR(__xludf.DUMMYFUNCTION("""COMPUTED_VALUE"""),550.6609067539949)</f>
        <v>550.6609068</v>
      </c>
      <c r="L38" s="26">
        <f>IFERROR(__xludf.DUMMYFUNCTION("""COMPUTED_VALUE"""),36897.630335171765)</f>
        <v>36897.63034</v>
      </c>
      <c r="M38" s="39">
        <f>IFERROR(__xludf.DUMMYFUNCTION("""COMPUTED_VALUE"""),0.4612203791896471)</f>
        <v>0.4612203792</v>
      </c>
      <c r="N38" s="40">
        <f>IFERROR(__xludf.DUMMYFUNCTION("""COMPUTED_VALUE"""),4565.016675055578)</f>
        <v>4565.016675</v>
      </c>
      <c r="O38" s="40">
        <f>IFERROR(__xludf.DUMMYFUNCTION("""COMPUTED_VALUE"""),13102.369664828233)</f>
        <v>13102.36966</v>
      </c>
      <c r="P38" s="2"/>
      <c r="Q38" s="13">
        <v>25.0</v>
      </c>
      <c r="R38" s="17">
        <f t="shared" si="2"/>
        <v>43861</v>
      </c>
      <c r="S38" s="26">
        <f t="shared" si="3"/>
        <v>37448.29124</v>
      </c>
      <c r="T38" s="40">
        <f t="shared" si="4"/>
        <v>706.6954536</v>
      </c>
      <c r="U38" s="40">
        <f t="shared" si="5"/>
        <v>156.0345468</v>
      </c>
      <c r="V38" s="40">
        <f t="shared" si="6"/>
        <v>550.6609068</v>
      </c>
      <c r="W38" s="26">
        <f t="shared" si="7"/>
        <v>36897.63034</v>
      </c>
      <c r="X38" s="39">
        <f t="shared" si="8"/>
        <v>0.4612203792</v>
      </c>
      <c r="Y38" s="40">
        <f t="shared" ref="Y38:Z38" si="32">U38+Y37</f>
        <v>4565.016675</v>
      </c>
      <c r="Z38" s="40">
        <f t="shared" si="32"/>
        <v>13102.36966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>
      <c r="A39" s="2"/>
      <c r="B39" s="2"/>
      <c r="C39" s="2"/>
      <c r="D39" s="2"/>
      <c r="E39" s="2"/>
      <c r="F39" s="13">
        <f>IFERROR(__xludf.DUMMYFUNCTION("""COMPUTED_VALUE"""),26.0)</f>
        <v>26</v>
      </c>
      <c r="G39" s="17">
        <f>IFERROR(__xludf.DUMMYFUNCTION("""COMPUTED_VALUE"""),43876.0)</f>
        <v>43876</v>
      </c>
      <c r="H39" s="26">
        <f>IFERROR(__xludf.DUMMYFUNCTION("""COMPUTED_VALUE"""),36897.630335171765)</f>
        <v>36897.63034</v>
      </c>
      <c r="I39" s="40">
        <f>IFERROR(__xludf.DUMMYFUNCTION("""COMPUTED_VALUE"""),706.6954535953523)</f>
        <v>706.6954536</v>
      </c>
      <c r="J39" s="40">
        <f>IFERROR(__xludf.DUMMYFUNCTION("""COMPUTED_VALUE"""),153.74012639654921)</f>
        <v>153.7401264</v>
      </c>
      <c r="K39" s="40">
        <f>IFERROR(__xludf.DUMMYFUNCTION("""COMPUTED_VALUE"""),552.9553271988032)</f>
        <v>552.9553272</v>
      </c>
      <c r="L39" s="26">
        <f>IFERROR(__xludf.DUMMYFUNCTION("""COMPUTED_VALUE"""),36344.67500797296)</f>
        <v>36344.67501</v>
      </c>
      <c r="M39" s="39">
        <f>IFERROR(__xludf.DUMMYFUNCTION("""COMPUTED_VALUE"""),0.454308437599662)</f>
        <v>0.4543084376</v>
      </c>
      <c r="N39" s="40">
        <f>IFERROR(__xludf.DUMMYFUNCTION("""COMPUTED_VALUE"""),4718.756801452128)</f>
        <v>4718.756801</v>
      </c>
      <c r="O39" s="40">
        <f>IFERROR(__xludf.DUMMYFUNCTION("""COMPUTED_VALUE"""),13655.324992027035)</f>
        <v>13655.32499</v>
      </c>
      <c r="P39" s="2"/>
      <c r="Q39" s="13">
        <v>26.0</v>
      </c>
      <c r="R39" s="17">
        <f t="shared" si="2"/>
        <v>43876</v>
      </c>
      <c r="S39" s="26">
        <f t="shared" si="3"/>
        <v>36897.63034</v>
      </c>
      <c r="T39" s="40">
        <f t="shared" si="4"/>
        <v>706.6954536</v>
      </c>
      <c r="U39" s="40">
        <f t="shared" si="5"/>
        <v>153.7401264</v>
      </c>
      <c r="V39" s="40">
        <f t="shared" si="6"/>
        <v>552.9553272</v>
      </c>
      <c r="W39" s="26">
        <f t="shared" si="7"/>
        <v>36344.67501</v>
      </c>
      <c r="X39" s="39">
        <f t="shared" si="8"/>
        <v>0.4543084376</v>
      </c>
      <c r="Y39" s="40">
        <f t="shared" ref="Y39:Z39" si="33">U39+Y38</f>
        <v>4718.756801</v>
      </c>
      <c r="Z39" s="40">
        <f t="shared" si="33"/>
        <v>13655.32499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>
      <c r="A40" s="2"/>
      <c r="B40" s="2"/>
      <c r="C40" s="2"/>
      <c r="D40" s="2"/>
      <c r="E40" s="2"/>
      <c r="F40" s="13">
        <f>IFERROR(__xludf.DUMMYFUNCTION("""COMPUTED_VALUE"""),27.0)</f>
        <v>27</v>
      </c>
      <c r="G40" s="17">
        <f>IFERROR(__xludf.DUMMYFUNCTION("""COMPUTED_VALUE"""),43890.0)</f>
        <v>43890</v>
      </c>
      <c r="H40" s="26">
        <f>IFERROR(__xludf.DUMMYFUNCTION("""COMPUTED_VALUE"""),36344.67500797296)</f>
        <v>36344.67501</v>
      </c>
      <c r="I40" s="40">
        <f>IFERROR(__xludf.DUMMYFUNCTION("""COMPUTED_VALUE"""),706.6954535953523)</f>
        <v>706.6954536</v>
      </c>
      <c r="J40" s="40">
        <f>IFERROR(__xludf.DUMMYFUNCTION("""COMPUTED_VALUE"""),151.43614586655426)</f>
        <v>151.4361459</v>
      </c>
      <c r="K40" s="40">
        <f>IFERROR(__xludf.DUMMYFUNCTION("""COMPUTED_VALUE"""),555.2593077287981)</f>
        <v>555.2593077</v>
      </c>
      <c r="L40" s="26">
        <f>IFERROR(__xludf.DUMMYFUNCTION("""COMPUTED_VALUE"""),35789.415700244164)</f>
        <v>35789.4157</v>
      </c>
      <c r="M40" s="39">
        <f>IFERROR(__xludf.DUMMYFUNCTION("""COMPUTED_VALUE"""),0.44736769625305206)</f>
        <v>0.4473676963</v>
      </c>
      <c r="N40" s="40">
        <f>IFERROR(__xludf.DUMMYFUNCTION("""COMPUTED_VALUE"""),4870.192947318682)</f>
        <v>4870.192947</v>
      </c>
      <c r="O40" s="40">
        <f>IFERROR(__xludf.DUMMYFUNCTION("""COMPUTED_VALUE"""),14210.584299755834)</f>
        <v>14210.5843</v>
      </c>
      <c r="P40" s="2"/>
      <c r="Q40" s="13">
        <v>27.0</v>
      </c>
      <c r="R40" s="17">
        <f t="shared" si="2"/>
        <v>43890</v>
      </c>
      <c r="S40" s="26">
        <f t="shared" si="3"/>
        <v>36344.67501</v>
      </c>
      <c r="T40" s="40">
        <f t="shared" si="4"/>
        <v>706.6954536</v>
      </c>
      <c r="U40" s="40">
        <f t="shared" si="5"/>
        <v>151.4361459</v>
      </c>
      <c r="V40" s="40">
        <f t="shared" si="6"/>
        <v>555.2593077</v>
      </c>
      <c r="W40" s="26">
        <f t="shared" si="7"/>
        <v>35789.4157</v>
      </c>
      <c r="X40" s="39">
        <f t="shared" si="8"/>
        <v>0.4473676963</v>
      </c>
      <c r="Y40" s="40">
        <f t="shared" ref="Y40:Z40" si="34">U40+Y39</f>
        <v>4870.192947</v>
      </c>
      <c r="Z40" s="40">
        <f t="shared" si="34"/>
        <v>14210.5843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>
      <c r="A41" s="2"/>
      <c r="B41" s="2"/>
      <c r="C41" s="2"/>
      <c r="D41" s="2"/>
      <c r="E41" s="2"/>
      <c r="F41" s="13">
        <f>IFERROR(__xludf.DUMMYFUNCTION("""COMPUTED_VALUE"""),28.0)</f>
        <v>28</v>
      </c>
      <c r="G41" s="17">
        <f>IFERROR(__xludf.DUMMYFUNCTION("""COMPUTED_VALUE"""),43905.0)</f>
        <v>43905</v>
      </c>
      <c r="H41" s="26">
        <f>IFERROR(__xludf.DUMMYFUNCTION("""COMPUTED_VALUE"""),35789.415700244164)</f>
        <v>35789.4157</v>
      </c>
      <c r="I41" s="40">
        <f>IFERROR(__xludf.DUMMYFUNCTION("""COMPUTED_VALUE"""),706.6954535953523)</f>
        <v>706.6954536</v>
      </c>
      <c r="J41" s="40">
        <f>IFERROR(__xludf.DUMMYFUNCTION("""COMPUTED_VALUE"""),149.12256541768429)</f>
        <v>149.1225654</v>
      </c>
      <c r="K41" s="40">
        <f>IFERROR(__xludf.DUMMYFUNCTION("""COMPUTED_VALUE"""),557.5728881776682)</f>
        <v>557.5728882</v>
      </c>
      <c r="L41" s="26">
        <f>IFERROR(__xludf.DUMMYFUNCTION("""COMPUTED_VALUE"""),35231.8428120665)</f>
        <v>35231.84281</v>
      </c>
      <c r="M41" s="39">
        <f>IFERROR(__xludf.DUMMYFUNCTION("""COMPUTED_VALUE"""),0.4403980351508312)</f>
        <v>0.4403980352</v>
      </c>
      <c r="N41" s="40">
        <f>IFERROR(__xludf.DUMMYFUNCTION("""COMPUTED_VALUE"""),5019.315512736366)</f>
        <v>5019.315513</v>
      </c>
      <c r="O41" s="40">
        <f>IFERROR(__xludf.DUMMYFUNCTION("""COMPUTED_VALUE"""),14768.157187933502)</f>
        <v>14768.15719</v>
      </c>
      <c r="P41" s="2"/>
      <c r="Q41" s="13">
        <v>28.0</v>
      </c>
      <c r="R41" s="17">
        <f t="shared" si="2"/>
        <v>43905</v>
      </c>
      <c r="S41" s="26">
        <f t="shared" si="3"/>
        <v>35789.4157</v>
      </c>
      <c r="T41" s="40">
        <f t="shared" si="4"/>
        <v>706.6954536</v>
      </c>
      <c r="U41" s="40">
        <f t="shared" si="5"/>
        <v>149.1225654</v>
      </c>
      <c r="V41" s="40">
        <f t="shared" si="6"/>
        <v>557.5728882</v>
      </c>
      <c r="W41" s="26">
        <f t="shared" si="7"/>
        <v>35231.84281</v>
      </c>
      <c r="X41" s="39">
        <f t="shared" si="8"/>
        <v>0.4403980352</v>
      </c>
      <c r="Y41" s="40">
        <f t="shared" ref="Y41:Z41" si="35">U41+Y40</f>
        <v>5019.315513</v>
      </c>
      <c r="Z41" s="40">
        <f t="shared" si="35"/>
        <v>14768.15719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>
      <c r="A42" s="2"/>
      <c r="B42" s="2"/>
      <c r="C42" s="2"/>
      <c r="D42" s="2"/>
      <c r="E42" s="2"/>
      <c r="F42" s="13">
        <f>IFERROR(__xludf.DUMMYFUNCTION("""COMPUTED_VALUE"""),29.0)</f>
        <v>29</v>
      </c>
      <c r="G42" s="17">
        <f>IFERROR(__xludf.DUMMYFUNCTION("""COMPUTED_VALUE"""),43921.0)</f>
        <v>43921</v>
      </c>
      <c r="H42" s="26">
        <f>IFERROR(__xludf.DUMMYFUNCTION("""COMPUTED_VALUE"""),35231.8428120665)</f>
        <v>35231.84281</v>
      </c>
      <c r="I42" s="40">
        <f>IFERROR(__xludf.DUMMYFUNCTION("""COMPUTED_VALUE"""),706.6954535953523)</f>
        <v>706.6954536</v>
      </c>
      <c r="J42" s="40">
        <f>IFERROR(__xludf.DUMMYFUNCTION("""COMPUTED_VALUE"""),146.79934505027728)</f>
        <v>146.7993451</v>
      </c>
      <c r="K42" s="40">
        <f>IFERROR(__xludf.DUMMYFUNCTION("""COMPUTED_VALUE"""),559.8961085450751)</f>
        <v>559.8961085</v>
      </c>
      <c r="L42" s="26">
        <f>IFERROR(__xludf.DUMMYFUNCTION("""COMPUTED_VALUE"""),34671.946703521426)</f>
        <v>34671.9467</v>
      </c>
      <c r="M42" s="39">
        <f>IFERROR(__xludf.DUMMYFUNCTION("""COMPUTED_VALUE"""),0.4333993337940178)</f>
        <v>0.4333993338</v>
      </c>
      <c r="N42" s="40">
        <f>IFERROR(__xludf.DUMMYFUNCTION("""COMPUTED_VALUE"""),5166.114857786643)</f>
        <v>5166.114858</v>
      </c>
      <c r="O42" s="40">
        <f>IFERROR(__xludf.DUMMYFUNCTION("""COMPUTED_VALUE"""),15328.053296478578)</f>
        <v>15328.0533</v>
      </c>
      <c r="P42" s="2"/>
      <c r="Q42" s="13">
        <v>29.0</v>
      </c>
      <c r="R42" s="17">
        <f t="shared" si="2"/>
        <v>43921</v>
      </c>
      <c r="S42" s="26">
        <f t="shared" si="3"/>
        <v>35231.84281</v>
      </c>
      <c r="T42" s="40">
        <f t="shared" si="4"/>
        <v>706.6954536</v>
      </c>
      <c r="U42" s="40">
        <f t="shared" si="5"/>
        <v>146.7993451</v>
      </c>
      <c r="V42" s="40">
        <f t="shared" si="6"/>
        <v>559.8961085</v>
      </c>
      <c r="W42" s="26">
        <f t="shared" si="7"/>
        <v>34671.9467</v>
      </c>
      <c r="X42" s="39">
        <f t="shared" si="8"/>
        <v>0.4333993338</v>
      </c>
      <c r="Y42" s="40">
        <f t="shared" ref="Y42:Z42" si="36">U42+Y41</f>
        <v>5166.114858</v>
      </c>
      <c r="Z42" s="40">
        <f t="shared" si="36"/>
        <v>15328.0533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>
      <c r="A43" s="2"/>
      <c r="B43" s="2"/>
      <c r="C43" s="2"/>
      <c r="D43" s="2"/>
      <c r="E43" s="2"/>
      <c r="F43" s="13">
        <f>IFERROR(__xludf.DUMMYFUNCTION("""COMPUTED_VALUE"""),30.0)</f>
        <v>30</v>
      </c>
      <c r="G43" s="17">
        <f>IFERROR(__xludf.DUMMYFUNCTION("""COMPUTED_VALUE"""),43936.0)</f>
        <v>43936</v>
      </c>
      <c r="H43" s="26">
        <f>IFERROR(__xludf.DUMMYFUNCTION("""COMPUTED_VALUE"""),34671.946703521426)</f>
        <v>34671.9467</v>
      </c>
      <c r="I43" s="40">
        <f>IFERROR(__xludf.DUMMYFUNCTION("""COMPUTED_VALUE"""),706.6954535953523)</f>
        <v>706.6954536</v>
      </c>
      <c r="J43" s="40">
        <f>IFERROR(__xludf.DUMMYFUNCTION("""COMPUTED_VALUE"""),144.46644459800618)</f>
        <v>144.4664446</v>
      </c>
      <c r="K43" s="40">
        <f>IFERROR(__xludf.DUMMYFUNCTION("""COMPUTED_VALUE"""),562.2290089973463)</f>
        <v>562.229009</v>
      </c>
      <c r="L43" s="26">
        <f>IFERROR(__xludf.DUMMYFUNCTION("""COMPUTED_VALUE"""),34109.71769452408)</f>
        <v>34109.71769</v>
      </c>
      <c r="M43" s="39">
        <f>IFERROR(__xludf.DUMMYFUNCTION("""COMPUTED_VALUE"""),0.426371471181551)</f>
        <v>0.4263714712</v>
      </c>
      <c r="N43" s="40">
        <f>IFERROR(__xludf.DUMMYFUNCTION("""COMPUTED_VALUE"""),5310.5813023846495)</f>
        <v>5310.581302</v>
      </c>
      <c r="O43" s="40">
        <f>IFERROR(__xludf.DUMMYFUNCTION("""COMPUTED_VALUE"""),15890.282305475925)</f>
        <v>15890.28231</v>
      </c>
      <c r="P43" s="2"/>
      <c r="Q43" s="13">
        <v>30.0</v>
      </c>
      <c r="R43" s="17">
        <f t="shared" si="2"/>
        <v>43936</v>
      </c>
      <c r="S43" s="26">
        <f t="shared" si="3"/>
        <v>34671.9467</v>
      </c>
      <c r="T43" s="40">
        <f t="shared" si="4"/>
        <v>706.6954536</v>
      </c>
      <c r="U43" s="40">
        <f t="shared" si="5"/>
        <v>144.4664446</v>
      </c>
      <c r="V43" s="40">
        <f t="shared" si="6"/>
        <v>562.229009</v>
      </c>
      <c r="W43" s="26">
        <f t="shared" si="7"/>
        <v>34109.71769</v>
      </c>
      <c r="X43" s="39">
        <f t="shared" si="8"/>
        <v>0.4263714712</v>
      </c>
      <c r="Y43" s="40">
        <f t="shared" ref="Y43:Z43" si="37">U43+Y42</f>
        <v>5310.581302</v>
      </c>
      <c r="Z43" s="40">
        <f t="shared" si="37"/>
        <v>15890.28231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>
      <c r="A44" s="2"/>
      <c r="B44" s="2"/>
      <c r="C44" s="2"/>
      <c r="D44" s="2"/>
      <c r="E44" s="2"/>
      <c r="F44" s="13">
        <f>IFERROR(__xludf.DUMMYFUNCTION("""COMPUTED_VALUE"""),31.0)</f>
        <v>31</v>
      </c>
      <c r="G44" s="17">
        <f>IFERROR(__xludf.DUMMYFUNCTION("""COMPUTED_VALUE"""),43951.0)</f>
        <v>43951</v>
      </c>
      <c r="H44" s="26">
        <f>IFERROR(__xludf.DUMMYFUNCTION("""COMPUTED_VALUE"""),34109.71769452408)</f>
        <v>34109.71769</v>
      </c>
      <c r="I44" s="40">
        <f>IFERROR(__xludf.DUMMYFUNCTION("""COMPUTED_VALUE"""),706.6954535953523)</f>
        <v>706.6954536</v>
      </c>
      <c r="J44" s="40">
        <f>IFERROR(__xludf.DUMMYFUNCTION("""COMPUTED_VALUE"""),142.1238237271839)</f>
        <v>142.1238237</v>
      </c>
      <c r="K44" s="40">
        <f>IFERROR(__xludf.DUMMYFUNCTION("""COMPUTED_VALUE"""),564.5716298681684)</f>
        <v>564.5716299</v>
      </c>
      <c r="L44" s="26">
        <f>IFERROR(__xludf.DUMMYFUNCTION("""COMPUTED_VALUE"""),33545.14606465591)</f>
        <v>33545.14606</v>
      </c>
      <c r="M44" s="39">
        <f>IFERROR(__xludf.DUMMYFUNCTION("""COMPUTED_VALUE"""),0.41931432580819894)</f>
        <v>0.4193143258</v>
      </c>
      <c r="N44" s="40">
        <f>IFERROR(__xludf.DUMMYFUNCTION("""COMPUTED_VALUE"""),5452.705126111833)</f>
        <v>5452.705126</v>
      </c>
      <c r="O44" s="40">
        <f>IFERROR(__xludf.DUMMYFUNCTION("""COMPUTED_VALUE"""),16454.853935344094)</f>
        <v>16454.85394</v>
      </c>
      <c r="P44" s="2"/>
      <c r="Q44" s="13">
        <v>31.0</v>
      </c>
      <c r="R44" s="17">
        <f t="shared" si="2"/>
        <v>43951</v>
      </c>
      <c r="S44" s="26">
        <f t="shared" si="3"/>
        <v>34109.71769</v>
      </c>
      <c r="T44" s="40">
        <f t="shared" si="4"/>
        <v>706.6954536</v>
      </c>
      <c r="U44" s="40">
        <f t="shared" si="5"/>
        <v>142.1238237</v>
      </c>
      <c r="V44" s="40">
        <f t="shared" si="6"/>
        <v>564.5716299</v>
      </c>
      <c r="W44" s="26">
        <f t="shared" si="7"/>
        <v>33545.14606</v>
      </c>
      <c r="X44" s="39">
        <f t="shared" si="8"/>
        <v>0.4193143258</v>
      </c>
      <c r="Y44" s="40">
        <f t="shared" ref="Y44:Z44" si="38">U44+Y43</f>
        <v>5452.705126</v>
      </c>
      <c r="Z44" s="40">
        <f t="shared" si="38"/>
        <v>16454.85394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>
      <c r="A45" s="2"/>
      <c r="B45" s="2"/>
      <c r="C45" s="2"/>
      <c r="D45" s="2"/>
      <c r="E45" s="2"/>
      <c r="F45" s="13">
        <f>IFERROR(__xludf.DUMMYFUNCTION("""COMPUTED_VALUE"""),32.0)</f>
        <v>32</v>
      </c>
      <c r="G45" s="17">
        <f>IFERROR(__xludf.DUMMYFUNCTION("""COMPUTED_VALUE"""),43966.0)</f>
        <v>43966</v>
      </c>
      <c r="H45" s="26">
        <f>IFERROR(__xludf.DUMMYFUNCTION("""COMPUTED_VALUE"""),33545.14606465591)</f>
        <v>33545.14606</v>
      </c>
      <c r="I45" s="40">
        <f>IFERROR(__xludf.DUMMYFUNCTION("""COMPUTED_VALUE"""),706.6954535953523)</f>
        <v>706.6954536</v>
      </c>
      <c r="J45" s="40">
        <f>IFERROR(__xludf.DUMMYFUNCTION("""COMPUTED_VALUE"""),139.77144193606648)</f>
        <v>139.7714419</v>
      </c>
      <c r="K45" s="40">
        <f>IFERROR(__xludf.DUMMYFUNCTION("""COMPUTED_VALUE"""),566.924011659286)</f>
        <v>566.9240117</v>
      </c>
      <c r="L45" s="26">
        <f>IFERROR(__xludf.DUMMYFUNCTION("""COMPUTED_VALUE"""),32978.22205299663)</f>
        <v>32978.22205</v>
      </c>
      <c r="M45" s="39">
        <f>IFERROR(__xludf.DUMMYFUNCTION("""COMPUTED_VALUE"""),0.4122277756624579)</f>
        <v>0.4122277757</v>
      </c>
      <c r="N45" s="40">
        <f>IFERROR(__xludf.DUMMYFUNCTION("""COMPUTED_VALUE"""),5592.4765680478995)</f>
        <v>5592.476568</v>
      </c>
      <c r="O45" s="40">
        <f>IFERROR(__xludf.DUMMYFUNCTION("""COMPUTED_VALUE"""),17021.77794700338)</f>
        <v>17021.77795</v>
      </c>
      <c r="P45" s="2"/>
      <c r="Q45" s="13">
        <v>32.0</v>
      </c>
      <c r="R45" s="17">
        <f t="shared" si="2"/>
        <v>43966</v>
      </c>
      <c r="S45" s="26">
        <f t="shared" si="3"/>
        <v>33545.14606</v>
      </c>
      <c r="T45" s="40">
        <f t="shared" si="4"/>
        <v>706.6954536</v>
      </c>
      <c r="U45" s="40">
        <f t="shared" si="5"/>
        <v>139.7714419</v>
      </c>
      <c r="V45" s="40">
        <f t="shared" si="6"/>
        <v>566.9240117</v>
      </c>
      <c r="W45" s="26">
        <f t="shared" si="7"/>
        <v>32978.22205</v>
      </c>
      <c r="X45" s="39">
        <f t="shared" si="8"/>
        <v>0.4122277757</v>
      </c>
      <c r="Y45" s="40">
        <f t="shared" ref="Y45:Z45" si="39">U45+Y44</f>
        <v>5592.476568</v>
      </c>
      <c r="Z45" s="40">
        <f t="shared" si="39"/>
        <v>17021.77795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>
      <c r="A46" s="2"/>
      <c r="B46" s="2"/>
      <c r="C46" s="2"/>
      <c r="D46" s="2"/>
      <c r="E46" s="2"/>
      <c r="F46" s="13">
        <f>IFERROR(__xludf.DUMMYFUNCTION("""COMPUTED_VALUE"""),33.0)</f>
        <v>33</v>
      </c>
      <c r="G46" s="17">
        <f>IFERROR(__xludf.DUMMYFUNCTION("""COMPUTED_VALUE"""),43982.0)</f>
        <v>43982</v>
      </c>
      <c r="H46" s="26">
        <f>IFERROR(__xludf.DUMMYFUNCTION("""COMPUTED_VALUE"""),32978.22205299663)</f>
        <v>32978.22205</v>
      </c>
      <c r="I46" s="40">
        <f>IFERROR(__xludf.DUMMYFUNCTION("""COMPUTED_VALUE"""),706.6954535953523)</f>
        <v>706.6954536</v>
      </c>
      <c r="J46" s="40">
        <f>IFERROR(__xludf.DUMMYFUNCTION("""COMPUTED_VALUE"""),137.40925855415284)</f>
        <v>137.4092586</v>
      </c>
      <c r="K46" s="40">
        <f>IFERROR(__xludf.DUMMYFUNCTION("""COMPUTED_VALUE"""),569.2861950411996)</f>
        <v>569.286195</v>
      </c>
      <c r="L46" s="26">
        <f>IFERROR(__xludf.DUMMYFUNCTION("""COMPUTED_VALUE"""),32408.93585795543)</f>
        <v>32408.93586</v>
      </c>
      <c r="M46" s="39">
        <f>IFERROR(__xludf.DUMMYFUNCTION("""COMPUTED_VALUE"""),0.4051116982244429)</f>
        <v>0.4051116982</v>
      </c>
      <c r="N46" s="40">
        <f>IFERROR(__xludf.DUMMYFUNCTION("""COMPUTED_VALUE"""),5729.8858266020525)</f>
        <v>5729.885827</v>
      </c>
      <c r="O46" s="40">
        <f>IFERROR(__xludf.DUMMYFUNCTION("""COMPUTED_VALUE"""),17591.06414204458)</f>
        <v>17591.06414</v>
      </c>
      <c r="P46" s="2"/>
      <c r="Q46" s="13">
        <v>33.0</v>
      </c>
      <c r="R46" s="17">
        <f t="shared" si="2"/>
        <v>43982</v>
      </c>
      <c r="S46" s="26">
        <f t="shared" si="3"/>
        <v>32978.22205</v>
      </c>
      <c r="T46" s="40">
        <f t="shared" si="4"/>
        <v>706.6954536</v>
      </c>
      <c r="U46" s="40">
        <f t="shared" si="5"/>
        <v>137.4092586</v>
      </c>
      <c r="V46" s="40">
        <f t="shared" si="6"/>
        <v>569.286195</v>
      </c>
      <c r="W46" s="26">
        <f t="shared" si="7"/>
        <v>32408.93586</v>
      </c>
      <c r="X46" s="39">
        <f t="shared" si="8"/>
        <v>0.4051116982</v>
      </c>
      <c r="Y46" s="40">
        <f t="shared" ref="Y46:Z46" si="40">U46+Y45</f>
        <v>5729.885827</v>
      </c>
      <c r="Z46" s="40">
        <f t="shared" si="40"/>
        <v>17591.06414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>
      <c r="A47" s="2"/>
      <c r="B47" s="2"/>
      <c r="C47" s="2"/>
      <c r="D47" s="2"/>
      <c r="E47" s="2"/>
      <c r="F47" s="13">
        <f>IFERROR(__xludf.DUMMYFUNCTION("""COMPUTED_VALUE"""),34.0)</f>
        <v>34</v>
      </c>
      <c r="G47" s="17">
        <f>IFERROR(__xludf.DUMMYFUNCTION("""COMPUTED_VALUE"""),43997.0)</f>
        <v>43997</v>
      </c>
      <c r="H47" s="26">
        <f>IFERROR(__xludf.DUMMYFUNCTION("""COMPUTED_VALUE"""),32408.93585795543)</f>
        <v>32408.93586</v>
      </c>
      <c r="I47" s="40">
        <f>IFERROR(__xludf.DUMMYFUNCTION("""COMPUTED_VALUE"""),706.6954535953523)</f>
        <v>706.6954536</v>
      </c>
      <c r="J47" s="40">
        <f>IFERROR(__xludf.DUMMYFUNCTION("""COMPUTED_VALUE"""),135.03723274148123)</f>
        <v>135.0372327</v>
      </c>
      <c r="K47" s="40">
        <f>IFERROR(__xludf.DUMMYFUNCTION("""COMPUTED_VALUE"""),571.6582208538712)</f>
        <v>571.6582209</v>
      </c>
      <c r="L47" s="26">
        <f>IFERROR(__xludf.DUMMYFUNCTION("""COMPUTED_VALUE"""),31837.277637101557)</f>
        <v>31837.27764</v>
      </c>
      <c r="M47" s="39">
        <f>IFERROR(__xludf.DUMMYFUNCTION("""COMPUTED_VALUE"""),0.39796597046376947)</f>
        <v>0.3979659705</v>
      </c>
      <c r="N47" s="40">
        <f>IFERROR(__xludf.DUMMYFUNCTION("""COMPUTED_VALUE"""),5864.923059343534)</f>
        <v>5864.923059</v>
      </c>
      <c r="O47" s="40">
        <f>IFERROR(__xludf.DUMMYFUNCTION("""COMPUTED_VALUE"""),18162.72236289845)</f>
        <v>18162.72236</v>
      </c>
      <c r="P47" s="2"/>
      <c r="Q47" s="13">
        <v>34.0</v>
      </c>
      <c r="R47" s="17">
        <f t="shared" si="2"/>
        <v>43997</v>
      </c>
      <c r="S47" s="26">
        <f t="shared" si="3"/>
        <v>32408.93586</v>
      </c>
      <c r="T47" s="40">
        <f t="shared" si="4"/>
        <v>706.6954536</v>
      </c>
      <c r="U47" s="40">
        <f t="shared" si="5"/>
        <v>135.0372327</v>
      </c>
      <c r="V47" s="40">
        <f t="shared" si="6"/>
        <v>571.6582209</v>
      </c>
      <c r="W47" s="26">
        <f t="shared" si="7"/>
        <v>31837.27764</v>
      </c>
      <c r="X47" s="39">
        <f t="shared" si="8"/>
        <v>0.3979659705</v>
      </c>
      <c r="Y47" s="40">
        <f t="shared" ref="Y47:Z47" si="41">U47+Y46</f>
        <v>5864.923059</v>
      </c>
      <c r="Z47" s="40">
        <f t="shared" si="41"/>
        <v>18162.72236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>
      <c r="A48" s="2"/>
      <c r="B48" s="2"/>
      <c r="C48" s="2"/>
      <c r="D48" s="2"/>
      <c r="E48" s="2"/>
      <c r="F48" s="13">
        <f>IFERROR(__xludf.DUMMYFUNCTION("""COMPUTED_VALUE"""),35.0)</f>
        <v>35</v>
      </c>
      <c r="G48" s="17">
        <f>IFERROR(__xludf.DUMMYFUNCTION("""COMPUTED_VALUE"""),44012.0)</f>
        <v>44012</v>
      </c>
      <c r="H48" s="26">
        <f>IFERROR(__xludf.DUMMYFUNCTION("""COMPUTED_VALUE"""),31837.277637101557)</f>
        <v>31837.27764</v>
      </c>
      <c r="I48" s="40">
        <f>IFERROR(__xludf.DUMMYFUNCTION("""COMPUTED_VALUE"""),706.6954535953523)</f>
        <v>706.6954536</v>
      </c>
      <c r="J48" s="40">
        <f>IFERROR(__xludf.DUMMYFUNCTION("""COMPUTED_VALUE"""),132.65532348792337)</f>
        <v>132.6553235</v>
      </c>
      <c r="K48" s="40">
        <f>IFERROR(__xludf.DUMMYFUNCTION("""COMPUTED_VALUE"""),574.040130107429)</f>
        <v>574.0401301</v>
      </c>
      <c r="L48" s="26">
        <f>IFERROR(__xludf.DUMMYFUNCTION("""COMPUTED_VALUE"""),31263.237506994126)</f>
        <v>31263.23751</v>
      </c>
      <c r="M48" s="39">
        <f>IFERROR(__xludf.DUMMYFUNCTION("""COMPUTED_VALUE"""),0.3907904688374266)</f>
        <v>0.3907904688</v>
      </c>
      <c r="N48" s="40">
        <f>IFERROR(__xludf.DUMMYFUNCTION("""COMPUTED_VALUE"""),5997.578382831457)</f>
        <v>5997.578383</v>
      </c>
      <c r="O48" s="40">
        <f>IFERROR(__xludf.DUMMYFUNCTION("""COMPUTED_VALUE"""),18736.76249300588)</f>
        <v>18736.76249</v>
      </c>
      <c r="P48" s="2"/>
      <c r="Q48" s="13">
        <v>35.0</v>
      </c>
      <c r="R48" s="17">
        <f t="shared" si="2"/>
        <v>44012</v>
      </c>
      <c r="S48" s="26">
        <f t="shared" si="3"/>
        <v>31837.27764</v>
      </c>
      <c r="T48" s="40">
        <f t="shared" si="4"/>
        <v>706.6954536</v>
      </c>
      <c r="U48" s="40">
        <f t="shared" si="5"/>
        <v>132.6553235</v>
      </c>
      <c r="V48" s="40">
        <f t="shared" si="6"/>
        <v>574.0401301</v>
      </c>
      <c r="W48" s="26">
        <f t="shared" si="7"/>
        <v>31263.23751</v>
      </c>
      <c r="X48" s="39">
        <f t="shared" si="8"/>
        <v>0.3907904688</v>
      </c>
      <c r="Y48" s="40">
        <f t="shared" ref="Y48:Z48" si="42">U48+Y47</f>
        <v>5997.578383</v>
      </c>
      <c r="Z48" s="40">
        <f t="shared" si="42"/>
        <v>18736.76249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>
      <c r="A49" s="2"/>
      <c r="B49" s="2"/>
      <c r="C49" s="2"/>
      <c r="D49" s="2"/>
      <c r="E49" s="2"/>
      <c r="F49" s="13">
        <f>IFERROR(__xludf.DUMMYFUNCTION("""COMPUTED_VALUE"""),36.0)</f>
        <v>36</v>
      </c>
      <c r="G49" s="17">
        <f>IFERROR(__xludf.DUMMYFUNCTION("""COMPUTED_VALUE"""),44027.0)</f>
        <v>44027</v>
      </c>
      <c r="H49" s="26">
        <f>IFERROR(__xludf.DUMMYFUNCTION("""COMPUTED_VALUE"""),31263.237506994126)</f>
        <v>31263.23751</v>
      </c>
      <c r="I49" s="40">
        <f>IFERROR(__xludf.DUMMYFUNCTION("""COMPUTED_VALUE"""),706.6954535953523)</f>
        <v>706.6954536</v>
      </c>
      <c r="J49" s="40">
        <f>IFERROR(__xludf.DUMMYFUNCTION("""COMPUTED_VALUE"""),130.26348961247578)</f>
        <v>130.2634896</v>
      </c>
      <c r="K49" s="40">
        <f>IFERROR(__xludf.DUMMYFUNCTION("""COMPUTED_VALUE"""),576.4319639828766)</f>
        <v>576.431964</v>
      </c>
      <c r="L49" s="26">
        <f>IFERROR(__xludf.DUMMYFUNCTION("""COMPUTED_VALUE"""),30686.80554301125)</f>
        <v>30686.80554</v>
      </c>
      <c r="M49" s="39">
        <f>IFERROR(__xludf.DUMMYFUNCTION("""COMPUTED_VALUE"""),0.38358506928764063)</f>
        <v>0.3835850693</v>
      </c>
      <c r="N49" s="40">
        <f>IFERROR(__xludf.DUMMYFUNCTION("""COMPUTED_VALUE"""),6127.8418724439325)</f>
        <v>6127.841872</v>
      </c>
      <c r="O49" s="40">
        <f>IFERROR(__xludf.DUMMYFUNCTION("""COMPUTED_VALUE"""),19313.194456988756)</f>
        <v>19313.19446</v>
      </c>
      <c r="P49" s="2"/>
      <c r="Q49" s="13">
        <v>36.0</v>
      </c>
      <c r="R49" s="17">
        <f t="shared" si="2"/>
        <v>44027</v>
      </c>
      <c r="S49" s="26">
        <f t="shared" si="3"/>
        <v>31263.23751</v>
      </c>
      <c r="T49" s="40">
        <f t="shared" si="4"/>
        <v>706.6954536</v>
      </c>
      <c r="U49" s="40">
        <f t="shared" si="5"/>
        <v>130.2634896</v>
      </c>
      <c r="V49" s="40">
        <f t="shared" si="6"/>
        <v>576.431964</v>
      </c>
      <c r="W49" s="26">
        <f t="shared" si="7"/>
        <v>30686.80554</v>
      </c>
      <c r="X49" s="39">
        <f t="shared" si="8"/>
        <v>0.3835850693</v>
      </c>
      <c r="Y49" s="40">
        <f t="shared" ref="Y49:Z49" si="43">U49+Y48</f>
        <v>6127.841872</v>
      </c>
      <c r="Z49" s="40">
        <f t="shared" si="43"/>
        <v>19313.19446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>
      <c r="A50" s="2"/>
      <c r="B50" s="2"/>
      <c r="C50" s="2"/>
      <c r="D50" s="2"/>
      <c r="E50" s="2"/>
      <c r="F50" s="13">
        <f>IFERROR(__xludf.DUMMYFUNCTION("""COMPUTED_VALUE"""),37.0)</f>
        <v>37</v>
      </c>
      <c r="G50" s="17">
        <f>IFERROR(__xludf.DUMMYFUNCTION("""COMPUTED_VALUE"""),44043.0)</f>
        <v>44043</v>
      </c>
      <c r="H50" s="26">
        <f>IFERROR(__xludf.DUMMYFUNCTION("""COMPUTED_VALUE"""),30686.80554301125)</f>
        <v>30686.80554</v>
      </c>
      <c r="I50" s="40">
        <f>IFERROR(__xludf.DUMMYFUNCTION("""COMPUTED_VALUE"""),706.6954535953523)</f>
        <v>706.6954536</v>
      </c>
      <c r="J50" s="40">
        <f>IFERROR(__xludf.DUMMYFUNCTION("""COMPUTED_VALUE"""),127.86168976254709)</f>
        <v>127.8616898</v>
      </c>
      <c r="K50" s="40">
        <f>IFERROR(__xludf.DUMMYFUNCTION("""COMPUTED_VALUE"""),578.8337638328054)</f>
        <v>578.8337638</v>
      </c>
      <c r="L50" s="26">
        <f>IFERROR(__xludf.DUMMYFUNCTION("""COMPUTED_VALUE"""),30107.971779178446)</f>
        <v>30107.97178</v>
      </c>
      <c r="M50" s="39">
        <f>IFERROR(__xludf.DUMMYFUNCTION("""COMPUTED_VALUE"""),0.3763496472397306)</f>
        <v>0.3763496472</v>
      </c>
      <c r="N50" s="40">
        <f>IFERROR(__xludf.DUMMYFUNCTION("""COMPUTED_VALUE"""),6255.70356220648)</f>
        <v>6255.703562</v>
      </c>
      <c r="O50" s="40">
        <f>IFERROR(__xludf.DUMMYFUNCTION("""COMPUTED_VALUE"""),19892.02822082156)</f>
        <v>19892.02822</v>
      </c>
      <c r="P50" s="2"/>
      <c r="Q50" s="13">
        <v>37.0</v>
      </c>
      <c r="R50" s="17">
        <f t="shared" si="2"/>
        <v>44043</v>
      </c>
      <c r="S50" s="26">
        <f t="shared" si="3"/>
        <v>30686.80554</v>
      </c>
      <c r="T50" s="40">
        <f t="shared" si="4"/>
        <v>706.6954536</v>
      </c>
      <c r="U50" s="40">
        <f t="shared" si="5"/>
        <v>127.8616898</v>
      </c>
      <c r="V50" s="40">
        <f t="shared" si="6"/>
        <v>578.8337638</v>
      </c>
      <c r="W50" s="26">
        <f t="shared" si="7"/>
        <v>30107.97178</v>
      </c>
      <c r="X50" s="39">
        <f t="shared" si="8"/>
        <v>0.3763496472</v>
      </c>
      <c r="Y50" s="40">
        <f t="shared" ref="Y50:Z50" si="44">U50+Y49</f>
        <v>6255.703562</v>
      </c>
      <c r="Z50" s="40">
        <f t="shared" si="44"/>
        <v>19892.02822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>
      <c r="A51" s="2"/>
      <c r="B51" s="2"/>
      <c r="C51" s="2"/>
      <c r="D51" s="2"/>
      <c r="E51" s="2"/>
      <c r="F51" s="13">
        <f>IFERROR(__xludf.DUMMYFUNCTION("""COMPUTED_VALUE"""),38.0)</f>
        <v>38</v>
      </c>
      <c r="G51" s="17">
        <f>IFERROR(__xludf.DUMMYFUNCTION("""COMPUTED_VALUE"""),44058.0)</f>
        <v>44058</v>
      </c>
      <c r="H51" s="26">
        <f>IFERROR(__xludf.DUMMYFUNCTION("""COMPUTED_VALUE"""),30107.971779178446)</f>
        <v>30107.97178</v>
      </c>
      <c r="I51" s="40">
        <f>IFERROR(__xludf.DUMMYFUNCTION("""COMPUTED_VALUE"""),706.6954535953523)</f>
        <v>706.6954536</v>
      </c>
      <c r="J51" s="40">
        <f>IFERROR(__xludf.DUMMYFUNCTION("""COMPUTED_VALUE"""),125.44988241324377)</f>
        <v>125.4498824</v>
      </c>
      <c r="K51" s="40">
        <f>IFERROR(__xludf.DUMMYFUNCTION("""COMPUTED_VALUE"""),581.2455711821087)</f>
        <v>581.2455712</v>
      </c>
      <c r="L51" s="26">
        <f>IFERROR(__xludf.DUMMYFUNCTION("""COMPUTED_VALUE"""),29526.726207996337)</f>
        <v>29526.72621</v>
      </c>
      <c r="M51" s="39">
        <f>IFERROR(__xludf.DUMMYFUNCTION("""COMPUTED_VALUE"""),0.3690840775999542)</f>
        <v>0.3690840776</v>
      </c>
      <c r="N51" s="40">
        <f>IFERROR(__xludf.DUMMYFUNCTION("""COMPUTED_VALUE"""),6381.153444619723)</f>
        <v>6381.153445</v>
      </c>
      <c r="O51" s="40">
        <f>IFERROR(__xludf.DUMMYFUNCTION("""COMPUTED_VALUE"""),20473.27379200367)</f>
        <v>20473.27379</v>
      </c>
      <c r="P51" s="2"/>
      <c r="Q51" s="13">
        <v>38.0</v>
      </c>
      <c r="R51" s="17">
        <f t="shared" si="2"/>
        <v>44058</v>
      </c>
      <c r="S51" s="26">
        <f t="shared" si="3"/>
        <v>30107.97178</v>
      </c>
      <c r="T51" s="40">
        <f t="shared" si="4"/>
        <v>706.6954536</v>
      </c>
      <c r="U51" s="40">
        <f t="shared" si="5"/>
        <v>125.4498824</v>
      </c>
      <c r="V51" s="40">
        <f t="shared" si="6"/>
        <v>581.2455712</v>
      </c>
      <c r="W51" s="26">
        <f t="shared" si="7"/>
        <v>29526.72621</v>
      </c>
      <c r="X51" s="39">
        <f t="shared" si="8"/>
        <v>0.3690840776</v>
      </c>
      <c r="Y51" s="40">
        <f t="shared" ref="Y51:Z51" si="45">U51+Y50</f>
        <v>6381.153445</v>
      </c>
      <c r="Z51" s="40">
        <f t="shared" si="45"/>
        <v>20473.27379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>
      <c r="A52" s="2"/>
      <c r="B52" s="2"/>
      <c r="C52" s="2"/>
      <c r="D52" s="2"/>
      <c r="E52" s="2"/>
      <c r="F52" s="13">
        <f>IFERROR(__xludf.DUMMYFUNCTION("""COMPUTED_VALUE"""),39.0)</f>
        <v>39</v>
      </c>
      <c r="G52" s="17">
        <f>IFERROR(__xludf.DUMMYFUNCTION("""COMPUTED_VALUE"""),44074.0)</f>
        <v>44074</v>
      </c>
      <c r="H52" s="26">
        <f>IFERROR(__xludf.DUMMYFUNCTION("""COMPUTED_VALUE"""),29526.726207996337)</f>
        <v>29526.72621</v>
      </c>
      <c r="I52" s="40">
        <f>IFERROR(__xludf.DUMMYFUNCTION("""COMPUTED_VALUE"""),706.6954535953523)</f>
        <v>706.6954536</v>
      </c>
      <c r="J52" s="40">
        <f>IFERROR(__xludf.DUMMYFUNCTION("""COMPUTED_VALUE"""),123.02802586665169)</f>
        <v>123.0280259</v>
      </c>
      <c r="K52" s="40">
        <f>IFERROR(__xludf.DUMMYFUNCTION("""COMPUTED_VALUE"""),583.6674277287007)</f>
        <v>583.6674277</v>
      </c>
      <c r="L52" s="26">
        <f>IFERROR(__xludf.DUMMYFUNCTION("""COMPUTED_VALUE"""),28943.058780267635)</f>
        <v>28943.05878</v>
      </c>
      <c r="M52" s="39">
        <f>IFERROR(__xludf.DUMMYFUNCTION("""COMPUTED_VALUE"""),0.36178823475334543)</f>
        <v>0.3617882348</v>
      </c>
      <c r="N52" s="40">
        <f>IFERROR(__xludf.DUMMYFUNCTION("""COMPUTED_VALUE"""),6504.181470486375)</f>
        <v>6504.18147</v>
      </c>
      <c r="O52" s="40">
        <f>IFERROR(__xludf.DUMMYFUNCTION("""COMPUTED_VALUE"""),21056.941219732373)</f>
        <v>21056.94122</v>
      </c>
      <c r="P52" s="2"/>
      <c r="Q52" s="13">
        <v>39.0</v>
      </c>
      <c r="R52" s="17">
        <f t="shared" si="2"/>
        <v>44074</v>
      </c>
      <c r="S52" s="26">
        <f t="shared" si="3"/>
        <v>29526.72621</v>
      </c>
      <c r="T52" s="40">
        <f t="shared" si="4"/>
        <v>706.6954536</v>
      </c>
      <c r="U52" s="40">
        <f t="shared" si="5"/>
        <v>123.0280259</v>
      </c>
      <c r="V52" s="40">
        <f t="shared" si="6"/>
        <v>583.6674277</v>
      </c>
      <c r="W52" s="26">
        <f t="shared" si="7"/>
        <v>28943.05878</v>
      </c>
      <c r="X52" s="39">
        <f t="shared" si="8"/>
        <v>0.3617882348</v>
      </c>
      <c r="Y52" s="40">
        <f t="shared" ref="Y52:Z52" si="46">U52+Y51</f>
        <v>6504.18147</v>
      </c>
      <c r="Z52" s="40">
        <f t="shared" si="46"/>
        <v>21056.94122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>
      <c r="A53" s="2"/>
      <c r="B53" s="2"/>
      <c r="C53" s="2"/>
      <c r="D53" s="2"/>
      <c r="E53" s="2"/>
      <c r="F53" s="13">
        <f>IFERROR(__xludf.DUMMYFUNCTION("""COMPUTED_VALUE"""),40.0)</f>
        <v>40</v>
      </c>
      <c r="G53" s="17">
        <f>IFERROR(__xludf.DUMMYFUNCTION("""COMPUTED_VALUE"""),44089.0)</f>
        <v>44089</v>
      </c>
      <c r="H53" s="26">
        <f>IFERROR(__xludf.DUMMYFUNCTION("""COMPUTED_VALUE"""),28943.058780267635)</f>
        <v>28943.05878</v>
      </c>
      <c r="I53" s="40">
        <f>IFERROR(__xludf.DUMMYFUNCTION("""COMPUTED_VALUE"""),706.6954535953523)</f>
        <v>706.6954536</v>
      </c>
      <c r="J53" s="40">
        <f>IFERROR(__xludf.DUMMYFUNCTION("""COMPUTED_VALUE"""),120.59607825111547)</f>
        <v>120.5960783</v>
      </c>
      <c r="K53" s="40">
        <f>IFERROR(__xludf.DUMMYFUNCTION("""COMPUTED_VALUE"""),586.0993753442369)</f>
        <v>586.0993753</v>
      </c>
      <c r="L53" s="26">
        <f>IFERROR(__xludf.DUMMYFUNCTION("""COMPUTED_VALUE"""),28356.959404923397)</f>
        <v>28356.9594</v>
      </c>
      <c r="M53" s="39">
        <f>IFERROR(__xludf.DUMMYFUNCTION("""COMPUTED_VALUE"""),0.3544619925615425)</f>
        <v>0.3544619926</v>
      </c>
      <c r="N53" s="40">
        <f>IFERROR(__xludf.DUMMYFUNCTION("""COMPUTED_VALUE"""),6624.77754873749)</f>
        <v>6624.777549</v>
      </c>
      <c r="O53" s="40">
        <f>IFERROR(__xludf.DUMMYFUNCTION("""COMPUTED_VALUE"""),21643.04059507661)</f>
        <v>21643.0406</v>
      </c>
      <c r="P53" s="2"/>
      <c r="Q53" s="13">
        <v>40.0</v>
      </c>
      <c r="R53" s="17">
        <f t="shared" si="2"/>
        <v>44089</v>
      </c>
      <c r="S53" s="26">
        <f t="shared" si="3"/>
        <v>28943.05878</v>
      </c>
      <c r="T53" s="40">
        <f t="shared" si="4"/>
        <v>706.6954536</v>
      </c>
      <c r="U53" s="40">
        <f t="shared" si="5"/>
        <v>120.5960783</v>
      </c>
      <c r="V53" s="40">
        <f t="shared" si="6"/>
        <v>586.0993753</v>
      </c>
      <c r="W53" s="26">
        <f t="shared" si="7"/>
        <v>28356.9594</v>
      </c>
      <c r="X53" s="39">
        <f t="shared" si="8"/>
        <v>0.3544619926</v>
      </c>
      <c r="Y53" s="40">
        <f t="shared" ref="Y53:Z53" si="47">U53+Y52</f>
        <v>6624.777549</v>
      </c>
      <c r="Z53" s="40">
        <f t="shared" si="47"/>
        <v>21643.0406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>
      <c r="A54" s="2"/>
      <c r="B54" s="2"/>
      <c r="C54" s="2"/>
      <c r="D54" s="2"/>
      <c r="E54" s="2"/>
      <c r="F54" s="13">
        <f>IFERROR(__xludf.DUMMYFUNCTION("""COMPUTED_VALUE"""),41.0)</f>
        <v>41</v>
      </c>
      <c r="G54" s="17">
        <f>IFERROR(__xludf.DUMMYFUNCTION("""COMPUTED_VALUE"""),44104.0)</f>
        <v>44104</v>
      </c>
      <c r="H54" s="26">
        <f>IFERROR(__xludf.DUMMYFUNCTION("""COMPUTED_VALUE"""),28356.959404923397)</f>
        <v>28356.9594</v>
      </c>
      <c r="I54" s="40">
        <f>IFERROR(__xludf.DUMMYFUNCTION("""COMPUTED_VALUE"""),706.6954535953523)</f>
        <v>706.6954536</v>
      </c>
      <c r="J54" s="40">
        <f>IFERROR(__xludf.DUMMYFUNCTION("""COMPUTED_VALUE"""),118.15399752051442)</f>
        <v>118.1539975</v>
      </c>
      <c r="K54" s="40">
        <f>IFERROR(__xludf.DUMMYFUNCTION("""COMPUTED_VALUE"""),588.541456074838)</f>
        <v>588.5414561</v>
      </c>
      <c r="L54" s="26">
        <f>IFERROR(__xludf.DUMMYFUNCTION("""COMPUTED_VALUE"""),27768.417948848557)</f>
        <v>27768.41795</v>
      </c>
      <c r="M54" s="39">
        <f>IFERROR(__xludf.DUMMYFUNCTION("""COMPUTED_VALUE"""),0.347105224360607)</f>
        <v>0.3471052244</v>
      </c>
      <c r="N54" s="40">
        <f>IFERROR(__xludf.DUMMYFUNCTION("""COMPUTED_VALUE"""),6742.931546258004)</f>
        <v>6742.931546</v>
      </c>
      <c r="O54" s="40">
        <f>IFERROR(__xludf.DUMMYFUNCTION("""COMPUTED_VALUE"""),22231.58205115145)</f>
        <v>22231.58205</v>
      </c>
      <c r="P54" s="2"/>
      <c r="Q54" s="13">
        <v>41.0</v>
      </c>
      <c r="R54" s="17">
        <f t="shared" si="2"/>
        <v>44104</v>
      </c>
      <c r="S54" s="26">
        <f t="shared" si="3"/>
        <v>28356.9594</v>
      </c>
      <c r="T54" s="40">
        <f t="shared" si="4"/>
        <v>706.6954536</v>
      </c>
      <c r="U54" s="40">
        <f t="shared" si="5"/>
        <v>118.1539975</v>
      </c>
      <c r="V54" s="40">
        <f t="shared" si="6"/>
        <v>588.5414561</v>
      </c>
      <c r="W54" s="26">
        <f t="shared" si="7"/>
        <v>27768.41795</v>
      </c>
      <c r="X54" s="39">
        <f t="shared" si="8"/>
        <v>0.3471052244</v>
      </c>
      <c r="Y54" s="40">
        <f t="shared" ref="Y54:Z54" si="48">U54+Y53</f>
        <v>6742.931546</v>
      </c>
      <c r="Z54" s="40">
        <f t="shared" si="48"/>
        <v>22231.58205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>
      <c r="A55" s="2"/>
      <c r="B55" s="2"/>
      <c r="C55" s="2"/>
      <c r="D55" s="2"/>
      <c r="E55" s="2"/>
      <c r="F55" s="13">
        <f>IFERROR(__xludf.DUMMYFUNCTION("""COMPUTED_VALUE"""),42.0)</f>
        <v>42</v>
      </c>
      <c r="G55" s="17">
        <f>IFERROR(__xludf.DUMMYFUNCTION("""COMPUTED_VALUE"""),44119.0)</f>
        <v>44119</v>
      </c>
      <c r="H55" s="26">
        <f>IFERROR(__xludf.DUMMYFUNCTION("""COMPUTED_VALUE"""),27768.417948848557)</f>
        <v>27768.41795</v>
      </c>
      <c r="I55" s="40">
        <f>IFERROR(__xludf.DUMMYFUNCTION("""COMPUTED_VALUE"""),706.6954535953523)</f>
        <v>706.6954536</v>
      </c>
      <c r="J55" s="40">
        <f>IFERROR(__xludf.DUMMYFUNCTION("""COMPUTED_VALUE"""),115.70174145353599)</f>
        <v>115.7017415</v>
      </c>
      <c r="K55" s="40">
        <f>IFERROR(__xludf.DUMMYFUNCTION("""COMPUTED_VALUE"""),590.9937121418164)</f>
        <v>590.9937121</v>
      </c>
      <c r="L55" s="26">
        <f>IFERROR(__xludf.DUMMYFUNCTION("""COMPUTED_VALUE"""),27177.42423670674)</f>
        <v>27177.42424</v>
      </c>
      <c r="M55" s="39">
        <f>IFERROR(__xludf.DUMMYFUNCTION("""COMPUTED_VALUE"""),0.33971780295883425)</f>
        <v>0.339717803</v>
      </c>
      <c r="N55" s="40">
        <f>IFERROR(__xludf.DUMMYFUNCTION("""COMPUTED_VALUE"""),6858.63328771154)</f>
        <v>6858.633288</v>
      </c>
      <c r="O55" s="40">
        <f>IFERROR(__xludf.DUMMYFUNCTION("""COMPUTED_VALUE"""),22822.575763293265)</f>
        <v>22822.57576</v>
      </c>
      <c r="P55" s="2"/>
      <c r="Q55" s="13">
        <v>42.0</v>
      </c>
      <c r="R55" s="17">
        <f t="shared" si="2"/>
        <v>44119</v>
      </c>
      <c r="S55" s="26">
        <f t="shared" si="3"/>
        <v>27768.41795</v>
      </c>
      <c r="T55" s="40">
        <f t="shared" si="4"/>
        <v>706.6954536</v>
      </c>
      <c r="U55" s="40">
        <f t="shared" si="5"/>
        <v>115.7017415</v>
      </c>
      <c r="V55" s="40">
        <f t="shared" si="6"/>
        <v>590.9937121</v>
      </c>
      <c r="W55" s="26">
        <f t="shared" si="7"/>
        <v>27177.42424</v>
      </c>
      <c r="X55" s="39">
        <f t="shared" si="8"/>
        <v>0.339717803</v>
      </c>
      <c r="Y55" s="40">
        <f t="shared" ref="Y55:Z55" si="49">U55+Y54</f>
        <v>6858.633288</v>
      </c>
      <c r="Z55" s="40">
        <f t="shared" si="49"/>
        <v>22822.57576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>
      <c r="A56" s="2"/>
      <c r="B56" s="2"/>
      <c r="C56" s="2"/>
      <c r="D56" s="2"/>
      <c r="E56" s="2"/>
      <c r="F56" s="13">
        <f>IFERROR(__xludf.DUMMYFUNCTION("""COMPUTED_VALUE"""),43.0)</f>
        <v>43</v>
      </c>
      <c r="G56" s="17">
        <f>IFERROR(__xludf.DUMMYFUNCTION("""COMPUTED_VALUE"""),44135.0)</f>
        <v>44135</v>
      </c>
      <c r="H56" s="26">
        <f>IFERROR(__xludf.DUMMYFUNCTION("""COMPUTED_VALUE"""),27177.42423670674)</f>
        <v>27177.42424</v>
      </c>
      <c r="I56" s="40">
        <f>IFERROR(__xludf.DUMMYFUNCTION("""COMPUTED_VALUE"""),706.6954535953523)</f>
        <v>706.6954536</v>
      </c>
      <c r="J56" s="40">
        <f>IFERROR(__xludf.DUMMYFUNCTION("""COMPUTED_VALUE"""),113.23926765294513)</f>
        <v>113.2392677</v>
      </c>
      <c r="K56" s="40">
        <f>IFERROR(__xludf.DUMMYFUNCTION("""COMPUTED_VALUE"""),593.4561859424074)</f>
        <v>593.4561859</v>
      </c>
      <c r="L56" s="26">
        <f>IFERROR(__xludf.DUMMYFUNCTION("""COMPUTED_VALUE"""),26583.968050764335)</f>
        <v>26583.96805</v>
      </c>
      <c r="M56" s="39">
        <f>IFERROR(__xludf.DUMMYFUNCTION("""COMPUTED_VALUE"""),0.3322996006345542)</f>
        <v>0.3322996006</v>
      </c>
      <c r="N56" s="40">
        <f>IFERROR(__xludf.DUMMYFUNCTION("""COMPUTED_VALUE"""),6971.872555364485)</f>
        <v>6971.872555</v>
      </c>
      <c r="O56" s="40">
        <f>IFERROR(__xludf.DUMMYFUNCTION("""COMPUTED_VALUE"""),23416.031949235672)</f>
        <v>23416.03195</v>
      </c>
      <c r="P56" s="2"/>
      <c r="Q56" s="13">
        <v>43.0</v>
      </c>
      <c r="R56" s="17">
        <f t="shared" si="2"/>
        <v>44135</v>
      </c>
      <c r="S56" s="26">
        <f t="shared" si="3"/>
        <v>27177.42424</v>
      </c>
      <c r="T56" s="40">
        <f t="shared" si="4"/>
        <v>706.6954536</v>
      </c>
      <c r="U56" s="40">
        <f t="shared" si="5"/>
        <v>113.2392677</v>
      </c>
      <c r="V56" s="40">
        <f t="shared" si="6"/>
        <v>593.4561859</v>
      </c>
      <c r="W56" s="26">
        <f t="shared" si="7"/>
        <v>26583.96805</v>
      </c>
      <c r="X56" s="39">
        <f t="shared" si="8"/>
        <v>0.3322996006</v>
      </c>
      <c r="Y56" s="40">
        <f t="shared" ref="Y56:Z56" si="50">U56+Y55</f>
        <v>6971.872555</v>
      </c>
      <c r="Z56" s="40">
        <f t="shared" si="50"/>
        <v>23416.03195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>
      <c r="A57" s="2"/>
      <c r="B57" s="2"/>
      <c r="C57" s="2"/>
      <c r="D57" s="2"/>
      <c r="E57" s="2"/>
      <c r="F57" s="13">
        <f>IFERROR(__xludf.DUMMYFUNCTION("""COMPUTED_VALUE"""),44.0)</f>
        <v>44</v>
      </c>
      <c r="G57" s="17">
        <f>IFERROR(__xludf.DUMMYFUNCTION("""COMPUTED_VALUE"""),44150.0)</f>
        <v>44150</v>
      </c>
      <c r="H57" s="26">
        <f>IFERROR(__xludf.DUMMYFUNCTION("""COMPUTED_VALUE"""),26583.968050764335)</f>
        <v>26583.96805</v>
      </c>
      <c r="I57" s="40">
        <f>IFERROR(__xludf.DUMMYFUNCTION("""COMPUTED_VALUE"""),706.6954535953523)</f>
        <v>706.6954536</v>
      </c>
      <c r="J57" s="40">
        <f>IFERROR(__xludf.DUMMYFUNCTION("""COMPUTED_VALUE"""),110.76653354485175)</f>
        <v>110.7665335</v>
      </c>
      <c r="K57" s="40">
        <f>IFERROR(__xludf.DUMMYFUNCTION("""COMPUTED_VALUE"""),595.9289200505007)</f>
        <v>595.9289201</v>
      </c>
      <c r="L57" s="26">
        <f>IFERROR(__xludf.DUMMYFUNCTION("""COMPUTED_VALUE"""),25988.039130713834)</f>
        <v>25988.03913</v>
      </c>
      <c r="M57" s="39">
        <f>IFERROR(__xludf.DUMMYFUNCTION("""COMPUTED_VALUE"""),0.32485048913392295)</f>
        <v>0.3248504891</v>
      </c>
      <c r="N57" s="40">
        <f>IFERROR(__xludf.DUMMYFUNCTION("""COMPUTED_VALUE"""),7082.639088909337)</f>
        <v>7082.639089</v>
      </c>
      <c r="O57" s="40">
        <f>IFERROR(__xludf.DUMMYFUNCTION("""COMPUTED_VALUE"""),24011.960869286173)</f>
        <v>24011.96087</v>
      </c>
      <c r="P57" s="2"/>
      <c r="Q57" s="13">
        <v>44.0</v>
      </c>
      <c r="R57" s="17">
        <f t="shared" si="2"/>
        <v>44150</v>
      </c>
      <c r="S57" s="26">
        <f t="shared" si="3"/>
        <v>26583.96805</v>
      </c>
      <c r="T57" s="40">
        <f t="shared" si="4"/>
        <v>706.6954536</v>
      </c>
      <c r="U57" s="40">
        <f t="shared" si="5"/>
        <v>110.7665335</v>
      </c>
      <c r="V57" s="40">
        <f t="shared" si="6"/>
        <v>595.9289201</v>
      </c>
      <c r="W57" s="26">
        <f t="shared" si="7"/>
        <v>25988.03913</v>
      </c>
      <c r="X57" s="39">
        <f t="shared" si="8"/>
        <v>0.3248504891</v>
      </c>
      <c r="Y57" s="40">
        <f t="shared" ref="Y57:Z57" si="51">U57+Y56</f>
        <v>7082.639089</v>
      </c>
      <c r="Z57" s="40">
        <f t="shared" si="51"/>
        <v>24011.96087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>
      <c r="A58" s="2"/>
      <c r="B58" s="2"/>
      <c r="C58" s="2"/>
      <c r="D58" s="2"/>
      <c r="E58" s="2"/>
      <c r="F58" s="13">
        <f>IFERROR(__xludf.DUMMYFUNCTION("""COMPUTED_VALUE"""),45.0)</f>
        <v>45</v>
      </c>
      <c r="G58" s="17">
        <f>IFERROR(__xludf.DUMMYFUNCTION("""COMPUTED_VALUE"""),44165.0)</f>
        <v>44165</v>
      </c>
      <c r="H58" s="26">
        <f>IFERROR(__xludf.DUMMYFUNCTION("""COMPUTED_VALUE"""),25988.039130713834)</f>
        <v>25988.03913</v>
      </c>
      <c r="I58" s="40">
        <f>IFERROR(__xludf.DUMMYFUNCTION("""COMPUTED_VALUE"""),706.6954535953523)</f>
        <v>706.6954536</v>
      </c>
      <c r="J58" s="40">
        <f>IFERROR(__xludf.DUMMYFUNCTION("""COMPUTED_VALUE"""),108.28349637797461)</f>
        <v>108.2834964</v>
      </c>
      <c r="K58" s="40">
        <f>IFERROR(__xludf.DUMMYFUNCTION("""COMPUTED_VALUE"""),598.4119572173778)</f>
        <v>598.4119572</v>
      </c>
      <c r="L58" s="26">
        <f>IFERROR(__xludf.DUMMYFUNCTION("""COMPUTED_VALUE"""),25389.627173496458)</f>
        <v>25389.62717</v>
      </c>
      <c r="M58" s="39">
        <f>IFERROR(__xludf.DUMMYFUNCTION("""COMPUTED_VALUE"""),0.3173703396687057)</f>
        <v>0.3173703397</v>
      </c>
      <c r="N58" s="40">
        <f>IFERROR(__xludf.DUMMYFUNCTION("""COMPUTED_VALUE"""),7190.922585287311)</f>
        <v>7190.922585</v>
      </c>
      <c r="O58" s="40">
        <f>IFERROR(__xludf.DUMMYFUNCTION("""COMPUTED_VALUE"""),24610.37282650355)</f>
        <v>24610.37283</v>
      </c>
      <c r="P58" s="2"/>
      <c r="Q58" s="13">
        <v>45.0</v>
      </c>
      <c r="R58" s="17">
        <f t="shared" si="2"/>
        <v>44165</v>
      </c>
      <c r="S58" s="26">
        <f t="shared" si="3"/>
        <v>25988.03913</v>
      </c>
      <c r="T58" s="40">
        <f t="shared" si="4"/>
        <v>706.6954536</v>
      </c>
      <c r="U58" s="40">
        <f t="shared" si="5"/>
        <v>108.2834964</v>
      </c>
      <c r="V58" s="40">
        <f t="shared" si="6"/>
        <v>598.4119572</v>
      </c>
      <c r="W58" s="26">
        <f t="shared" si="7"/>
        <v>25389.62717</v>
      </c>
      <c r="X58" s="39">
        <f t="shared" si="8"/>
        <v>0.3173703397</v>
      </c>
      <c r="Y58" s="40">
        <f t="shared" ref="Y58:Z58" si="52">U58+Y57</f>
        <v>7190.922585</v>
      </c>
      <c r="Z58" s="40">
        <f t="shared" si="52"/>
        <v>24610.37283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>
      <c r="A59" s="2"/>
      <c r="B59" s="2"/>
      <c r="C59" s="2"/>
      <c r="D59" s="2"/>
      <c r="E59" s="2"/>
      <c r="F59" s="13">
        <f>IFERROR(__xludf.DUMMYFUNCTION("""COMPUTED_VALUE"""),46.0)</f>
        <v>46</v>
      </c>
      <c r="G59" s="17">
        <f>IFERROR(__xludf.DUMMYFUNCTION("""COMPUTED_VALUE"""),44180.0)</f>
        <v>44180</v>
      </c>
      <c r="H59" s="26">
        <f>IFERROR(__xludf.DUMMYFUNCTION("""COMPUTED_VALUE"""),25389.627173496458)</f>
        <v>25389.62717</v>
      </c>
      <c r="I59" s="40">
        <f>IFERROR(__xludf.DUMMYFUNCTION("""COMPUTED_VALUE"""),706.6954535953523)</f>
        <v>706.6954536</v>
      </c>
      <c r="J59" s="40">
        <f>IFERROR(__xludf.DUMMYFUNCTION("""COMPUTED_VALUE"""),105.79011322290222)</f>
        <v>105.7901132</v>
      </c>
      <c r="K59" s="40">
        <f>IFERROR(__xludf.DUMMYFUNCTION("""COMPUTED_VALUE"""),600.9053403724502)</f>
        <v>600.9053404</v>
      </c>
      <c r="L59" s="26">
        <f>IFERROR(__xludf.DUMMYFUNCTION("""COMPUTED_VALUE"""),24788.721833124007)</f>
        <v>24788.72183</v>
      </c>
      <c r="M59" s="39">
        <f>IFERROR(__xludf.DUMMYFUNCTION("""COMPUTED_VALUE"""),0.3098590229140501)</f>
        <v>0.3098590229</v>
      </c>
      <c r="N59" s="40">
        <f>IFERROR(__xludf.DUMMYFUNCTION("""COMPUTED_VALUE"""),7296.712698510214)</f>
        <v>7296.712699</v>
      </c>
      <c r="O59" s="40">
        <f>IFERROR(__xludf.DUMMYFUNCTION("""COMPUTED_VALUE"""),25211.278166876)</f>
        <v>25211.27817</v>
      </c>
      <c r="P59" s="2"/>
      <c r="Q59" s="13">
        <v>46.0</v>
      </c>
      <c r="R59" s="17">
        <f t="shared" si="2"/>
        <v>44180</v>
      </c>
      <c r="S59" s="26">
        <f t="shared" si="3"/>
        <v>25389.62717</v>
      </c>
      <c r="T59" s="40">
        <f t="shared" si="4"/>
        <v>706.6954536</v>
      </c>
      <c r="U59" s="40">
        <f t="shared" si="5"/>
        <v>105.7901132</v>
      </c>
      <c r="V59" s="40">
        <f t="shared" si="6"/>
        <v>600.9053404</v>
      </c>
      <c r="W59" s="26">
        <f t="shared" si="7"/>
        <v>24788.72183</v>
      </c>
      <c r="X59" s="39">
        <f t="shared" si="8"/>
        <v>0.3098590229</v>
      </c>
      <c r="Y59" s="40">
        <f t="shared" ref="Y59:Z59" si="53">U59+Y58</f>
        <v>7296.712699</v>
      </c>
      <c r="Z59" s="40">
        <f t="shared" si="53"/>
        <v>25211.27817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>
      <c r="A60" s="2"/>
      <c r="B60" s="2"/>
      <c r="C60" s="2"/>
      <c r="D60" s="2"/>
      <c r="E60" s="2"/>
      <c r="F60" s="13">
        <f>IFERROR(__xludf.DUMMYFUNCTION("""COMPUTED_VALUE"""),47.0)</f>
        <v>47</v>
      </c>
      <c r="G60" s="17">
        <f>IFERROR(__xludf.DUMMYFUNCTION("""COMPUTED_VALUE"""),44196.0)</f>
        <v>44196</v>
      </c>
      <c r="H60" s="26">
        <f>IFERROR(__xludf.DUMMYFUNCTION("""COMPUTED_VALUE"""),24788.721833124007)</f>
        <v>24788.72183</v>
      </c>
      <c r="I60" s="40">
        <f>IFERROR(__xludf.DUMMYFUNCTION("""COMPUTED_VALUE"""),706.6954535953523)</f>
        <v>706.6954536</v>
      </c>
      <c r="J60" s="40">
        <f>IFERROR(__xludf.DUMMYFUNCTION("""COMPUTED_VALUE"""),103.28634097135041)</f>
        <v>103.286341</v>
      </c>
      <c r="K60" s="40">
        <f>IFERROR(__xludf.DUMMYFUNCTION("""COMPUTED_VALUE"""),603.409112624002)</f>
        <v>603.4091126</v>
      </c>
      <c r="L60" s="26">
        <f>IFERROR(__xludf.DUMMYFUNCTION("""COMPUTED_VALUE"""),24185.312720500006)</f>
        <v>24185.31272</v>
      </c>
      <c r="M60" s="39">
        <f>IFERROR(__xludf.DUMMYFUNCTION("""COMPUTED_VALUE"""),0.30231640900625006)</f>
        <v>0.302316409</v>
      </c>
      <c r="N60" s="40">
        <f>IFERROR(__xludf.DUMMYFUNCTION("""COMPUTED_VALUE"""),7399.999039481564)</f>
        <v>7399.999039</v>
      </c>
      <c r="O60" s="40">
        <f>IFERROR(__xludf.DUMMYFUNCTION("""COMPUTED_VALUE"""),25814.6872795)</f>
        <v>25814.68728</v>
      </c>
      <c r="P60" s="2"/>
      <c r="Q60" s="13">
        <v>47.0</v>
      </c>
      <c r="R60" s="17">
        <f t="shared" si="2"/>
        <v>44196</v>
      </c>
      <c r="S60" s="26">
        <f t="shared" si="3"/>
        <v>24788.72183</v>
      </c>
      <c r="T60" s="40">
        <f t="shared" si="4"/>
        <v>706.6954536</v>
      </c>
      <c r="U60" s="40">
        <f t="shared" si="5"/>
        <v>103.286341</v>
      </c>
      <c r="V60" s="40">
        <f t="shared" si="6"/>
        <v>603.4091126</v>
      </c>
      <c r="W60" s="26">
        <f t="shared" si="7"/>
        <v>24185.31272</v>
      </c>
      <c r="X60" s="39">
        <f t="shared" si="8"/>
        <v>0.302316409</v>
      </c>
      <c r="Y60" s="40">
        <f t="shared" ref="Y60:Z60" si="54">U60+Y59</f>
        <v>7399.999039</v>
      </c>
      <c r="Z60" s="40">
        <f t="shared" si="54"/>
        <v>25814.68728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>
      <c r="A61" s="2"/>
      <c r="B61" s="2"/>
      <c r="C61" s="2"/>
      <c r="D61" s="2"/>
      <c r="E61" s="2"/>
      <c r="F61" s="13">
        <f>IFERROR(__xludf.DUMMYFUNCTION("""COMPUTED_VALUE"""),48.0)</f>
        <v>48</v>
      </c>
      <c r="G61" s="17">
        <f>IFERROR(__xludf.DUMMYFUNCTION("""COMPUTED_VALUE"""),44211.0)</f>
        <v>44211</v>
      </c>
      <c r="H61" s="26">
        <f>IFERROR(__xludf.DUMMYFUNCTION("""COMPUTED_VALUE"""),24185.312720500006)</f>
        <v>24185.31272</v>
      </c>
      <c r="I61" s="40">
        <f>IFERROR(__xludf.DUMMYFUNCTION("""COMPUTED_VALUE"""),706.6954535953523)</f>
        <v>706.6954536</v>
      </c>
      <c r="J61" s="40">
        <f>IFERROR(__xludf.DUMMYFUNCTION("""COMPUTED_VALUE"""),100.77213633541709)</f>
        <v>100.7721363</v>
      </c>
      <c r="K61" s="40">
        <f>IFERROR(__xludf.DUMMYFUNCTION("""COMPUTED_VALUE"""),605.9233172599354)</f>
        <v>605.9233173</v>
      </c>
      <c r="L61" s="26">
        <f>IFERROR(__xludf.DUMMYFUNCTION("""COMPUTED_VALUE"""),23579.38940324007)</f>
        <v>23579.3894</v>
      </c>
      <c r="M61" s="39">
        <f>IFERROR(__xludf.DUMMYFUNCTION("""COMPUTED_VALUE"""),0.29474236754050087)</f>
        <v>0.2947423675</v>
      </c>
      <c r="N61" s="40">
        <f>IFERROR(__xludf.DUMMYFUNCTION("""COMPUTED_VALUE"""),7500.771175816981)</f>
        <v>7500.771176</v>
      </c>
      <c r="O61" s="40">
        <f>IFERROR(__xludf.DUMMYFUNCTION("""COMPUTED_VALUE"""),26420.610596759936)</f>
        <v>26420.6106</v>
      </c>
      <c r="P61" s="2"/>
      <c r="Q61" s="13">
        <v>48.0</v>
      </c>
      <c r="R61" s="17">
        <f t="shared" si="2"/>
        <v>44211</v>
      </c>
      <c r="S61" s="26">
        <f t="shared" si="3"/>
        <v>24185.31272</v>
      </c>
      <c r="T61" s="40">
        <f t="shared" si="4"/>
        <v>706.6954536</v>
      </c>
      <c r="U61" s="40">
        <f t="shared" si="5"/>
        <v>100.7721363</v>
      </c>
      <c r="V61" s="40">
        <f t="shared" si="6"/>
        <v>605.9233173</v>
      </c>
      <c r="W61" s="26">
        <f t="shared" si="7"/>
        <v>23579.3894</v>
      </c>
      <c r="X61" s="39">
        <f t="shared" si="8"/>
        <v>0.2947423675</v>
      </c>
      <c r="Y61" s="40">
        <f t="shared" ref="Y61:Z61" si="55">U61+Y60</f>
        <v>7500.771176</v>
      </c>
      <c r="Z61" s="40">
        <f t="shared" si="55"/>
        <v>26420.6106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>
      <c r="A62" s="2"/>
      <c r="B62" s="2"/>
      <c r="C62" s="2"/>
      <c r="D62" s="2"/>
      <c r="E62" s="2"/>
      <c r="F62" s="13">
        <f>IFERROR(__xludf.DUMMYFUNCTION("""COMPUTED_VALUE"""),49.0)</f>
        <v>49</v>
      </c>
      <c r="G62" s="17">
        <f>IFERROR(__xludf.DUMMYFUNCTION("""COMPUTED_VALUE"""),44227.0)</f>
        <v>44227</v>
      </c>
      <c r="H62" s="26">
        <f>IFERROR(__xludf.DUMMYFUNCTION("""COMPUTED_VALUE"""),23579.38940324007)</f>
        <v>23579.3894</v>
      </c>
      <c r="I62" s="40">
        <f>IFERROR(__xludf.DUMMYFUNCTION("""COMPUTED_VALUE"""),706.6954535953523)</f>
        <v>706.6954536</v>
      </c>
      <c r="J62" s="40">
        <f>IFERROR(__xludf.DUMMYFUNCTION("""COMPUTED_VALUE"""),98.24745584683401)</f>
        <v>98.24745585</v>
      </c>
      <c r="K62" s="40">
        <f>IFERROR(__xludf.DUMMYFUNCTION("""COMPUTED_VALUE"""),608.4479977485184)</f>
        <v>608.4479977</v>
      </c>
      <c r="L62" s="26">
        <f>IFERROR(__xludf.DUMMYFUNCTION("""COMPUTED_VALUE"""),22970.941405491554)</f>
        <v>22970.94141</v>
      </c>
      <c r="M62" s="39">
        <f>IFERROR(__xludf.DUMMYFUNCTION("""COMPUTED_VALUE"""),0.2871367675686444)</f>
        <v>0.2871367676</v>
      </c>
      <c r="N62" s="40">
        <f>IFERROR(__xludf.DUMMYFUNCTION("""COMPUTED_VALUE"""),7599.018631663815)</f>
        <v>7599.018632</v>
      </c>
      <c r="O62" s="40">
        <f>IFERROR(__xludf.DUMMYFUNCTION("""COMPUTED_VALUE"""),27029.058594508453)</f>
        <v>27029.05859</v>
      </c>
      <c r="P62" s="2"/>
      <c r="Q62" s="13">
        <v>49.0</v>
      </c>
      <c r="R62" s="17">
        <f t="shared" si="2"/>
        <v>44227</v>
      </c>
      <c r="S62" s="26">
        <f t="shared" si="3"/>
        <v>23579.3894</v>
      </c>
      <c r="T62" s="40">
        <f t="shared" si="4"/>
        <v>706.6954536</v>
      </c>
      <c r="U62" s="40">
        <f t="shared" si="5"/>
        <v>98.24745585</v>
      </c>
      <c r="V62" s="40">
        <f t="shared" si="6"/>
        <v>608.4479977</v>
      </c>
      <c r="W62" s="26">
        <f t="shared" si="7"/>
        <v>22970.94141</v>
      </c>
      <c r="X62" s="39">
        <f t="shared" si="8"/>
        <v>0.2871367676</v>
      </c>
      <c r="Y62" s="40">
        <f t="shared" ref="Y62:Z62" si="56">U62+Y61</f>
        <v>7599.018632</v>
      </c>
      <c r="Z62" s="40">
        <f t="shared" si="56"/>
        <v>27029.05859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>
      <c r="A63" s="2"/>
      <c r="B63" s="2"/>
      <c r="C63" s="2"/>
      <c r="D63" s="2"/>
      <c r="E63" s="2"/>
      <c r="F63" s="13">
        <f>IFERROR(__xludf.DUMMYFUNCTION("""COMPUTED_VALUE"""),50.0)</f>
        <v>50</v>
      </c>
      <c r="G63" s="17">
        <f>IFERROR(__xludf.DUMMYFUNCTION("""COMPUTED_VALUE"""),44242.0)</f>
        <v>44242</v>
      </c>
      <c r="H63" s="26">
        <f>IFERROR(__xludf.DUMMYFUNCTION("""COMPUTED_VALUE"""),22970.941405491554)</f>
        <v>22970.94141</v>
      </c>
      <c r="I63" s="40">
        <f>IFERROR(__xludf.DUMMYFUNCTION("""COMPUTED_VALUE"""),706.6954535953523)</f>
        <v>706.6954536</v>
      </c>
      <c r="J63" s="40">
        <f>IFERROR(__xludf.DUMMYFUNCTION("""COMPUTED_VALUE"""),95.71225585621517)</f>
        <v>95.71225586</v>
      </c>
      <c r="K63" s="40">
        <f>IFERROR(__xludf.DUMMYFUNCTION("""COMPUTED_VALUE"""),610.9831977391373)</f>
        <v>610.9831977</v>
      </c>
      <c r="L63" s="26">
        <f>IFERROR(__xludf.DUMMYFUNCTION("""COMPUTED_VALUE"""),22359.958207752417)</f>
        <v>22359.95821</v>
      </c>
      <c r="M63" s="39">
        <f>IFERROR(__xludf.DUMMYFUNCTION("""COMPUTED_VALUE"""),0.27949947759690524)</f>
        <v>0.2794994776</v>
      </c>
      <c r="N63" s="40">
        <f>IFERROR(__xludf.DUMMYFUNCTION("""COMPUTED_VALUE"""),7694.73088752003)</f>
        <v>7694.730888</v>
      </c>
      <c r="O63" s="40">
        <f>IFERROR(__xludf.DUMMYFUNCTION("""COMPUTED_VALUE"""),27640.04179224759)</f>
        <v>27640.04179</v>
      </c>
      <c r="P63" s="2"/>
      <c r="Q63" s="13">
        <v>50.0</v>
      </c>
      <c r="R63" s="17">
        <f t="shared" si="2"/>
        <v>44242</v>
      </c>
      <c r="S63" s="26">
        <f t="shared" si="3"/>
        <v>22970.94141</v>
      </c>
      <c r="T63" s="40">
        <f t="shared" si="4"/>
        <v>706.6954536</v>
      </c>
      <c r="U63" s="40">
        <f t="shared" si="5"/>
        <v>95.71225586</v>
      </c>
      <c r="V63" s="40">
        <f t="shared" si="6"/>
        <v>610.9831977</v>
      </c>
      <c r="W63" s="26">
        <f t="shared" si="7"/>
        <v>22359.95821</v>
      </c>
      <c r="X63" s="39">
        <f t="shared" si="8"/>
        <v>0.2794994776</v>
      </c>
      <c r="Y63" s="40">
        <f t="shared" ref="Y63:Z63" si="57">U63+Y62</f>
        <v>7694.730888</v>
      </c>
      <c r="Z63" s="40">
        <f t="shared" si="57"/>
        <v>27640.04179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>
      <c r="A64" s="2"/>
      <c r="B64" s="2"/>
      <c r="C64" s="2"/>
      <c r="D64" s="2"/>
      <c r="E64" s="2"/>
      <c r="F64" s="13">
        <f>IFERROR(__xludf.DUMMYFUNCTION("""COMPUTED_VALUE"""),51.0)</f>
        <v>51</v>
      </c>
      <c r="G64" s="17">
        <f>IFERROR(__xludf.DUMMYFUNCTION("""COMPUTED_VALUE"""),44255.0)</f>
        <v>44255</v>
      </c>
      <c r="H64" s="26">
        <f>IFERROR(__xludf.DUMMYFUNCTION("""COMPUTED_VALUE"""),22359.958207752417)</f>
        <v>22359.95821</v>
      </c>
      <c r="I64" s="40">
        <f>IFERROR(__xludf.DUMMYFUNCTION("""COMPUTED_VALUE"""),706.6954535953523)</f>
        <v>706.6954536</v>
      </c>
      <c r="J64" s="40">
        <f>IFERROR(__xludf.DUMMYFUNCTION("""COMPUTED_VALUE"""),93.16649253230216)</f>
        <v>93.16649253</v>
      </c>
      <c r="K64" s="40">
        <f>IFERROR(__xludf.DUMMYFUNCTION("""COMPUTED_VALUE"""),613.5289610630502)</f>
        <v>613.5289611</v>
      </c>
      <c r="L64" s="26">
        <f>IFERROR(__xludf.DUMMYFUNCTION("""COMPUTED_VALUE"""),21746.429246689368)</f>
        <v>21746.42925</v>
      </c>
      <c r="M64" s="39">
        <f>IFERROR(__xludf.DUMMYFUNCTION("""COMPUTED_VALUE"""),0.2718303655836171)</f>
        <v>0.2718303656</v>
      </c>
      <c r="N64" s="40">
        <f>IFERROR(__xludf.DUMMYFUNCTION("""COMPUTED_VALUE"""),7787.897380052332)</f>
        <v>7787.89738</v>
      </c>
      <c r="O64" s="40">
        <f>IFERROR(__xludf.DUMMYFUNCTION("""COMPUTED_VALUE"""),28253.57075331064)</f>
        <v>28253.57075</v>
      </c>
      <c r="P64" s="2"/>
      <c r="Q64" s="13">
        <v>51.0</v>
      </c>
      <c r="R64" s="17">
        <f t="shared" si="2"/>
        <v>44255</v>
      </c>
      <c r="S64" s="26">
        <f t="shared" si="3"/>
        <v>22359.95821</v>
      </c>
      <c r="T64" s="40">
        <f t="shared" si="4"/>
        <v>706.6954536</v>
      </c>
      <c r="U64" s="40">
        <f t="shared" si="5"/>
        <v>93.16649253</v>
      </c>
      <c r="V64" s="40">
        <f t="shared" si="6"/>
        <v>613.5289611</v>
      </c>
      <c r="W64" s="26">
        <f t="shared" si="7"/>
        <v>21746.42925</v>
      </c>
      <c r="X64" s="39">
        <f t="shared" si="8"/>
        <v>0.2718303656</v>
      </c>
      <c r="Y64" s="40">
        <f t="shared" ref="Y64:Z64" si="58">U64+Y63</f>
        <v>7787.89738</v>
      </c>
      <c r="Z64" s="40">
        <f t="shared" si="58"/>
        <v>28253.57075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>
      <c r="A65" s="2"/>
      <c r="B65" s="2"/>
      <c r="C65" s="2"/>
      <c r="D65" s="2"/>
      <c r="E65" s="2"/>
      <c r="F65" s="13">
        <f>IFERROR(__xludf.DUMMYFUNCTION("""COMPUTED_VALUE"""),52.0)</f>
        <v>52</v>
      </c>
      <c r="G65" s="17">
        <f>IFERROR(__xludf.DUMMYFUNCTION("""COMPUTED_VALUE"""),44270.0)</f>
        <v>44270</v>
      </c>
      <c r="H65" s="26">
        <f>IFERROR(__xludf.DUMMYFUNCTION("""COMPUTED_VALUE"""),21746.429246689368)</f>
        <v>21746.42925</v>
      </c>
      <c r="I65" s="40">
        <f>IFERROR(__xludf.DUMMYFUNCTION("""COMPUTED_VALUE"""),706.6954535953523)</f>
        <v>706.6954536</v>
      </c>
      <c r="J65" s="40">
        <f>IFERROR(__xludf.DUMMYFUNCTION("""COMPUTED_VALUE"""),90.61012186120604)</f>
        <v>90.61012186</v>
      </c>
      <c r="K65" s="40">
        <f>IFERROR(__xludf.DUMMYFUNCTION("""COMPUTED_VALUE"""),616.0853317341463)</f>
        <v>616.0853317</v>
      </c>
      <c r="L65" s="26">
        <f>IFERROR(__xludf.DUMMYFUNCTION("""COMPUTED_VALUE"""),21130.34391495522)</f>
        <v>21130.34391</v>
      </c>
      <c r="M65" s="39">
        <f>IFERROR(__xludf.DUMMYFUNCTION("""COMPUTED_VALUE"""),0.26412929893694026)</f>
        <v>0.2641292989</v>
      </c>
      <c r="N65" s="40">
        <f>IFERROR(__xludf.DUMMYFUNCTION("""COMPUTED_VALUE"""),7878.507501913537)</f>
        <v>7878.507502</v>
      </c>
      <c r="O65" s="40">
        <f>IFERROR(__xludf.DUMMYFUNCTION("""COMPUTED_VALUE"""),28869.656085044786)</f>
        <v>28869.65609</v>
      </c>
      <c r="P65" s="2"/>
      <c r="Q65" s="13">
        <v>52.0</v>
      </c>
      <c r="R65" s="17">
        <f t="shared" si="2"/>
        <v>44270</v>
      </c>
      <c r="S65" s="26">
        <f t="shared" si="3"/>
        <v>21746.42925</v>
      </c>
      <c r="T65" s="40">
        <f t="shared" si="4"/>
        <v>706.6954536</v>
      </c>
      <c r="U65" s="40">
        <f t="shared" si="5"/>
        <v>90.61012186</v>
      </c>
      <c r="V65" s="40">
        <f t="shared" si="6"/>
        <v>616.0853317</v>
      </c>
      <c r="W65" s="26">
        <f t="shared" si="7"/>
        <v>21130.34391</v>
      </c>
      <c r="X65" s="39">
        <f t="shared" si="8"/>
        <v>0.2641292989</v>
      </c>
      <c r="Y65" s="40">
        <f t="shared" ref="Y65:Z65" si="59">U65+Y64</f>
        <v>7878.507502</v>
      </c>
      <c r="Z65" s="40">
        <f t="shared" si="59"/>
        <v>28869.65609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>
      <c r="A66" s="2"/>
      <c r="B66" s="2"/>
      <c r="C66" s="2"/>
      <c r="D66" s="2"/>
      <c r="E66" s="2"/>
      <c r="F66" s="13">
        <f>IFERROR(__xludf.DUMMYFUNCTION("""COMPUTED_VALUE"""),53.0)</f>
        <v>53</v>
      </c>
      <c r="G66" s="17">
        <f>IFERROR(__xludf.DUMMYFUNCTION("""COMPUTED_VALUE"""),44286.0)</f>
        <v>44286</v>
      </c>
      <c r="H66" s="26">
        <f>IFERROR(__xludf.DUMMYFUNCTION("""COMPUTED_VALUE"""),21130.34391495522)</f>
        <v>21130.34391</v>
      </c>
      <c r="I66" s="40">
        <f>IFERROR(__xludf.DUMMYFUNCTION("""COMPUTED_VALUE"""),706.6954535953523)</f>
        <v>706.6954536</v>
      </c>
      <c r="J66" s="40">
        <f>IFERROR(__xludf.DUMMYFUNCTION("""COMPUTED_VALUE"""),88.0430996456472)</f>
        <v>88.04309965</v>
      </c>
      <c r="K66" s="40">
        <f>IFERROR(__xludf.DUMMYFUNCTION("""COMPUTED_VALUE"""),618.6523539497052)</f>
        <v>618.6523539</v>
      </c>
      <c r="L66" s="26">
        <f>IFERROR(__xludf.DUMMYFUNCTION("""COMPUTED_VALUE"""),20511.691561005515)</f>
        <v>20511.69156</v>
      </c>
      <c r="M66" s="39">
        <f>IFERROR(__xludf.DUMMYFUNCTION("""COMPUTED_VALUE"""),0.2563961445125689)</f>
        <v>0.2563961445</v>
      </c>
      <c r="N66" s="40">
        <f>IFERROR(__xludf.DUMMYFUNCTION("""COMPUTED_VALUE"""),7966.5506015591845)</f>
        <v>7966.550602</v>
      </c>
      <c r="O66" s="40">
        <f>IFERROR(__xludf.DUMMYFUNCTION("""COMPUTED_VALUE"""),29488.308438994492)</f>
        <v>29488.30844</v>
      </c>
      <c r="P66" s="2"/>
      <c r="Q66" s="13">
        <v>53.0</v>
      </c>
      <c r="R66" s="17">
        <f t="shared" si="2"/>
        <v>44286</v>
      </c>
      <c r="S66" s="26">
        <f t="shared" si="3"/>
        <v>21130.34391</v>
      </c>
      <c r="T66" s="40">
        <f t="shared" si="4"/>
        <v>706.6954536</v>
      </c>
      <c r="U66" s="40">
        <f t="shared" si="5"/>
        <v>88.04309965</v>
      </c>
      <c r="V66" s="40">
        <f t="shared" si="6"/>
        <v>618.6523539</v>
      </c>
      <c r="W66" s="26">
        <f t="shared" si="7"/>
        <v>20511.69156</v>
      </c>
      <c r="X66" s="39">
        <f t="shared" si="8"/>
        <v>0.2563961445</v>
      </c>
      <c r="Y66" s="40">
        <f t="shared" ref="Y66:Z66" si="60">U66+Y65</f>
        <v>7966.550602</v>
      </c>
      <c r="Z66" s="40">
        <f t="shared" si="60"/>
        <v>29488.30844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>
      <c r="A67" s="2"/>
      <c r="B67" s="2"/>
      <c r="C67" s="2"/>
      <c r="D67" s="2"/>
      <c r="E67" s="2"/>
      <c r="F67" s="13">
        <f>IFERROR(__xludf.DUMMYFUNCTION("""COMPUTED_VALUE"""),54.0)</f>
        <v>54</v>
      </c>
      <c r="G67" s="17">
        <f>IFERROR(__xludf.DUMMYFUNCTION("""COMPUTED_VALUE"""),44301.0)</f>
        <v>44301</v>
      </c>
      <c r="H67" s="26">
        <f>IFERROR(__xludf.DUMMYFUNCTION("""COMPUTED_VALUE"""),20511.691561005515)</f>
        <v>20511.69156</v>
      </c>
      <c r="I67" s="40">
        <f>IFERROR(__xludf.DUMMYFUNCTION("""COMPUTED_VALUE"""),706.6954535953523)</f>
        <v>706.6954536</v>
      </c>
      <c r="J67" s="40">
        <f>IFERROR(__xludf.DUMMYFUNCTION("""COMPUTED_VALUE"""),85.46538150419006)</f>
        <v>85.4653815</v>
      </c>
      <c r="K67" s="40">
        <f>IFERROR(__xludf.DUMMYFUNCTION("""COMPUTED_VALUE"""),621.2300720911624)</f>
        <v>621.2300721</v>
      </c>
      <c r="L67" s="26">
        <f>IFERROR(__xludf.DUMMYFUNCTION("""COMPUTED_VALUE"""),19890.461488914352)</f>
        <v>19890.46149</v>
      </c>
      <c r="M67" s="39">
        <f>IFERROR(__xludf.DUMMYFUNCTION("""COMPUTED_VALUE"""),0.2486307686114294)</f>
        <v>0.2486307686</v>
      </c>
      <c r="N67" s="40">
        <f>IFERROR(__xludf.DUMMYFUNCTION("""COMPUTED_VALUE"""),8052.015983063375)</f>
        <v>8052.015983</v>
      </c>
      <c r="O67" s="40">
        <f>IFERROR(__xludf.DUMMYFUNCTION("""COMPUTED_VALUE"""),30109.538511085655)</f>
        <v>30109.53851</v>
      </c>
      <c r="P67" s="2"/>
      <c r="Q67" s="13">
        <v>54.0</v>
      </c>
      <c r="R67" s="17">
        <f t="shared" si="2"/>
        <v>44301</v>
      </c>
      <c r="S67" s="26">
        <f t="shared" si="3"/>
        <v>20511.69156</v>
      </c>
      <c r="T67" s="40">
        <f t="shared" si="4"/>
        <v>706.6954536</v>
      </c>
      <c r="U67" s="40">
        <f t="shared" si="5"/>
        <v>85.4653815</v>
      </c>
      <c r="V67" s="40">
        <f t="shared" si="6"/>
        <v>621.2300721</v>
      </c>
      <c r="W67" s="26">
        <f t="shared" si="7"/>
        <v>19890.46149</v>
      </c>
      <c r="X67" s="39">
        <f t="shared" si="8"/>
        <v>0.2486307686</v>
      </c>
      <c r="Y67" s="40">
        <f t="shared" ref="Y67:Z67" si="61">U67+Y66</f>
        <v>8052.015983</v>
      </c>
      <c r="Z67" s="40">
        <f t="shared" si="61"/>
        <v>30109.53851</v>
      </c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>
      <c r="A68" s="2"/>
      <c r="B68" s="2"/>
      <c r="C68" s="2"/>
      <c r="D68" s="2"/>
      <c r="E68" s="2"/>
      <c r="F68" s="13">
        <f>IFERROR(__xludf.DUMMYFUNCTION("""COMPUTED_VALUE"""),55.0)</f>
        <v>55</v>
      </c>
      <c r="G68" s="17">
        <f>IFERROR(__xludf.DUMMYFUNCTION("""COMPUTED_VALUE"""),44316.0)</f>
        <v>44316</v>
      </c>
      <c r="H68" s="26">
        <f>IFERROR(__xludf.DUMMYFUNCTION("""COMPUTED_VALUE"""),19890.461488914352)</f>
        <v>19890.46149</v>
      </c>
      <c r="I68" s="40">
        <f>IFERROR(__xludf.DUMMYFUNCTION("""COMPUTED_VALUE"""),706.6954535953523)</f>
        <v>706.6954536</v>
      </c>
      <c r="J68" s="40">
        <f>IFERROR(__xludf.DUMMYFUNCTION("""COMPUTED_VALUE"""),82.87692287047688)</f>
        <v>82.87692287</v>
      </c>
      <c r="K68" s="40">
        <f>IFERROR(__xludf.DUMMYFUNCTION("""COMPUTED_VALUE"""),623.8185307248755)</f>
        <v>623.8185307</v>
      </c>
      <c r="L68" s="26">
        <f>IFERROR(__xludf.DUMMYFUNCTION("""COMPUTED_VALUE"""),19266.642958189477)</f>
        <v>19266.64296</v>
      </c>
      <c r="M68" s="39">
        <f>IFERROR(__xludf.DUMMYFUNCTION("""COMPUTED_VALUE"""),0.24083303697736846)</f>
        <v>0.240833037</v>
      </c>
      <c r="N68" s="40">
        <f>IFERROR(__xludf.DUMMYFUNCTION("""COMPUTED_VALUE"""),8134.892905933852)</f>
        <v>8134.892906</v>
      </c>
      <c r="O68" s="40">
        <f>IFERROR(__xludf.DUMMYFUNCTION("""COMPUTED_VALUE"""),30733.35704181053)</f>
        <v>30733.35704</v>
      </c>
      <c r="P68" s="2"/>
      <c r="Q68" s="13">
        <v>55.0</v>
      </c>
      <c r="R68" s="17">
        <f t="shared" si="2"/>
        <v>44316</v>
      </c>
      <c r="S68" s="26">
        <f t="shared" si="3"/>
        <v>19890.46149</v>
      </c>
      <c r="T68" s="40">
        <f t="shared" si="4"/>
        <v>706.6954536</v>
      </c>
      <c r="U68" s="40">
        <f t="shared" si="5"/>
        <v>82.87692287</v>
      </c>
      <c r="V68" s="40">
        <f t="shared" si="6"/>
        <v>623.8185307</v>
      </c>
      <c r="W68" s="26">
        <f t="shared" si="7"/>
        <v>19266.64296</v>
      </c>
      <c r="X68" s="39">
        <f t="shared" si="8"/>
        <v>0.240833037</v>
      </c>
      <c r="Y68" s="40">
        <f t="shared" ref="Y68:Z68" si="62">U68+Y67</f>
        <v>8134.892906</v>
      </c>
      <c r="Z68" s="40">
        <f t="shared" si="62"/>
        <v>30733.35704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>
      <c r="A69" s="2"/>
      <c r="B69" s="2"/>
      <c r="C69" s="2"/>
      <c r="D69" s="2"/>
      <c r="E69" s="2"/>
      <c r="F69" s="13">
        <f>IFERROR(__xludf.DUMMYFUNCTION("""COMPUTED_VALUE"""),56.0)</f>
        <v>56</v>
      </c>
      <c r="G69" s="17">
        <f>IFERROR(__xludf.DUMMYFUNCTION("""COMPUTED_VALUE"""),44331.0)</f>
        <v>44331</v>
      </c>
      <c r="H69" s="26">
        <f>IFERROR(__xludf.DUMMYFUNCTION("""COMPUTED_VALUE"""),19266.642958189477)</f>
        <v>19266.64296</v>
      </c>
      <c r="I69" s="40">
        <f>IFERROR(__xludf.DUMMYFUNCTION("""COMPUTED_VALUE"""),706.6954535953523)</f>
        <v>706.6954536</v>
      </c>
      <c r="J69" s="40">
        <f>IFERROR(__xludf.DUMMYFUNCTION("""COMPUTED_VALUE"""),80.27767899245663)</f>
        <v>80.27767899</v>
      </c>
      <c r="K69" s="40">
        <f>IFERROR(__xludf.DUMMYFUNCTION("""COMPUTED_VALUE"""),626.4177746028957)</f>
        <v>626.4177746</v>
      </c>
      <c r="L69" s="26">
        <f>IFERROR(__xludf.DUMMYFUNCTION("""COMPUTED_VALUE"""),18640.225183586583)</f>
        <v>18640.22518</v>
      </c>
      <c r="M69" s="39">
        <f>IFERROR(__xludf.DUMMYFUNCTION("""COMPUTED_VALUE"""),0.23300281479483229)</f>
        <v>0.2330028148</v>
      </c>
      <c r="N69" s="40">
        <f>IFERROR(__xludf.DUMMYFUNCTION("""COMPUTED_VALUE"""),8215.170584926309)</f>
        <v>8215.170585</v>
      </c>
      <c r="O69" s="40">
        <f>IFERROR(__xludf.DUMMYFUNCTION("""COMPUTED_VALUE"""),31359.774816413425)</f>
        <v>31359.77482</v>
      </c>
      <c r="P69" s="2"/>
      <c r="Q69" s="13">
        <v>56.0</v>
      </c>
      <c r="R69" s="17">
        <f t="shared" si="2"/>
        <v>44331</v>
      </c>
      <c r="S69" s="26">
        <f t="shared" si="3"/>
        <v>19266.64296</v>
      </c>
      <c r="T69" s="40">
        <f t="shared" si="4"/>
        <v>706.6954536</v>
      </c>
      <c r="U69" s="40">
        <f t="shared" si="5"/>
        <v>80.27767899</v>
      </c>
      <c r="V69" s="40">
        <f t="shared" si="6"/>
        <v>626.4177746</v>
      </c>
      <c r="W69" s="26">
        <f t="shared" si="7"/>
        <v>18640.22518</v>
      </c>
      <c r="X69" s="39">
        <f t="shared" si="8"/>
        <v>0.2330028148</v>
      </c>
      <c r="Y69" s="40">
        <f t="shared" ref="Y69:Z69" si="63">U69+Y68</f>
        <v>8215.170585</v>
      </c>
      <c r="Z69" s="40">
        <f t="shared" si="63"/>
        <v>31359.77482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>
      <c r="A70" s="2"/>
      <c r="B70" s="2"/>
      <c r="C70" s="2"/>
      <c r="D70" s="2"/>
      <c r="E70" s="2"/>
      <c r="F70" s="13">
        <f>IFERROR(__xludf.DUMMYFUNCTION("""COMPUTED_VALUE"""),57.0)</f>
        <v>57</v>
      </c>
      <c r="G70" s="17">
        <f>IFERROR(__xludf.DUMMYFUNCTION("""COMPUTED_VALUE"""),44347.0)</f>
        <v>44347</v>
      </c>
      <c r="H70" s="26">
        <f>IFERROR(__xludf.DUMMYFUNCTION("""COMPUTED_VALUE"""),18640.225183586583)</f>
        <v>18640.22518</v>
      </c>
      <c r="I70" s="40">
        <f>IFERROR(__xludf.DUMMYFUNCTION("""COMPUTED_VALUE"""),706.6954535953523)</f>
        <v>706.6954536</v>
      </c>
      <c r="J70" s="40">
        <f>IFERROR(__xludf.DUMMYFUNCTION("""COMPUTED_VALUE"""),77.66760493161124)</f>
        <v>77.66760493</v>
      </c>
      <c r="K70" s="40">
        <f>IFERROR(__xludf.DUMMYFUNCTION("""COMPUTED_VALUE"""),629.0278486637412)</f>
        <v>629.0278487</v>
      </c>
      <c r="L70" s="26">
        <f>IFERROR(__xludf.DUMMYFUNCTION("""COMPUTED_VALUE"""),18011.197334922843)</f>
        <v>18011.19733</v>
      </c>
      <c r="M70" s="39">
        <f>IFERROR(__xludf.DUMMYFUNCTION("""COMPUTED_VALUE"""),0.22513996668653555)</f>
        <v>0.2251399667</v>
      </c>
      <c r="N70" s="40">
        <f>IFERROR(__xludf.DUMMYFUNCTION("""COMPUTED_VALUE"""),8292.838189857921)</f>
        <v>8292.83819</v>
      </c>
      <c r="O70" s="40">
        <f>IFERROR(__xludf.DUMMYFUNCTION("""COMPUTED_VALUE"""),31988.802665077164)</f>
        <v>31988.80267</v>
      </c>
      <c r="P70" s="2"/>
      <c r="Q70" s="13">
        <v>57.0</v>
      </c>
      <c r="R70" s="17">
        <f t="shared" si="2"/>
        <v>44347</v>
      </c>
      <c r="S70" s="26">
        <f t="shared" si="3"/>
        <v>18640.22518</v>
      </c>
      <c r="T70" s="40">
        <f t="shared" si="4"/>
        <v>706.6954536</v>
      </c>
      <c r="U70" s="40">
        <f t="shared" si="5"/>
        <v>77.66760493</v>
      </c>
      <c r="V70" s="40">
        <f t="shared" si="6"/>
        <v>629.0278487</v>
      </c>
      <c r="W70" s="26">
        <f t="shared" si="7"/>
        <v>18011.19733</v>
      </c>
      <c r="X70" s="39">
        <f t="shared" si="8"/>
        <v>0.2251399667</v>
      </c>
      <c r="Y70" s="40">
        <f t="shared" ref="Y70:Z70" si="64">U70+Y69</f>
        <v>8292.83819</v>
      </c>
      <c r="Z70" s="40">
        <f t="shared" si="64"/>
        <v>31988.80267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>
      <c r="A71" s="2"/>
      <c r="B71" s="2"/>
      <c r="C71" s="2"/>
      <c r="D71" s="2"/>
      <c r="E71" s="2"/>
      <c r="F71" s="13">
        <f>IFERROR(__xludf.DUMMYFUNCTION("""COMPUTED_VALUE"""),58.0)</f>
        <v>58</v>
      </c>
      <c r="G71" s="17">
        <f>IFERROR(__xludf.DUMMYFUNCTION("""COMPUTED_VALUE"""),44362.0)</f>
        <v>44362</v>
      </c>
      <c r="H71" s="26">
        <f>IFERROR(__xludf.DUMMYFUNCTION("""COMPUTED_VALUE"""),18011.197334922843)</f>
        <v>18011.19733</v>
      </c>
      <c r="I71" s="40">
        <f>IFERROR(__xludf.DUMMYFUNCTION("""COMPUTED_VALUE"""),706.6954535953523)</f>
        <v>706.6954536</v>
      </c>
      <c r="J71" s="40">
        <f>IFERROR(__xludf.DUMMYFUNCTION("""COMPUTED_VALUE"""),75.04665556217897)</f>
        <v>75.04665556</v>
      </c>
      <c r="K71" s="40">
        <f>IFERROR(__xludf.DUMMYFUNCTION("""COMPUTED_VALUE"""),631.6487980331734)</f>
        <v>631.648798</v>
      </c>
      <c r="L71" s="26">
        <f>IFERROR(__xludf.DUMMYFUNCTION("""COMPUTED_VALUE"""),17379.54853688967)</f>
        <v>17379.54854</v>
      </c>
      <c r="M71" s="39">
        <f>IFERROR(__xludf.DUMMYFUNCTION("""COMPUTED_VALUE"""),0.21724435671112088)</f>
        <v>0.2172443567</v>
      </c>
      <c r="N71" s="40">
        <f>IFERROR(__xludf.DUMMYFUNCTION("""COMPUTED_VALUE"""),8367.8848454201)</f>
        <v>8367.884845</v>
      </c>
      <c r="O71" s="40">
        <f>IFERROR(__xludf.DUMMYFUNCTION("""COMPUTED_VALUE"""),32620.451463110337)</f>
        <v>32620.45146</v>
      </c>
      <c r="P71" s="2"/>
      <c r="Q71" s="13">
        <v>58.0</v>
      </c>
      <c r="R71" s="17">
        <f t="shared" si="2"/>
        <v>44362</v>
      </c>
      <c r="S71" s="26">
        <f t="shared" si="3"/>
        <v>18011.19733</v>
      </c>
      <c r="T71" s="40">
        <f t="shared" si="4"/>
        <v>706.6954536</v>
      </c>
      <c r="U71" s="40">
        <f t="shared" si="5"/>
        <v>75.04665556</v>
      </c>
      <c r="V71" s="40">
        <f t="shared" si="6"/>
        <v>631.648798</v>
      </c>
      <c r="W71" s="26">
        <f t="shared" si="7"/>
        <v>17379.54854</v>
      </c>
      <c r="X71" s="39">
        <f t="shared" si="8"/>
        <v>0.2172443567</v>
      </c>
      <c r="Y71" s="40">
        <f t="shared" ref="Y71:Z71" si="65">U71+Y70</f>
        <v>8367.884845</v>
      </c>
      <c r="Z71" s="40">
        <f t="shared" si="65"/>
        <v>32620.45146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>
      <c r="A72" s="2"/>
      <c r="B72" s="2"/>
      <c r="C72" s="2"/>
      <c r="D72" s="2"/>
      <c r="E72" s="2"/>
      <c r="F72" s="13">
        <f>IFERROR(__xludf.DUMMYFUNCTION("""COMPUTED_VALUE"""),59.0)</f>
        <v>59</v>
      </c>
      <c r="G72" s="17">
        <f>IFERROR(__xludf.DUMMYFUNCTION("""COMPUTED_VALUE"""),44377.0)</f>
        <v>44377</v>
      </c>
      <c r="H72" s="26">
        <f>IFERROR(__xludf.DUMMYFUNCTION("""COMPUTED_VALUE"""),17379.54853688967)</f>
        <v>17379.54854</v>
      </c>
      <c r="I72" s="40">
        <f>IFERROR(__xludf.DUMMYFUNCTION("""COMPUTED_VALUE"""),706.6954535953523)</f>
        <v>706.6954536</v>
      </c>
      <c r="J72" s="40">
        <f>IFERROR(__xludf.DUMMYFUNCTION("""COMPUTED_VALUE"""),72.41478557037412)</f>
        <v>72.41478557</v>
      </c>
      <c r="K72" s="40">
        <f>IFERROR(__xludf.DUMMYFUNCTION("""COMPUTED_VALUE"""),634.2806680249784)</f>
        <v>634.280668</v>
      </c>
      <c r="L72" s="26">
        <f>IFERROR(__xludf.DUMMYFUNCTION("""COMPUTED_VALUE"""),16745.267868864692)</f>
        <v>16745.26787</v>
      </c>
      <c r="M72" s="39">
        <f>IFERROR(__xludf.DUMMYFUNCTION("""COMPUTED_VALUE"""),0.20931584836080866)</f>
        <v>0.2093158484</v>
      </c>
      <c r="N72" s="40">
        <f>IFERROR(__xludf.DUMMYFUNCTION("""COMPUTED_VALUE"""),8440.299630990474)</f>
        <v>8440.299631</v>
      </c>
      <c r="O72" s="40">
        <f>IFERROR(__xludf.DUMMYFUNCTION("""COMPUTED_VALUE"""),33254.732131135315)</f>
        <v>33254.73213</v>
      </c>
      <c r="P72" s="2"/>
      <c r="Q72" s="13">
        <v>59.0</v>
      </c>
      <c r="R72" s="17">
        <f t="shared" si="2"/>
        <v>44377</v>
      </c>
      <c r="S72" s="26">
        <f t="shared" si="3"/>
        <v>17379.54854</v>
      </c>
      <c r="T72" s="40">
        <f t="shared" si="4"/>
        <v>706.6954536</v>
      </c>
      <c r="U72" s="40">
        <f t="shared" si="5"/>
        <v>72.41478557</v>
      </c>
      <c r="V72" s="40">
        <f t="shared" si="6"/>
        <v>634.280668</v>
      </c>
      <c r="W72" s="26">
        <f t="shared" si="7"/>
        <v>16745.26787</v>
      </c>
      <c r="X72" s="39">
        <f t="shared" si="8"/>
        <v>0.2093158484</v>
      </c>
      <c r="Y72" s="40">
        <f t="shared" ref="Y72:Z72" si="66">U72+Y71</f>
        <v>8440.299631</v>
      </c>
      <c r="Z72" s="40">
        <f t="shared" si="66"/>
        <v>33254.73213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>
      <c r="A73" s="2"/>
      <c r="B73" s="2"/>
      <c r="C73" s="2"/>
      <c r="D73" s="2"/>
      <c r="E73" s="2"/>
      <c r="F73" s="13">
        <f>IFERROR(__xludf.DUMMYFUNCTION("""COMPUTED_VALUE"""),60.0)</f>
        <v>60</v>
      </c>
      <c r="G73" s="17">
        <f>IFERROR(__xludf.DUMMYFUNCTION("""COMPUTED_VALUE"""),44392.0)</f>
        <v>44392</v>
      </c>
      <c r="H73" s="26">
        <f>IFERROR(__xludf.DUMMYFUNCTION("""COMPUTED_VALUE"""),16745.267868864692)</f>
        <v>16745.26787</v>
      </c>
      <c r="I73" s="40">
        <f>IFERROR(__xludf.DUMMYFUNCTION("""COMPUTED_VALUE"""),706.6954535953523)</f>
        <v>706.6954536</v>
      </c>
      <c r="J73" s="40">
        <f>IFERROR(__xludf.DUMMYFUNCTION("""COMPUTED_VALUE"""),69.77194945360338)</f>
        <v>69.77194945</v>
      </c>
      <c r="K73" s="40">
        <f>IFERROR(__xludf.DUMMYFUNCTION("""COMPUTED_VALUE"""),636.9235041417489)</f>
        <v>636.9235041</v>
      </c>
      <c r="L73" s="26">
        <f>IFERROR(__xludf.DUMMYFUNCTION("""COMPUTED_VALUE"""),16108.344364722943)</f>
        <v>16108.34436</v>
      </c>
      <c r="M73" s="39">
        <f>IFERROR(__xludf.DUMMYFUNCTION("""COMPUTED_VALUE"""),0.2013543045590368)</f>
        <v>0.2013543046</v>
      </c>
      <c r="N73" s="40">
        <f>IFERROR(__xludf.DUMMYFUNCTION("""COMPUTED_VALUE"""),8510.071580444077)</f>
        <v>8510.07158</v>
      </c>
      <c r="O73" s="40">
        <f>IFERROR(__xludf.DUMMYFUNCTION("""COMPUTED_VALUE"""),33891.655635277064)</f>
        <v>33891.65564</v>
      </c>
      <c r="P73" s="2"/>
      <c r="Q73" s="13">
        <v>60.0</v>
      </c>
      <c r="R73" s="17">
        <f t="shared" si="2"/>
        <v>44392</v>
      </c>
      <c r="S73" s="26">
        <f t="shared" si="3"/>
        <v>16745.26787</v>
      </c>
      <c r="T73" s="40">
        <f t="shared" si="4"/>
        <v>706.6954536</v>
      </c>
      <c r="U73" s="40">
        <f t="shared" si="5"/>
        <v>69.77194945</v>
      </c>
      <c r="V73" s="40">
        <f t="shared" si="6"/>
        <v>636.9235041</v>
      </c>
      <c r="W73" s="26">
        <f t="shared" si="7"/>
        <v>16108.34436</v>
      </c>
      <c r="X73" s="39">
        <f t="shared" si="8"/>
        <v>0.2013543046</v>
      </c>
      <c r="Y73" s="40">
        <f t="shared" ref="Y73:Z73" si="67">U73+Y72</f>
        <v>8510.07158</v>
      </c>
      <c r="Z73" s="40">
        <f t="shared" si="67"/>
        <v>33891.65564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>
      <c r="A74" s="2"/>
      <c r="B74" s="2"/>
      <c r="C74" s="2"/>
      <c r="D74" s="2"/>
      <c r="E74" s="2"/>
      <c r="F74" s="13">
        <f>IFERROR(__xludf.DUMMYFUNCTION("""COMPUTED_VALUE"""),61.0)</f>
        <v>61</v>
      </c>
      <c r="G74" s="17">
        <f>IFERROR(__xludf.DUMMYFUNCTION("""COMPUTED_VALUE"""),44408.0)</f>
        <v>44408</v>
      </c>
      <c r="H74" s="26">
        <f>IFERROR(__xludf.DUMMYFUNCTION("""COMPUTED_VALUE"""),16108.344364722943)</f>
        <v>16108.34436</v>
      </c>
      <c r="I74" s="40">
        <f>IFERROR(__xludf.DUMMYFUNCTION("""COMPUTED_VALUE"""),706.6954535953523)</f>
        <v>706.6954536</v>
      </c>
      <c r="J74" s="40">
        <f>IFERROR(__xludf.DUMMYFUNCTION("""COMPUTED_VALUE"""),67.11810151967937)</f>
        <v>67.11810152</v>
      </c>
      <c r="K74" s="40">
        <f>IFERROR(__xludf.DUMMYFUNCTION("""COMPUTED_VALUE"""),639.5773520756729)</f>
        <v>639.5773521</v>
      </c>
      <c r="L74" s="26">
        <f>IFERROR(__xludf.DUMMYFUNCTION("""COMPUTED_VALUE"""),15468.76701264727)</f>
        <v>15468.76701</v>
      </c>
      <c r="M74" s="39">
        <f>IFERROR(__xludf.DUMMYFUNCTION("""COMPUTED_VALUE"""),0.19335958765809086)</f>
        <v>0.1933595877</v>
      </c>
      <c r="N74" s="40">
        <f>IFERROR(__xludf.DUMMYFUNCTION("""COMPUTED_VALUE"""),8577.189681963757)</f>
        <v>8577.189682</v>
      </c>
      <c r="O74" s="40">
        <f>IFERROR(__xludf.DUMMYFUNCTION("""COMPUTED_VALUE"""),34531.232987352734)</f>
        <v>34531.23299</v>
      </c>
      <c r="P74" s="2"/>
      <c r="Q74" s="13">
        <v>61.0</v>
      </c>
      <c r="R74" s="17">
        <f t="shared" si="2"/>
        <v>44408</v>
      </c>
      <c r="S74" s="26">
        <f t="shared" si="3"/>
        <v>16108.34436</v>
      </c>
      <c r="T74" s="40">
        <f t="shared" si="4"/>
        <v>706.6954536</v>
      </c>
      <c r="U74" s="40">
        <f t="shared" si="5"/>
        <v>67.11810152</v>
      </c>
      <c r="V74" s="40">
        <f t="shared" si="6"/>
        <v>639.5773521</v>
      </c>
      <c r="W74" s="26">
        <f t="shared" si="7"/>
        <v>15468.76701</v>
      </c>
      <c r="X74" s="39">
        <f t="shared" si="8"/>
        <v>0.1933595877</v>
      </c>
      <c r="Y74" s="40">
        <f t="shared" ref="Y74:Z74" si="68">U74+Y73</f>
        <v>8577.189682</v>
      </c>
      <c r="Z74" s="40">
        <f t="shared" si="68"/>
        <v>34531.23299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>
      <c r="A75" s="2"/>
      <c r="B75" s="2"/>
      <c r="C75" s="2"/>
      <c r="D75" s="2"/>
      <c r="E75" s="2"/>
      <c r="F75" s="13">
        <f>IFERROR(__xludf.DUMMYFUNCTION("""COMPUTED_VALUE"""),62.0)</f>
        <v>62</v>
      </c>
      <c r="G75" s="17">
        <f>IFERROR(__xludf.DUMMYFUNCTION("""COMPUTED_VALUE"""),44423.0)</f>
        <v>44423</v>
      </c>
      <c r="H75" s="26">
        <f>IFERROR(__xludf.DUMMYFUNCTION("""COMPUTED_VALUE"""),15468.76701264727)</f>
        <v>15468.76701</v>
      </c>
      <c r="I75" s="40">
        <f>IFERROR(__xludf.DUMMYFUNCTION("""COMPUTED_VALUE"""),706.6954535953523)</f>
        <v>706.6954536</v>
      </c>
      <c r="J75" s="40">
        <f>IFERROR(__xludf.DUMMYFUNCTION("""COMPUTED_VALUE"""),64.45319588603077)</f>
        <v>64.45319589</v>
      </c>
      <c r="K75" s="40">
        <f>IFERROR(__xludf.DUMMYFUNCTION("""COMPUTED_VALUE"""),642.2422577093216)</f>
        <v>642.2422577</v>
      </c>
      <c r="L75" s="26">
        <f>IFERROR(__xludf.DUMMYFUNCTION("""COMPUTED_VALUE"""),14826.524754937947)</f>
        <v>14826.52475</v>
      </c>
      <c r="M75" s="39">
        <f>IFERROR(__xludf.DUMMYFUNCTION("""COMPUTED_VALUE"""),0.18533155943672433)</f>
        <v>0.1853315594</v>
      </c>
      <c r="N75" s="40">
        <f>IFERROR(__xludf.DUMMYFUNCTION("""COMPUTED_VALUE"""),8641.642877849788)</f>
        <v>8641.642878</v>
      </c>
      <c r="O75" s="40">
        <f>IFERROR(__xludf.DUMMYFUNCTION("""COMPUTED_VALUE"""),35173.47524506206)</f>
        <v>35173.47525</v>
      </c>
      <c r="P75" s="2"/>
      <c r="Q75" s="13">
        <v>62.0</v>
      </c>
      <c r="R75" s="17">
        <f t="shared" si="2"/>
        <v>44423</v>
      </c>
      <c r="S75" s="26">
        <f t="shared" si="3"/>
        <v>15468.76701</v>
      </c>
      <c r="T75" s="40">
        <f t="shared" si="4"/>
        <v>706.6954536</v>
      </c>
      <c r="U75" s="40">
        <f t="shared" si="5"/>
        <v>64.45319589</v>
      </c>
      <c r="V75" s="40">
        <f t="shared" si="6"/>
        <v>642.2422577</v>
      </c>
      <c r="W75" s="26">
        <f t="shared" si="7"/>
        <v>14826.52475</v>
      </c>
      <c r="X75" s="39">
        <f t="shared" si="8"/>
        <v>0.1853315594</v>
      </c>
      <c r="Y75" s="40">
        <f t="shared" ref="Y75:Z75" si="69">U75+Y74</f>
        <v>8641.642878</v>
      </c>
      <c r="Z75" s="40">
        <f t="shared" si="69"/>
        <v>35173.47525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>
      <c r="A76" s="2"/>
      <c r="B76" s="2"/>
      <c r="C76" s="2"/>
      <c r="D76" s="2"/>
      <c r="E76" s="2"/>
      <c r="F76" s="13">
        <f>IFERROR(__xludf.DUMMYFUNCTION("""COMPUTED_VALUE"""),63.0)</f>
        <v>63</v>
      </c>
      <c r="G76" s="17">
        <f>IFERROR(__xludf.DUMMYFUNCTION("""COMPUTED_VALUE"""),44439.0)</f>
        <v>44439</v>
      </c>
      <c r="H76" s="26">
        <f>IFERROR(__xludf.DUMMYFUNCTION("""COMPUTED_VALUE"""),14826.524754937947)</f>
        <v>14826.52475</v>
      </c>
      <c r="I76" s="40">
        <f>IFERROR(__xludf.DUMMYFUNCTION("""COMPUTED_VALUE"""),706.6954535953523)</f>
        <v>706.6954536</v>
      </c>
      <c r="J76" s="40">
        <f>IFERROR(__xludf.DUMMYFUNCTION("""COMPUTED_VALUE"""),61.77718647890864)</f>
        <v>61.77718648</v>
      </c>
      <c r="K76" s="40">
        <f>IFERROR(__xludf.DUMMYFUNCTION("""COMPUTED_VALUE"""),644.9182671164438)</f>
        <v>644.9182671</v>
      </c>
      <c r="L76" s="26">
        <f>IFERROR(__xludf.DUMMYFUNCTION("""COMPUTED_VALUE"""),14181.606487821504)</f>
        <v>14181.60649</v>
      </c>
      <c r="M76" s="39">
        <f>IFERROR(__xludf.DUMMYFUNCTION("""COMPUTED_VALUE"""),0.1772700810977688)</f>
        <v>0.1772700811</v>
      </c>
      <c r="N76" s="40">
        <f>IFERROR(__xludf.DUMMYFUNCTION("""COMPUTED_VALUE"""),8703.420064328697)</f>
        <v>8703.420064</v>
      </c>
      <c r="O76" s="40">
        <f>IFERROR(__xludf.DUMMYFUNCTION("""COMPUTED_VALUE"""),35818.3935121785)</f>
        <v>35818.39351</v>
      </c>
      <c r="P76" s="2"/>
      <c r="Q76" s="13">
        <v>63.0</v>
      </c>
      <c r="R76" s="17">
        <f t="shared" si="2"/>
        <v>44439</v>
      </c>
      <c r="S76" s="26">
        <f t="shared" si="3"/>
        <v>14826.52475</v>
      </c>
      <c r="T76" s="40">
        <f t="shared" si="4"/>
        <v>706.6954536</v>
      </c>
      <c r="U76" s="40">
        <f t="shared" si="5"/>
        <v>61.77718648</v>
      </c>
      <c r="V76" s="40">
        <f t="shared" si="6"/>
        <v>644.9182671</v>
      </c>
      <c r="W76" s="26">
        <f t="shared" si="7"/>
        <v>14181.60649</v>
      </c>
      <c r="X76" s="39">
        <f t="shared" si="8"/>
        <v>0.1772700811</v>
      </c>
      <c r="Y76" s="40">
        <f t="shared" ref="Y76:Z76" si="70">U76+Y75</f>
        <v>8703.420064</v>
      </c>
      <c r="Z76" s="40">
        <f t="shared" si="70"/>
        <v>35818.39351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>
      <c r="A77" s="2"/>
      <c r="B77" s="2"/>
      <c r="C77" s="2"/>
      <c r="D77" s="2"/>
      <c r="E77" s="2"/>
      <c r="F77" s="13">
        <f>IFERROR(__xludf.DUMMYFUNCTION("""COMPUTED_VALUE"""),64.0)</f>
        <v>64</v>
      </c>
      <c r="G77" s="17">
        <f>IFERROR(__xludf.DUMMYFUNCTION("""COMPUTED_VALUE"""),44454.0)</f>
        <v>44454</v>
      </c>
      <c r="H77" s="26">
        <f>IFERROR(__xludf.DUMMYFUNCTION("""COMPUTED_VALUE"""),14181.606487821504)</f>
        <v>14181.60649</v>
      </c>
      <c r="I77" s="40">
        <f>IFERROR(__xludf.DUMMYFUNCTION("""COMPUTED_VALUE"""),706.6954535953523)</f>
        <v>706.6954536</v>
      </c>
      <c r="J77" s="40">
        <f>IFERROR(__xludf.DUMMYFUNCTION("""COMPUTED_VALUE"""),59.090027032590044)</f>
        <v>59.09002703</v>
      </c>
      <c r="K77" s="40">
        <f>IFERROR(__xludf.DUMMYFUNCTION("""COMPUTED_VALUE"""),647.6054265627623)</f>
        <v>647.6054266</v>
      </c>
      <c r="L77" s="26">
        <f>IFERROR(__xludf.DUMMYFUNCTION("""COMPUTED_VALUE"""),13534.001061258741)</f>
        <v>13534.00106</v>
      </c>
      <c r="M77" s="39">
        <f>IFERROR(__xludf.DUMMYFUNCTION("""COMPUTED_VALUE"""),0.16917501326573425)</f>
        <v>0.1691750133</v>
      </c>
      <c r="N77" s="40">
        <f>IFERROR(__xludf.DUMMYFUNCTION("""COMPUTED_VALUE"""),8762.510091361286)</f>
        <v>8762.510091</v>
      </c>
      <c r="O77" s="40">
        <f>IFERROR(__xludf.DUMMYFUNCTION("""COMPUTED_VALUE"""),36465.998938741264)</f>
        <v>36465.99894</v>
      </c>
      <c r="P77" s="2"/>
      <c r="Q77" s="13">
        <v>64.0</v>
      </c>
      <c r="R77" s="17">
        <f t="shared" si="2"/>
        <v>44454</v>
      </c>
      <c r="S77" s="26">
        <f t="shared" si="3"/>
        <v>14181.60649</v>
      </c>
      <c r="T77" s="40">
        <f t="shared" si="4"/>
        <v>706.6954536</v>
      </c>
      <c r="U77" s="40">
        <f t="shared" si="5"/>
        <v>59.09002703</v>
      </c>
      <c r="V77" s="40">
        <f t="shared" si="6"/>
        <v>647.6054266</v>
      </c>
      <c r="W77" s="26">
        <f t="shared" si="7"/>
        <v>13534.00106</v>
      </c>
      <c r="X77" s="39">
        <f t="shared" si="8"/>
        <v>0.1691750133</v>
      </c>
      <c r="Y77" s="40">
        <f t="shared" ref="Y77:Z77" si="71">U77+Y76</f>
        <v>8762.510091</v>
      </c>
      <c r="Z77" s="40">
        <f t="shared" si="71"/>
        <v>36465.99894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>
      <c r="A78" s="2"/>
      <c r="B78" s="2"/>
      <c r="C78" s="2"/>
      <c r="D78" s="2"/>
      <c r="E78" s="2"/>
      <c r="F78" s="13">
        <f>IFERROR(__xludf.DUMMYFUNCTION("""COMPUTED_VALUE"""),65.0)</f>
        <v>65</v>
      </c>
      <c r="G78" s="17">
        <f>IFERROR(__xludf.DUMMYFUNCTION("""COMPUTED_VALUE"""),44469.0)</f>
        <v>44469</v>
      </c>
      <c r="H78" s="26">
        <f>IFERROR(__xludf.DUMMYFUNCTION("""COMPUTED_VALUE"""),13534.001061258741)</f>
        <v>13534.00106</v>
      </c>
      <c r="I78" s="40">
        <f>IFERROR(__xludf.DUMMYFUNCTION("""COMPUTED_VALUE"""),706.6954535953523)</f>
        <v>706.6954536</v>
      </c>
      <c r="J78" s="40">
        <f>IFERROR(__xludf.DUMMYFUNCTION("""COMPUTED_VALUE"""),56.39167108857857)</f>
        <v>56.39167109</v>
      </c>
      <c r="K78" s="40">
        <f>IFERROR(__xludf.DUMMYFUNCTION("""COMPUTED_VALUE"""),650.3037825067738)</f>
        <v>650.3037825</v>
      </c>
      <c r="L78" s="26">
        <f>IFERROR(__xludf.DUMMYFUNCTION("""COMPUTED_VALUE"""),12883.697278751968)</f>
        <v>12883.69728</v>
      </c>
      <c r="M78" s="39">
        <f>IFERROR(__xludf.DUMMYFUNCTION("""COMPUTED_VALUE"""),0.1610462159843996)</f>
        <v>0.161046216</v>
      </c>
      <c r="N78" s="40">
        <f>IFERROR(__xludf.DUMMYFUNCTION("""COMPUTED_VALUE"""),8818.901762449865)</f>
        <v>8818.901762</v>
      </c>
      <c r="O78" s="40">
        <f>IFERROR(__xludf.DUMMYFUNCTION("""COMPUTED_VALUE"""),37116.30272124804)</f>
        <v>37116.30272</v>
      </c>
      <c r="P78" s="2"/>
      <c r="Q78" s="13">
        <v>65.0</v>
      </c>
      <c r="R78" s="17">
        <f t="shared" si="2"/>
        <v>44469</v>
      </c>
      <c r="S78" s="26">
        <f t="shared" si="3"/>
        <v>13534.00106</v>
      </c>
      <c r="T78" s="40">
        <f t="shared" si="4"/>
        <v>706.6954536</v>
      </c>
      <c r="U78" s="40">
        <f t="shared" si="5"/>
        <v>56.39167109</v>
      </c>
      <c r="V78" s="40">
        <f t="shared" si="6"/>
        <v>650.3037825</v>
      </c>
      <c r="W78" s="26">
        <f t="shared" si="7"/>
        <v>12883.69728</v>
      </c>
      <c r="X78" s="39">
        <f t="shared" si="8"/>
        <v>0.161046216</v>
      </c>
      <c r="Y78" s="40">
        <f t="shared" ref="Y78:Z78" si="72">U78+Y77</f>
        <v>8818.901762</v>
      </c>
      <c r="Z78" s="40">
        <f t="shared" si="72"/>
        <v>37116.30272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>
      <c r="A79" s="2"/>
      <c r="B79" s="2"/>
      <c r="C79" s="2"/>
      <c r="D79" s="2"/>
      <c r="E79" s="2"/>
      <c r="F79" s="13">
        <f>IFERROR(__xludf.DUMMYFUNCTION("""COMPUTED_VALUE"""),66.0)</f>
        <v>66</v>
      </c>
      <c r="G79" s="17">
        <f>IFERROR(__xludf.DUMMYFUNCTION("""COMPUTED_VALUE"""),44484.0)</f>
        <v>44484</v>
      </c>
      <c r="H79" s="26">
        <f>IFERROR(__xludf.DUMMYFUNCTION("""COMPUTED_VALUE"""),12883.697278751968)</f>
        <v>12883.69728</v>
      </c>
      <c r="I79" s="40">
        <f>IFERROR(__xludf.DUMMYFUNCTION("""COMPUTED_VALUE"""),706.6954535953523)</f>
        <v>706.6954536</v>
      </c>
      <c r="J79" s="40">
        <f>IFERROR(__xludf.DUMMYFUNCTION("""COMPUTED_VALUE"""),53.68207199480042)</f>
        <v>53.68207199</v>
      </c>
      <c r="K79" s="40">
        <f>IFERROR(__xludf.DUMMYFUNCTION("""COMPUTED_VALUE"""),653.013381600552)</f>
        <v>653.0133816</v>
      </c>
      <c r="L79" s="26">
        <f>IFERROR(__xludf.DUMMYFUNCTION("""COMPUTED_VALUE"""),12230.683897151415)</f>
        <v>12230.6839</v>
      </c>
      <c r="M79" s="39">
        <f>IFERROR(__xludf.DUMMYFUNCTION("""COMPUTED_VALUE"""),0.1528835487143927)</f>
        <v>0.1528835487</v>
      </c>
      <c r="N79" s="40">
        <f>IFERROR(__xludf.DUMMYFUNCTION("""COMPUTED_VALUE"""),8872.583834444666)</f>
        <v>8872.583834</v>
      </c>
      <c r="O79" s="40">
        <f>IFERROR(__xludf.DUMMYFUNCTION("""COMPUTED_VALUE"""),37769.31610284859)</f>
        <v>37769.3161</v>
      </c>
      <c r="P79" s="2"/>
      <c r="Q79" s="13">
        <v>66.0</v>
      </c>
      <c r="R79" s="17">
        <f t="shared" si="2"/>
        <v>44484</v>
      </c>
      <c r="S79" s="26">
        <f t="shared" si="3"/>
        <v>12883.69728</v>
      </c>
      <c r="T79" s="40">
        <f t="shared" si="4"/>
        <v>706.6954536</v>
      </c>
      <c r="U79" s="40">
        <f t="shared" si="5"/>
        <v>53.68207199</v>
      </c>
      <c r="V79" s="40">
        <f t="shared" si="6"/>
        <v>653.0133816</v>
      </c>
      <c r="W79" s="26">
        <f t="shared" si="7"/>
        <v>12230.6839</v>
      </c>
      <c r="X79" s="39">
        <f t="shared" si="8"/>
        <v>0.1528835487</v>
      </c>
      <c r="Y79" s="40">
        <f t="shared" ref="Y79:Z79" si="73">U79+Y78</f>
        <v>8872.583834</v>
      </c>
      <c r="Z79" s="40">
        <f t="shared" si="73"/>
        <v>37769.3161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>
      <c r="A80" s="2"/>
      <c r="B80" s="2"/>
      <c r="C80" s="2"/>
      <c r="D80" s="2"/>
      <c r="E80" s="2"/>
      <c r="F80" s="13">
        <f>IFERROR(__xludf.DUMMYFUNCTION("""COMPUTED_VALUE"""),67.0)</f>
        <v>67</v>
      </c>
      <c r="G80" s="17">
        <f>IFERROR(__xludf.DUMMYFUNCTION("""COMPUTED_VALUE"""),44500.0)</f>
        <v>44500</v>
      </c>
      <c r="H80" s="26">
        <f>IFERROR(__xludf.DUMMYFUNCTION("""COMPUTED_VALUE"""),12230.683897151415)</f>
        <v>12230.6839</v>
      </c>
      <c r="I80" s="40">
        <f>IFERROR(__xludf.DUMMYFUNCTION("""COMPUTED_VALUE"""),706.6954535953523)</f>
        <v>706.6954536</v>
      </c>
      <c r="J80" s="40">
        <f>IFERROR(__xludf.DUMMYFUNCTION("""COMPUTED_VALUE"""),50.9611829047981)</f>
        <v>50.9611829</v>
      </c>
      <c r="K80" s="40">
        <f>IFERROR(__xludf.DUMMYFUNCTION("""COMPUTED_VALUE"""),655.7342706905542)</f>
        <v>655.7342707</v>
      </c>
      <c r="L80" s="26">
        <f>IFERROR(__xludf.DUMMYFUNCTION("""COMPUTED_VALUE"""),11574.94962646086)</f>
        <v>11574.94963</v>
      </c>
      <c r="M80" s="39">
        <f>IFERROR(__xludf.DUMMYFUNCTION("""COMPUTED_VALUE"""),0.14468687033076075)</f>
        <v>0.1446868703</v>
      </c>
      <c r="N80" s="40">
        <f>IFERROR(__xludf.DUMMYFUNCTION("""COMPUTED_VALUE"""),8923.545017349465)</f>
        <v>8923.545017</v>
      </c>
      <c r="O80" s="40">
        <f>IFERROR(__xludf.DUMMYFUNCTION("""COMPUTED_VALUE"""),38425.05037353915)</f>
        <v>38425.05037</v>
      </c>
      <c r="P80" s="2"/>
      <c r="Q80" s="13">
        <v>67.0</v>
      </c>
      <c r="R80" s="17">
        <f t="shared" si="2"/>
        <v>44500</v>
      </c>
      <c r="S80" s="26">
        <f t="shared" si="3"/>
        <v>12230.6839</v>
      </c>
      <c r="T80" s="40">
        <f t="shared" si="4"/>
        <v>706.6954536</v>
      </c>
      <c r="U80" s="40">
        <f t="shared" si="5"/>
        <v>50.9611829</v>
      </c>
      <c r="V80" s="40">
        <f t="shared" si="6"/>
        <v>655.7342707</v>
      </c>
      <c r="W80" s="26">
        <f t="shared" si="7"/>
        <v>11574.94963</v>
      </c>
      <c r="X80" s="39">
        <f t="shared" si="8"/>
        <v>0.1446868703</v>
      </c>
      <c r="Y80" s="40">
        <f t="shared" ref="Y80:Z80" si="74">U80+Y79</f>
        <v>8923.545017</v>
      </c>
      <c r="Z80" s="40">
        <f t="shared" si="74"/>
        <v>38425.05037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>
      <c r="A81" s="2"/>
      <c r="B81" s="2"/>
      <c r="C81" s="2"/>
      <c r="D81" s="2"/>
      <c r="E81" s="2"/>
      <c r="F81" s="13">
        <f>IFERROR(__xludf.DUMMYFUNCTION("""COMPUTED_VALUE"""),68.0)</f>
        <v>68</v>
      </c>
      <c r="G81" s="17">
        <f>IFERROR(__xludf.DUMMYFUNCTION("""COMPUTED_VALUE"""),44515.0)</f>
        <v>44515</v>
      </c>
      <c r="H81" s="26">
        <f>IFERROR(__xludf.DUMMYFUNCTION("""COMPUTED_VALUE"""),11574.94962646086)</f>
        <v>11574.94963</v>
      </c>
      <c r="I81" s="40">
        <f>IFERROR(__xludf.DUMMYFUNCTION("""COMPUTED_VALUE"""),706.6954535953523)</f>
        <v>706.6954536</v>
      </c>
      <c r="J81" s="40">
        <f>IFERROR(__xludf.DUMMYFUNCTION("""COMPUTED_VALUE"""),48.22895677692074)</f>
        <v>48.22895678</v>
      </c>
      <c r="K81" s="40">
        <f>IFERROR(__xludf.DUMMYFUNCTION("""COMPUTED_VALUE"""),658.4664968184317)</f>
        <v>658.4664968</v>
      </c>
      <c r="L81" s="26">
        <f>IFERROR(__xludf.DUMMYFUNCTION("""COMPUTED_VALUE"""),10916.483129642429)</f>
        <v>10916.48313</v>
      </c>
      <c r="M81" s="39">
        <f>IFERROR(__xludf.DUMMYFUNCTION("""COMPUTED_VALUE"""),0.13645603912053036)</f>
        <v>0.1364560391</v>
      </c>
      <c r="N81" s="40">
        <f>IFERROR(__xludf.DUMMYFUNCTION("""COMPUTED_VALUE"""),8971.773974126385)</f>
        <v>8971.773974</v>
      </c>
      <c r="O81" s="40">
        <f>IFERROR(__xludf.DUMMYFUNCTION("""COMPUTED_VALUE"""),39083.51687035758)</f>
        <v>39083.51687</v>
      </c>
      <c r="P81" s="2"/>
      <c r="Q81" s="13">
        <v>68.0</v>
      </c>
      <c r="R81" s="17">
        <f t="shared" si="2"/>
        <v>44515</v>
      </c>
      <c r="S81" s="26">
        <f t="shared" si="3"/>
        <v>11574.94963</v>
      </c>
      <c r="T81" s="40">
        <f t="shared" si="4"/>
        <v>706.6954536</v>
      </c>
      <c r="U81" s="40">
        <f t="shared" si="5"/>
        <v>48.22895678</v>
      </c>
      <c r="V81" s="40">
        <f t="shared" si="6"/>
        <v>658.4664968</v>
      </c>
      <c r="W81" s="26">
        <f t="shared" si="7"/>
        <v>10916.48313</v>
      </c>
      <c r="X81" s="39">
        <f t="shared" si="8"/>
        <v>0.1364560391</v>
      </c>
      <c r="Y81" s="40">
        <f t="shared" ref="Y81:Z81" si="75">U81+Y80</f>
        <v>8971.773974</v>
      </c>
      <c r="Z81" s="40">
        <f t="shared" si="75"/>
        <v>39083.51687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>
      <c r="A82" s="2"/>
      <c r="B82" s="2"/>
      <c r="C82" s="2"/>
      <c r="D82" s="2"/>
      <c r="E82" s="2"/>
      <c r="F82" s="13">
        <f>IFERROR(__xludf.DUMMYFUNCTION("""COMPUTED_VALUE"""),69.0)</f>
        <v>69</v>
      </c>
      <c r="G82" s="17">
        <f>IFERROR(__xludf.DUMMYFUNCTION("""COMPUTED_VALUE"""),44530.0)</f>
        <v>44530</v>
      </c>
      <c r="H82" s="26">
        <f>IFERROR(__xludf.DUMMYFUNCTION("""COMPUTED_VALUE"""),10916.483129642429)</f>
        <v>10916.48313</v>
      </c>
      <c r="I82" s="40">
        <f>IFERROR(__xludf.DUMMYFUNCTION("""COMPUTED_VALUE"""),706.6954535953523)</f>
        <v>706.6954536</v>
      </c>
      <c r="J82" s="40">
        <f>IFERROR(__xludf.DUMMYFUNCTION("""COMPUTED_VALUE"""),45.48534637351071)</f>
        <v>45.48534637</v>
      </c>
      <c r="K82" s="40">
        <f>IFERROR(__xludf.DUMMYFUNCTION("""COMPUTED_VALUE"""),661.2101072218417)</f>
        <v>661.2101072</v>
      </c>
      <c r="L82" s="26">
        <f>IFERROR(__xludf.DUMMYFUNCTION("""COMPUTED_VALUE"""),10255.273022420588)</f>
        <v>10255.27302</v>
      </c>
      <c r="M82" s="39">
        <f>IFERROR(__xludf.DUMMYFUNCTION("""COMPUTED_VALUE"""),0.12819091278025735)</f>
        <v>0.1281909128</v>
      </c>
      <c r="N82" s="40">
        <f>IFERROR(__xludf.DUMMYFUNCTION("""COMPUTED_VALUE"""),9017.259320499896)</f>
        <v>9017.25932</v>
      </c>
      <c r="O82" s="40">
        <f>IFERROR(__xludf.DUMMYFUNCTION("""COMPUTED_VALUE"""),39744.72697757942)</f>
        <v>39744.72698</v>
      </c>
      <c r="P82" s="2"/>
      <c r="Q82" s="13">
        <v>69.0</v>
      </c>
      <c r="R82" s="17">
        <f t="shared" si="2"/>
        <v>44530</v>
      </c>
      <c r="S82" s="26">
        <f t="shared" si="3"/>
        <v>10916.48313</v>
      </c>
      <c r="T82" s="40">
        <f t="shared" si="4"/>
        <v>706.6954536</v>
      </c>
      <c r="U82" s="40">
        <f t="shared" si="5"/>
        <v>45.48534637</v>
      </c>
      <c r="V82" s="40">
        <f t="shared" si="6"/>
        <v>661.2101072</v>
      </c>
      <c r="W82" s="26">
        <f t="shared" si="7"/>
        <v>10255.27302</v>
      </c>
      <c r="X82" s="39">
        <f t="shared" si="8"/>
        <v>0.1281909128</v>
      </c>
      <c r="Y82" s="40">
        <f t="shared" ref="Y82:Z82" si="76">U82+Y81</f>
        <v>9017.25932</v>
      </c>
      <c r="Z82" s="40">
        <f t="shared" si="76"/>
        <v>39744.72698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>
      <c r="A83" s="2"/>
      <c r="B83" s="2"/>
      <c r="C83" s="2"/>
      <c r="D83" s="2"/>
      <c r="E83" s="2"/>
      <c r="F83" s="13">
        <f>IFERROR(__xludf.DUMMYFUNCTION("""COMPUTED_VALUE"""),70.0)</f>
        <v>70</v>
      </c>
      <c r="G83" s="17">
        <f>IFERROR(__xludf.DUMMYFUNCTION("""COMPUTED_VALUE"""),44545.0)</f>
        <v>44545</v>
      </c>
      <c r="H83" s="26">
        <f>IFERROR(__xludf.DUMMYFUNCTION("""COMPUTED_VALUE"""),10255.273022420588)</f>
        <v>10255.27302</v>
      </c>
      <c r="I83" s="40">
        <f>IFERROR(__xludf.DUMMYFUNCTION("""COMPUTED_VALUE"""),706.6954535953523)</f>
        <v>706.6954536</v>
      </c>
      <c r="J83" s="40">
        <f>IFERROR(__xludf.DUMMYFUNCTION("""COMPUTED_VALUE"""),42.730304260086335)</f>
        <v>42.73030426</v>
      </c>
      <c r="K83" s="40">
        <f>IFERROR(__xludf.DUMMYFUNCTION("""COMPUTED_VALUE"""),663.965149335266)</f>
        <v>663.9651493</v>
      </c>
      <c r="L83" s="26">
        <f>IFERROR(__xludf.DUMMYFUNCTION("""COMPUTED_VALUE"""),9591.307873085321)</f>
        <v>9591.307873</v>
      </c>
      <c r="M83" s="39">
        <f>IFERROR(__xludf.DUMMYFUNCTION("""COMPUTED_VALUE"""),0.11989134841356651)</f>
        <v>0.1198913484</v>
      </c>
      <c r="N83" s="40">
        <f>IFERROR(__xludf.DUMMYFUNCTION("""COMPUTED_VALUE"""),9059.989624759983)</f>
        <v>9059.989625</v>
      </c>
      <c r="O83" s="40">
        <f>IFERROR(__xludf.DUMMYFUNCTION("""COMPUTED_VALUE"""),40408.692126914684)</f>
        <v>40408.69213</v>
      </c>
      <c r="P83" s="2"/>
      <c r="Q83" s="13">
        <v>70.0</v>
      </c>
      <c r="R83" s="17">
        <f t="shared" si="2"/>
        <v>44545</v>
      </c>
      <c r="S83" s="26">
        <f t="shared" si="3"/>
        <v>10255.27302</v>
      </c>
      <c r="T83" s="40">
        <f t="shared" si="4"/>
        <v>706.6954536</v>
      </c>
      <c r="U83" s="40">
        <f t="shared" si="5"/>
        <v>42.73030426</v>
      </c>
      <c r="V83" s="40">
        <f t="shared" si="6"/>
        <v>663.9651493</v>
      </c>
      <c r="W83" s="26">
        <f t="shared" si="7"/>
        <v>9591.307873</v>
      </c>
      <c r="X83" s="39">
        <f t="shared" si="8"/>
        <v>0.1198913484</v>
      </c>
      <c r="Y83" s="40">
        <f t="shared" ref="Y83:Z83" si="77">U83+Y82</f>
        <v>9059.989625</v>
      </c>
      <c r="Z83" s="40">
        <f t="shared" si="77"/>
        <v>40408.69213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>
      <c r="A84" s="2"/>
      <c r="B84" s="2"/>
      <c r="C84" s="2"/>
      <c r="D84" s="2"/>
      <c r="E84" s="2"/>
      <c r="F84" s="13">
        <f>IFERROR(__xludf.DUMMYFUNCTION("""COMPUTED_VALUE"""),71.0)</f>
        <v>71</v>
      </c>
      <c r="G84" s="17">
        <f>IFERROR(__xludf.DUMMYFUNCTION("""COMPUTED_VALUE"""),44561.0)</f>
        <v>44561</v>
      </c>
      <c r="H84" s="26">
        <f>IFERROR(__xludf.DUMMYFUNCTION("""COMPUTED_VALUE"""),9591.307873085321)</f>
        <v>9591.307873</v>
      </c>
      <c r="I84" s="40">
        <f>IFERROR(__xludf.DUMMYFUNCTION("""COMPUTED_VALUE"""),706.6954535953523)</f>
        <v>706.6954536</v>
      </c>
      <c r="J84" s="40">
        <f>IFERROR(__xludf.DUMMYFUNCTION("""COMPUTED_VALUE"""),39.96378280452269)</f>
        <v>39.9637828</v>
      </c>
      <c r="K84" s="40">
        <f>IFERROR(__xludf.DUMMYFUNCTION("""COMPUTED_VALUE"""),666.7316707908298)</f>
        <v>666.7316708</v>
      </c>
      <c r="L84" s="26">
        <f>IFERROR(__xludf.DUMMYFUNCTION("""COMPUTED_VALUE"""),8924.576202294491)</f>
        <v>8924.576202</v>
      </c>
      <c r="M84" s="39">
        <f>IFERROR(__xludf.DUMMYFUNCTION("""COMPUTED_VALUE"""),0.11155720252868113)</f>
        <v>0.1115572025</v>
      </c>
      <c r="N84" s="40">
        <f>IFERROR(__xludf.DUMMYFUNCTION("""COMPUTED_VALUE"""),9099.953407564506)</f>
        <v>9099.953408</v>
      </c>
      <c r="O84" s="40">
        <f>IFERROR(__xludf.DUMMYFUNCTION("""COMPUTED_VALUE"""),41075.423797705516)</f>
        <v>41075.4238</v>
      </c>
      <c r="P84" s="2"/>
      <c r="Q84" s="13">
        <v>71.0</v>
      </c>
      <c r="R84" s="17">
        <f t="shared" si="2"/>
        <v>44561</v>
      </c>
      <c r="S84" s="26">
        <f t="shared" si="3"/>
        <v>9591.307873</v>
      </c>
      <c r="T84" s="40">
        <f t="shared" si="4"/>
        <v>706.6954536</v>
      </c>
      <c r="U84" s="40">
        <f t="shared" si="5"/>
        <v>39.9637828</v>
      </c>
      <c r="V84" s="40">
        <f t="shared" si="6"/>
        <v>666.7316708</v>
      </c>
      <c r="W84" s="26">
        <f t="shared" si="7"/>
        <v>8924.576202</v>
      </c>
      <c r="X84" s="39">
        <f t="shared" si="8"/>
        <v>0.1115572025</v>
      </c>
      <c r="Y84" s="40">
        <f t="shared" ref="Y84:Z84" si="78">U84+Y83</f>
        <v>9099.953408</v>
      </c>
      <c r="Z84" s="40">
        <f t="shared" si="78"/>
        <v>41075.4238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>
      <c r="A85" s="2"/>
      <c r="B85" s="2"/>
      <c r="C85" s="2"/>
      <c r="D85" s="2"/>
      <c r="E85" s="2"/>
      <c r="F85" s="13">
        <f>IFERROR(__xludf.DUMMYFUNCTION("""COMPUTED_VALUE"""),72.0)</f>
        <v>72</v>
      </c>
      <c r="G85" s="17">
        <f>IFERROR(__xludf.DUMMYFUNCTION("""COMPUTED_VALUE"""),44576.0)</f>
        <v>44576</v>
      </c>
      <c r="H85" s="26">
        <f>IFERROR(__xludf.DUMMYFUNCTION("""COMPUTED_VALUE"""),8924.576202294491)</f>
        <v>8924.576202</v>
      </c>
      <c r="I85" s="40">
        <f>IFERROR(__xludf.DUMMYFUNCTION("""COMPUTED_VALUE"""),706.6954535953523)</f>
        <v>706.6954536</v>
      </c>
      <c r="J85" s="40">
        <f>IFERROR(__xludf.DUMMYFUNCTION("""COMPUTED_VALUE"""),37.18573417622767)</f>
        <v>37.18573418</v>
      </c>
      <c r="K85" s="40">
        <f>IFERROR(__xludf.DUMMYFUNCTION("""COMPUTED_VALUE"""),669.5097194191247)</f>
        <v>669.5097194</v>
      </c>
      <c r="L85" s="26">
        <f>IFERROR(__xludf.DUMMYFUNCTION("""COMPUTED_VALUE"""),8255.066482875367)</f>
        <v>8255.066483</v>
      </c>
      <c r="M85" s="39">
        <f>IFERROR(__xludf.DUMMYFUNCTION("""COMPUTED_VALUE"""),0.10318833103594209)</f>
        <v>0.103188331</v>
      </c>
      <c r="N85" s="40">
        <f>IFERROR(__xludf.DUMMYFUNCTION("""COMPUTED_VALUE"""),9137.139141740734)</f>
        <v>9137.139142</v>
      </c>
      <c r="O85" s="40">
        <f>IFERROR(__xludf.DUMMYFUNCTION("""COMPUTED_VALUE"""),41744.93351712464)</f>
        <v>41744.93352</v>
      </c>
      <c r="P85" s="2"/>
      <c r="Q85" s="13">
        <v>72.0</v>
      </c>
      <c r="R85" s="17">
        <f t="shared" si="2"/>
        <v>44576</v>
      </c>
      <c r="S85" s="26">
        <f t="shared" si="3"/>
        <v>8924.576202</v>
      </c>
      <c r="T85" s="40">
        <f t="shared" si="4"/>
        <v>706.6954536</v>
      </c>
      <c r="U85" s="40">
        <f t="shared" si="5"/>
        <v>37.18573418</v>
      </c>
      <c r="V85" s="40">
        <f t="shared" si="6"/>
        <v>669.5097194</v>
      </c>
      <c r="W85" s="26">
        <f t="shared" si="7"/>
        <v>8255.066483</v>
      </c>
      <c r="X85" s="39">
        <f t="shared" si="8"/>
        <v>0.103188331</v>
      </c>
      <c r="Y85" s="40">
        <f t="shared" ref="Y85:Z85" si="79">U85+Y84</f>
        <v>9137.139142</v>
      </c>
      <c r="Z85" s="40">
        <f t="shared" si="79"/>
        <v>41744.93352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>
      <c r="A86" s="2"/>
      <c r="B86" s="2"/>
      <c r="C86" s="2"/>
      <c r="D86" s="2"/>
      <c r="E86" s="2"/>
      <c r="F86" s="13">
        <f>IFERROR(__xludf.DUMMYFUNCTION("""COMPUTED_VALUE"""),73.0)</f>
        <v>73</v>
      </c>
      <c r="G86" s="17">
        <f>IFERROR(__xludf.DUMMYFUNCTION("""COMPUTED_VALUE"""),44592.0)</f>
        <v>44592</v>
      </c>
      <c r="H86" s="26">
        <f>IFERROR(__xludf.DUMMYFUNCTION("""COMPUTED_VALUE"""),8255.066482875367)</f>
        <v>8255.066483</v>
      </c>
      <c r="I86" s="40">
        <f>IFERROR(__xludf.DUMMYFUNCTION("""COMPUTED_VALUE"""),706.6954535953523)</f>
        <v>706.6954536</v>
      </c>
      <c r="J86" s="40">
        <f>IFERROR(__xludf.DUMMYFUNCTION("""COMPUTED_VALUE"""),34.39611034531459)</f>
        <v>34.39611035</v>
      </c>
      <c r="K86" s="40">
        <f>IFERROR(__xludf.DUMMYFUNCTION("""COMPUTED_VALUE"""),672.2993432500379)</f>
        <v>672.2993433</v>
      </c>
      <c r="L86" s="26">
        <f>IFERROR(__xludf.DUMMYFUNCTION("""COMPUTED_VALUE"""),7582.767139625329)</f>
        <v>7582.76714</v>
      </c>
      <c r="M86" s="39">
        <f>IFERROR(__xludf.DUMMYFUNCTION("""COMPUTED_VALUE"""),0.09478458924531662)</f>
        <v>0.09478458925</v>
      </c>
      <c r="N86" s="40">
        <f>IFERROR(__xludf.DUMMYFUNCTION("""COMPUTED_VALUE"""),9171.535252086049)</f>
        <v>9171.535252</v>
      </c>
      <c r="O86" s="40">
        <f>IFERROR(__xludf.DUMMYFUNCTION("""COMPUTED_VALUE"""),42417.23286037468)</f>
        <v>42417.23286</v>
      </c>
      <c r="P86" s="2"/>
      <c r="Q86" s="13">
        <v>73.0</v>
      </c>
      <c r="R86" s="17">
        <f t="shared" si="2"/>
        <v>44592</v>
      </c>
      <c r="S86" s="26">
        <f t="shared" si="3"/>
        <v>8255.066483</v>
      </c>
      <c r="T86" s="40">
        <f t="shared" si="4"/>
        <v>706.6954536</v>
      </c>
      <c r="U86" s="40">
        <f t="shared" si="5"/>
        <v>34.39611035</v>
      </c>
      <c r="V86" s="40">
        <f t="shared" si="6"/>
        <v>672.2993433</v>
      </c>
      <c r="W86" s="26">
        <f t="shared" si="7"/>
        <v>7582.76714</v>
      </c>
      <c r="X86" s="39">
        <f t="shared" si="8"/>
        <v>0.09478458925</v>
      </c>
      <c r="Y86" s="40">
        <f t="shared" ref="Y86:Z86" si="80">U86+Y85</f>
        <v>9171.535252</v>
      </c>
      <c r="Z86" s="40">
        <f t="shared" si="80"/>
        <v>42417.23286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>
      <c r="A87" s="2"/>
      <c r="B87" s="2"/>
      <c r="C87" s="2"/>
      <c r="D87" s="2"/>
      <c r="E87" s="2"/>
      <c r="F87" s="13">
        <f>IFERROR(__xludf.DUMMYFUNCTION("""COMPUTED_VALUE"""),74.0)</f>
        <v>74</v>
      </c>
      <c r="G87" s="17">
        <f>IFERROR(__xludf.DUMMYFUNCTION("""COMPUTED_VALUE"""),44607.0)</f>
        <v>44607</v>
      </c>
      <c r="H87" s="26">
        <f>IFERROR(__xludf.DUMMYFUNCTION("""COMPUTED_VALUE"""),7582.767139625329)</f>
        <v>7582.76714</v>
      </c>
      <c r="I87" s="40">
        <f>IFERROR(__xludf.DUMMYFUNCTION("""COMPUTED_VALUE"""),706.6954535953523)</f>
        <v>706.6954536</v>
      </c>
      <c r="J87" s="40">
        <f>IFERROR(__xludf.DUMMYFUNCTION("""COMPUTED_VALUE"""),31.59486308177276)</f>
        <v>31.59486308</v>
      </c>
      <c r="K87" s="40">
        <f>IFERROR(__xludf.DUMMYFUNCTION("""COMPUTED_VALUE"""),675.1005905135796)</f>
        <v>675.1005905</v>
      </c>
      <c r="L87" s="26">
        <f>IFERROR(__xludf.DUMMYFUNCTION("""COMPUTED_VALUE"""),6907.666549111749)</f>
        <v>6907.666549</v>
      </c>
      <c r="M87" s="39">
        <f>IFERROR(__xludf.DUMMYFUNCTION("""COMPUTED_VALUE"""),0.08634583186389687)</f>
        <v>0.08634583186</v>
      </c>
      <c r="N87" s="40">
        <f>IFERROR(__xludf.DUMMYFUNCTION("""COMPUTED_VALUE"""),9203.130115167822)</f>
        <v>9203.130115</v>
      </c>
      <c r="O87" s="40">
        <f>IFERROR(__xludf.DUMMYFUNCTION("""COMPUTED_VALUE"""),43092.33345088826)</f>
        <v>43092.33345</v>
      </c>
      <c r="P87" s="2"/>
      <c r="Q87" s="13">
        <v>74.0</v>
      </c>
      <c r="R87" s="17">
        <f t="shared" si="2"/>
        <v>44607</v>
      </c>
      <c r="S87" s="26">
        <f t="shared" si="3"/>
        <v>7582.76714</v>
      </c>
      <c r="T87" s="40">
        <f t="shared" si="4"/>
        <v>706.6954536</v>
      </c>
      <c r="U87" s="40">
        <f t="shared" si="5"/>
        <v>31.59486308</v>
      </c>
      <c r="V87" s="40">
        <f t="shared" si="6"/>
        <v>675.1005905</v>
      </c>
      <c r="W87" s="26">
        <f t="shared" si="7"/>
        <v>6907.666549</v>
      </c>
      <c r="X87" s="39">
        <f t="shared" si="8"/>
        <v>0.08634583186</v>
      </c>
      <c r="Y87" s="40">
        <f t="shared" ref="Y87:Z87" si="81">U87+Y86</f>
        <v>9203.130115</v>
      </c>
      <c r="Z87" s="40">
        <f t="shared" si="81"/>
        <v>43092.33345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>
      <c r="A88" s="2"/>
      <c r="B88" s="2"/>
      <c r="C88" s="2"/>
      <c r="D88" s="2"/>
      <c r="E88" s="2"/>
      <c r="F88" s="13">
        <f>IFERROR(__xludf.DUMMYFUNCTION("""COMPUTED_VALUE"""),75.0)</f>
        <v>75</v>
      </c>
      <c r="G88" s="17">
        <f>IFERROR(__xludf.DUMMYFUNCTION("""COMPUTED_VALUE"""),44620.0)</f>
        <v>44620</v>
      </c>
      <c r="H88" s="26">
        <f>IFERROR(__xludf.DUMMYFUNCTION("""COMPUTED_VALUE"""),6907.666549111749)</f>
        <v>6907.666549</v>
      </c>
      <c r="I88" s="40">
        <f>IFERROR(__xludf.DUMMYFUNCTION("""COMPUTED_VALUE"""),706.6954535953523)</f>
        <v>706.6954536</v>
      </c>
      <c r="J88" s="40">
        <f>IFERROR(__xludf.DUMMYFUNCTION("""COMPUTED_VALUE"""),28.781943954632865)</f>
        <v>28.78194395</v>
      </c>
      <c r="K88" s="40">
        <f>IFERROR(__xludf.DUMMYFUNCTION("""COMPUTED_VALUE"""),677.9135096407196)</f>
        <v>677.9135096</v>
      </c>
      <c r="L88" s="26">
        <f>IFERROR(__xludf.DUMMYFUNCTION("""COMPUTED_VALUE"""),6229.753039471029)</f>
        <v>6229.753039</v>
      </c>
      <c r="M88" s="39">
        <f>IFERROR(__xludf.DUMMYFUNCTION("""COMPUTED_VALUE"""),0.07787191299338786)</f>
        <v>0.07787191299</v>
      </c>
      <c r="N88" s="40">
        <f>IFERROR(__xludf.DUMMYFUNCTION("""COMPUTED_VALUE"""),9231.912059122455)</f>
        <v>9231.912059</v>
      </c>
      <c r="O88" s="40">
        <f>IFERROR(__xludf.DUMMYFUNCTION("""COMPUTED_VALUE"""),43770.24696052898)</f>
        <v>43770.24696</v>
      </c>
      <c r="P88" s="2"/>
      <c r="Q88" s="13">
        <v>75.0</v>
      </c>
      <c r="R88" s="17">
        <f t="shared" si="2"/>
        <v>44620</v>
      </c>
      <c r="S88" s="26">
        <f t="shared" si="3"/>
        <v>6907.666549</v>
      </c>
      <c r="T88" s="40">
        <f t="shared" si="4"/>
        <v>706.6954536</v>
      </c>
      <c r="U88" s="40">
        <f t="shared" si="5"/>
        <v>28.78194395</v>
      </c>
      <c r="V88" s="40">
        <f t="shared" si="6"/>
        <v>677.9135096</v>
      </c>
      <c r="W88" s="26">
        <f t="shared" si="7"/>
        <v>6229.753039</v>
      </c>
      <c r="X88" s="39">
        <f t="shared" si="8"/>
        <v>0.07787191299</v>
      </c>
      <c r="Y88" s="40">
        <f t="shared" ref="Y88:Z88" si="82">U88+Y87</f>
        <v>9231.912059</v>
      </c>
      <c r="Z88" s="40">
        <f t="shared" si="82"/>
        <v>43770.24696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>
      <c r="A89" s="2"/>
      <c r="B89" s="2"/>
      <c r="C89" s="2"/>
      <c r="D89" s="2"/>
      <c r="E89" s="2"/>
      <c r="F89" s="13">
        <f>IFERROR(__xludf.DUMMYFUNCTION("""COMPUTED_VALUE"""),76.0)</f>
        <v>76</v>
      </c>
      <c r="G89" s="17">
        <f>IFERROR(__xludf.DUMMYFUNCTION("""COMPUTED_VALUE"""),44635.0)</f>
        <v>44635</v>
      </c>
      <c r="H89" s="26">
        <f>IFERROR(__xludf.DUMMYFUNCTION("""COMPUTED_VALUE"""),6229.753039471029)</f>
        <v>6229.753039</v>
      </c>
      <c r="I89" s="40">
        <f>IFERROR(__xludf.DUMMYFUNCTION("""COMPUTED_VALUE"""),706.6954535953523)</f>
        <v>706.6954536</v>
      </c>
      <c r="J89" s="40">
        <f>IFERROR(__xludf.DUMMYFUNCTION("""COMPUTED_VALUE"""),25.957304331129876)</f>
        <v>25.95730433</v>
      </c>
      <c r="K89" s="40">
        <f>IFERROR(__xludf.DUMMYFUNCTION("""COMPUTED_VALUE"""),680.7381492642226)</f>
        <v>680.7381493</v>
      </c>
      <c r="L89" s="26">
        <f>IFERROR(__xludf.DUMMYFUNCTION("""COMPUTED_VALUE"""),5549.014890206807)</f>
        <v>5549.01489</v>
      </c>
      <c r="M89" s="39">
        <f>IFERROR(__xludf.DUMMYFUNCTION("""COMPUTED_VALUE"""),0.06936268612758509)</f>
        <v>0.06936268613</v>
      </c>
      <c r="N89" s="40">
        <f>IFERROR(__xludf.DUMMYFUNCTION("""COMPUTED_VALUE"""),9257.869363453585)</f>
        <v>9257.869363</v>
      </c>
      <c r="O89" s="40">
        <f>IFERROR(__xludf.DUMMYFUNCTION("""COMPUTED_VALUE"""),44450.985109793204)</f>
        <v>44450.98511</v>
      </c>
      <c r="P89" s="2"/>
      <c r="Q89" s="13">
        <v>76.0</v>
      </c>
      <c r="R89" s="17">
        <f t="shared" si="2"/>
        <v>44635</v>
      </c>
      <c r="S89" s="26">
        <f t="shared" si="3"/>
        <v>6229.753039</v>
      </c>
      <c r="T89" s="40">
        <f t="shared" si="4"/>
        <v>706.6954536</v>
      </c>
      <c r="U89" s="40">
        <f t="shared" si="5"/>
        <v>25.95730433</v>
      </c>
      <c r="V89" s="40">
        <f t="shared" si="6"/>
        <v>680.7381493</v>
      </c>
      <c r="W89" s="26">
        <f t="shared" si="7"/>
        <v>5549.01489</v>
      </c>
      <c r="X89" s="39">
        <f t="shared" si="8"/>
        <v>0.06936268613</v>
      </c>
      <c r="Y89" s="40">
        <f t="shared" ref="Y89:Z89" si="83">U89+Y88</f>
        <v>9257.869363</v>
      </c>
      <c r="Z89" s="40">
        <f t="shared" si="83"/>
        <v>44450.98511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>
      <c r="A90" s="2"/>
      <c r="B90" s="2"/>
      <c r="C90" s="2"/>
      <c r="D90" s="2"/>
      <c r="E90" s="2"/>
      <c r="F90" s="13">
        <f>IFERROR(__xludf.DUMMYFUNCTION("""COMPUTED_VALUE"""),77.0)</f>
        <v>77</v>
      </c>
      <c r="G90" s="17">
        <f>IFERROR(__xludf.DUMMYFUNCTION("""COMPUTED_VALUE"""),44651.0)</f>
        <v>44651</v>
      </c>
      <c r="H90" s="26">
        <f>IFERROR(__xludf.DUMMYFUNCTION("""COMPUTED_VALUE"""),5549.014890206807)</f>
        <v>5549.01489</v>
      </c>
      <c r="I90" s="40">
        <f>IFERROR(__xludf.DUMMYFUNCTION("""COMPUTED_VALUE"""),706.6954535953523)</f>
        <v>706.6954536</v>
      </c>
      <c r="J90" s="40">
        <f>IFERROR(__xludf.DUMMYFUNCTION("""COMPUTED_VALUE"""),23.120895375862347)</f>
        <v>23.12089538</v>
      </c>
      <c r="K90" s="40">
        <f>IFERROR(__xludf.DUMMYFUNCTION("""COMPUTED_VALUE"""),683.57455821949)</f>
        <v>683.5745582</v>
      </c>
      <c r="L90" s="26">
        <f>IFERROR(__xludf.DUMMYFUNCTION("""COMPUTED_VALUE"""),4865.440331987316)</f>
        <v>4865.440332</v>
      </c>
      <c r="M90" s="39">
        <f>IFERROR(__xludf.DUMMYFUNCTION("""COMPUTED_VALUE"""),0.060818004149841454)</f>
        <v>0.06081800415</v>
      </c>
      <c r="N90" s="40">
        <f>IFERROR(__xludf.DUMMYFUNCTION("""COMPUTED_VALUE"""),9280.990258829446)</f>
        <v>9280.990259</v>
      </c>
      <c r="O90" s="40">
        <f>IFERROR(__xludf.DUMMYFUNCTION("""COMPUTED_VALUE"""),45134.55966801269)</f>
        <v>45134.55967</v>
      </c>
      <c r="P90" s="2"/>
      <c r="Q90" s="13">
        <v>77.0</v>
      </c>
      <c r="R90" s="17">
        <f t="shared" si="2"/>
        <v>44651</v>
      </c>
      <c r="S90" s="26">
        <f t="shared" si="3"/>
        <v>5549.01489</v>
      </c>
      <c r="T90" s="40">
        <f t="shared" si="4"/>
        <v>706.6954536</v>
      </c>
      <c r="U90" s="40">
        <f t="shared" si="5"/>
        <v>23.12089538</v>
      </c>
      <c r="V90" s="40">
        <f t="shared" si="6"/>
        <v>683.5745582</v>
      </c>
      <c r="W90" s="26">
        <f t="shared" si="7"/>
        <v>4865.440332</v>
      </c>
      <c r="X90" s="39">
        <f t="shared" si="8"/>
        <v>0.06081800415</v>
      </c>
      <c r="Y90" s="40">
        <f t="shared" ref="Y90:Z90" si="84">U90+Y89</f>
        <v>9280.990259</v>
      </c>
      <c r="Z90" s="40">
        <f t="shared" si="84"/>
        <v>45134.55967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>
      <c r="A91" s="2"/>
      <c r="B91" s="2"/>
      <c r="C91" s="2"/>
      <c r="D91" s="2"/>
      <c r="E91" s="2"/>
      <c r="F91" s="13">
        <f>IFERROR(__xludf.DUMMYFUNCTION("""COMPUTED_VALUE"""),78.0)</f>
        <v>78</v>
      </c>
      <c r="G91" s="17">
        <f>IFERROR(__xludf.DUMMYFUNCTION("""COMPUTED_VALUE"""),44666.0)</f>
        <v>44666</v>
      </c>
      <c r="H91" s="26">
        <f>IFERROR(__xludf.DUMMYFUNCTION("""COMPUTED_VALUE"""),4865.440331987316)</f>
        <v>4865.440332</v>
      </c>
      <c r="I91" s="40">
        <f>IFERROR(__xludf.DUMMYFUNCTION("""COMPUTED_VALUE"""),706.6954535953523)</f>
        <v>706.6954536</v>
      </c>
      <c r="J91" s="40">
        <f>IFERROR(__xludf.DUMMYFUNCTION("""COMPUTED_VALUE"""),20.272668049947775)</f>
        <v>20.27266805</v>
      </c>
      <c r="K91" s="40">
        <f>IFERROR(__xludf.DUMMYFUNCTION("""COMPUTED_VALUE"""),686.4227855454045)</f>
        <v>686.4227855</v>
      </c>
      <c r="L91" s="26">
        <f>IFERROR(__xludf.DUMMYFUNCTION("""COMPUTED_VALUE"""),4179.017546441912)</f>
        <v>4179.017546</v>
      </c>
      <c r="M91" s="39">
        <f>IFERROR(__xludf.DUMMYFUNCTION("""COMPUTED_VALUE"""),0.052237719330523895)</f>
        <v>0.05223771933</v>
      </c>
      <c r="N91" s="40">
        <f>IFERROR(__xludf.DUMMYFUNCTION("""COMPUTED_VALUE"""),9301.262926879393)</f>
        <v>9301.262927</v>
      </c>
      <c r="O91" s="40">
        <f>IFERROR(__xludf.DUMMYFUNCTION("""COMPUTED_VALUE"""),45820.98245355809)</f>
        <v>45820.98245</v>
      </c>
      <c r="P91" s="2"/>
      <c r="Q91" s="13">
        <v>78.0</v>
      </c>
      <c r="R91" s="17">
        <f t="shared" si="2"/>
        <v>44666</v>
      </c>
      <c r="S91" s="26">
        <f t="shared" si="3"/>
        <v>4865.440332</v>
      </c>
      <c r="T91" s="40">
        <f t="shared" si="4"/>
        <v>706.6954536</v>
      </c>
      <c r="U91" s="40">
        <f t="shared" si="5"/>
        <v>20.27266805</v>
      </c>
      <c r="V91" s="40">
        <f t="shared" si="6"/>
        <v>686.4227855</v>
      </c>
      <c r="W91" s="26">
        <f t="shared" si="7"/>
        <v>4179.017546</v>
      </c>
      <c r="X91" s="39">
        <f t="shared" si="8"/>
        <v>0.05223771933</v>
      </c>
      <c r="Y91" s="40">
        <f t="shared" ref="Y91:Z91" si="85">U91+Y90</f>
        <v>9301.262927</v>
      </c>
      <c r="Z91" s="40">
        <f t="shared" si="85"/>
        <v>45820.98245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>
      <c r="A92" s="2"/>
      <c r="B92" s="2"/>
      <c r="C92" s="2"/>
      <c r="D92" s="2"/>
      <c r="E92" s="2"/>
      <c r="F92" s="13">
        <f>IFERROR(__xludf.DUMMYFUNCTION("""COMPUTED_VALUE"""),79.0)</f>
        <v>79</v>
      </c>
      <c r="G92" s="17">
        <f>IFERROR(__xludf.DUMMYFUNCTION("""COMPUTED_VALUE"""),44681.0)</f>
        <v>44681</v>
      </c>
      <c r="H92" s="26">
        <f>IFERROR(__xludf.DUMMYFUNCTION("""COMPUTED_VALUE"""),4179.017546441912)</f>
        <v>4179.017546</v>
      </c>
      <c r="I92" s="40">
        <f>IFERROR(__xludf.DUMMYFUNCTION("""COMPUTED_VALUE"""),706.6954535953523)</f>
        <v>706.6954536</v>
      </c>
      <c r="J92" s="40">
        <f>IFERROR(__xludf.DUMMYFUNCTION("""COMPUTED_VALUE"""),17.41257311017528)</f>
        <v>17.41257311</v>
      </c>
      <c r="K92" s="40">
        <f>IFERROR(__xludf.DUMMYFUNCTION("""COMPUTED_VALUE"""),689.2828804851771)</f>
        <v>689.2828805</v>
      </c>
      <c r="L92" s="26">
        <f>IFERROR(__xludf.DUMMYFUNCTION("""COMPUTED_VALUE"""),3489.7346659567347)</f>
        <v>3489.734666</v>
      </c>
      <c r="M92" s="39">
        <f>IFERROR(__xludf.DUMMYFUNCTION("""COMPUTED_VALUE"""),0.04362168332445918)</f>
        <v>0.04362168332</v>
      </c>
      <c r="N92" s="40">
        <f>IFERROR(__xludf.DUMMYFUNCTION("""COMPUTED_VALUE"""),9318.67549998957)</f>
        <v>9318.6755</v>
      </c>
      <c r="O92" s="40">
        <f>IFERROR(__xludf.DUMMYFUNCTION("""COMPUTED_VALUE"""),46510.265334043266)</f>
        <v>46510.26533</v>
      </c>
      <c r="P92" s="2"/>
      <c r="Q92" s="13">
        <v>79.0</v>
      </c>
      <c r="R92" s="17">
        <f t="shared" si="2"/>
        <v>44681</v>
      </c>
      <c r="S92" s="26">
        <f t="shared" si="3"/>
        <v>4179.017546</v>
      </c>
      <c r="T92" s="40">
        <f t="shared" si="4"/>
        <v>706.6954536</v>
      </c>
      <c r="U92" s="40">
        <f t="shared" si="5"/>
        <v>17.41257311</v>
      </c>
      <c r="V92" s="40">
        <f t="shared" si="6"/>
        <v>689.2828805</v>
      </c>
      <c r="W92" s="26">
        <f t="shared" si="7"/>
        <v>3489.734666</v>
      </c>
      <c r="X92" s="39">
        <f t="shared" si="8"/>
        <v>0.04362168332</v>
      </c>
      <c r="Y92" s="40">
        <f t="shared" ref="Y92:Z92" si="86">U92+Y91</f>
        <v>9318.6755</v>
      </c>
      <c r="Z92" s="40">
        <f t="shared" si="86"/>
        <v>46510.26533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>
      <c r="A93" s="2"/>
      <c r="B93" s="2"/>
      <c r="C93" s="2"/>
      <c r="D93" s="2"/>
      <c r="E93" s="2"/>
      <c r="F93" s="13">
        <f>IFERROR(__xludf.DUMMYFUNCTION("""COMPUTED_VALUE"""),80.0)</f>
        <v>80</v>
      </c>
      <c r="G93" s="17">
        <f>IFERROR(__xludf.DUMMYFUNCTION("""COMPUTED_VALUE"""),44696.0)</f>
        <v>44696</v>
      </c>
      <c r="H93" s="26">
        <f>IFERROR(__xludf.DUMMYFUNCTION("""COMPUTED_VALUE"""),3489.7346659567347)</f>
        <v>3489.734666</v>
      </c>
      <c r="I93" s="40">
        <f>IFERROR(__xludf.DUMMYFUNCTION("""COMPUTED_VALUE"""),706.6954535953523)</f>
        <v>706.6954536</v>
      </c>
      <c r="J93" s="40">
        <f>IFERROR(__xludf.DUMMYFUNCTION("""COMPUTED_VALUE"""),14.540561108153756)</f>
        <v>14.54056111</v>
      </c>
      <c r="K93" s="40">
        <f>IFERROR(__xludf.DUMMYFUNCTION("""COMPUTED_VALUE"""),692.1548924871986)</f>
        <v>692.1548925</v>
      </c>
      <c r="L93" s="26">
        <f>IFERROR(__xludf.DUMMYFUNCTION("""COMPUTED_VALUE"""),2797.579773469536)</f>
        <v>2797.579773</v>
      </c>
      <c r="M93" s="39">
        <f>IFERROR(__xludf.DUMMYFUNCTION("""COMPUTED_VALUE"""),0.0349697471683692)</f>
        <v>0.03496974717</v>
      </c>
      <c r="N93" s="40">
        <f>IFERROR(__xludf.DUMMYFUNCTION("""COMPUTED_VALUE"""),9333.216061097723)</f>
        <v>9333.216061</v>
      </c>
      <c r="O93" s="40">
        <f>IFERROR(__xludf.DUMMYFUNCTION("""COMPUTED_VALUE"""),47202.42022653046)</f>
        <v>47202.42023</v>
      </c>
      <c r="P93" s="2"/>
      <c r="Q93" s="13">
        <v>80.0</v>
      </c>
      <c r="R93" s="17">
        <f t="shared" si="2"/>
        <v>44696</v>
      </c>
      <c r="S93" s="26">
        <f t="shared" si="3"/>
        <v>3489.734666</v>
      </c>
      <c r="T93" s="40">
        <f t="shared" si="4"/>
        <v>706.6954536</v>
      </c>
      <c r="U93" s="40">
        <f t="shared" si="5"/>
        <v>14.54056111</v>
      </c>
      <c r="V93" s="40">
        <f t="shared" si="6"/>
        <v>692.1548925</v>
      </c>
      <c r="W93" s="26">
        <f t="shared" si="7"/>
        <v>2797.579773</v>
      </c>
      <c r="X93" s="39">
        <f t="shared" si="8"/>
        <v>0.03496974717</v>
      </c>
      <c r="Y93" s="40">
        <f t="shared" ref="Y93:Z93" si="87">U93+Y92</f>
        <v>9333.216061</v>
      </c>
      <c r="Z93" s="40">
        <f t="shared" si="87"/>
        <v>47202.42023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>
      <c r="A94" s="2"/>
      <c r="B94" s="2"/>
      <c r="C94" s="2"/>
      <c r="D94" s="2"/>
      <c r="E94" s="2"/>
      <c r="F94" s="13">
        <f>IFERROR(__xludf.DUMMYFUNCTION("""COMPUTED_VALUE"""),81.0)</f>
        <v>81</v>
      </c>
      <c r="G94" s="17">
        <f>IFERROR(__xludf.DUMMYFUNCTION("""COMPUTED_VALUE"""),44712.0)</f>
        <v>44712</v>
      </c>
      <c r="H94" s="26">
        <f>IFERROR(__xludf.DUMMYFUNCTION("""COMPUTED_VALUE"""),2797.579773469536)</f>
        <v>2797.579773</v>
      </c>
      <c r="I94" s="40">
        <f>IFERROR(__xludf.DUMMYFUNCTION("""COMPUTED_VALUE"""),706.6954535953523)</f>
        <v>706.6954536</v>
      </c>
      <c r="J94" s="40">
        <f>IFERROR(__xludf.DUMMYFUNCTION("""COMPUTED_VALUE"""),11.656582389457036)</f>
        <v>11.65658239</v>
      </c>
      <c r="K94" s="40">
        <f>IFERROR(__xludf.DUMMYFUNCTION("""COMPUTED_VALUE"""),695.0388712058954)</f>
        <v>695.0388712</v>
      </c>
      <c r="L94" s="26">
        <f>IFERROR(__xludf.DUMMYFUNCTION("""COMPUTED_VALUE"""),2102.540902263641)</f>
        <v>2102.540902</v>
      </c>
      <c r="M94" s="39">
        <f>IFERROR(__xludf.DUMMYFUNCTION("""COMPUTED_VALUE"""),0.026281761278295512)</f>
        <v>0.02628176128</v>
      </c>
      <c r="N94" s="40">
        <f>IFERROR(__xludf.DUMMYFUNCTION("""COMPUTED_VALUE"""),9344.872643487179)</f>
        <v>9344.872643</v>
      </c>
      <c r="O94" s="40">
        <f>IFERROR(__xludf.DUMMYFUNCTION("""COMPUTED_VALUE"""),47897.459097736355)</f>
        <v>47897.4591</v>
      </c>
      <c r="P94" s="2"/>
      <c r="Q94" s="13">
        <v>81.0</v>
      </c>
      <c r="R94" s="17">
        <f t="shared" si="2"/>
        <v>44712</v>
      </c>
      <c r="S94" s="26">
        <f t="shared" si="3"/>
        <v>2797.579773</v>
      </c>
      <c r="T94" s="40">
        <f t="shared" si="4"/>
        <v>706.6954536</v>
      </c>
      <c r="U94" s="40">
        <f t="shared" si="5"/>
        <v>11.65658239</v>
      </c>
      <c r="V94" s="40">
        <f t="shared" si="6"/>
        <v>695.0388712</v>
      </c>
      <c r="W94" s="26">
        <f t="shared" si="7"/>
        <v>2102.540902</v>
      </c>
      <c r="X94" s="39">
        <f t="shared" si="8"/>
        <v>0.02628176128</v>
      </c>
      <c r="Y94" s="40">
        <f t="shared" ref="Y94:Z94" si="88">U94+Y93</f>
        <v>9344.872643</v>
      </c>
      <c r="Z94" s="40">
        <f t="shared" si="88"/>
        <v>47897.4591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>
      <c r="A95" s="2"/>
      <c r="B95" s="2"/>
      <c r="C95" s="2"/>
      <c r="D95" s="2"/>
      <c r="E95" s="2"/>
      <c r="F95" s="13">
        <f>IFERROR(__xludf.DUMMYFUNCTION("""COMPUTED_VALUE"""),82.0)</f>
        <v>82</v>
      </c>
      <c r="G95" s="17">
        <f>IFERROR(__xludf.DUMMYFUNCTION("""COMPUTED_VALUE"""),44727.0)</f>
        <v>44727</v>
      </c>
      <c r="H95" s="26">
        <f>IFERROR(__xludf.DUMMYFUNCTION("""COMPUTED_VALUE"""),2102.540902263641)</f>
        <v>2102.540902</v>
      </c>
      <c r="I95" s="40">
        <f>IFERROR(__xludf.DUMMYFUNCTION("""COMPUTED_VALUE"""),706.6954535953523)</f>
        <v>706.6954536</v>
      </c>
      <c r="J95" s="40">
        <f>IFERROR(__xludf.DUMMYFUNCTION("""COMPUTED_VALUE"""),8.760587092765839)</f>
        <v>8.760587093</v>
      </c>
      <c r="K95" s="40">
        <f>IFERROR(__xludf.DUMMYFUNCTION("""COMPUTED_VALUE"""),697.9348665025866)</f>
        <v>697.9348665</v>
      </c>
      <c r="L95" s="26">
        <f>IFERROR(__xludf.DUMMYFUNCTION("""COMPUTED_VALUE"""),1404.6060357610543)</f>
        <v>1404.606036</v>
      </c>
      <c r="M95" s="39">
        <f>IFERROR(__xludf.DUMMYFUNCTION("""COMPUTED_VALUE"""),0.01755757544701318)</f>
        <v>0.01755757545</v>
      </c>
      <c r="N95" s="40">
        <f>IFERROR(__xludf.DUMMYFUNCTION("""COMPUTED_VALUE"""),9353.633230579944)</f>
        <v>9353.633231</v>
      </c>
      <c r="O95" s="40">
        <f>IFERROR(__xludf.DUMMYFUNCTION("""COMPUTED_VALUE"""),48595.393964238945)</f>
        <v>48595.39396</v>
      </c>
      <c r="P95" s="2"/>
      <c r="Q95" s="13">
        <v>82.0</v>
      </c>
      <c r="R95" s="17">
        <f t="shared" si="2"/>
        <v>44727</v>
      </c>
      <c r="S95" s="26">
        <f t="shared" si="3"/>
        <v>2102.540902</v>
      </c>
      <c r="T95" s="40">
        <f t="shared" si="4"/>
        <v>706.6954536</v>
      </c>
      <c r="U95" s="40">
        <f t="shared" si="5"/>
        <v>8.760587093</v>
      </c>
      <c r="V95" s="40">
        <f t="shared" si="6"/>
        <v>697.9348665</v>
      </c>
      <c r="W95" s="26">
        <f t="shared" si="7"/>
        <v>1404.606036</v>
      </c>
      <c r="X95" s="39">
        <f t="shared" si="8"/>
        <v>0.01755757545</v>
      </c>
      <c r="Y95" s="40">
        <f t="shared" ref="Y95:Z95" si="89">U95+Y94</f>
        <v>9353.633231</v>
      </c>
      <c r="Z95" s="40">
        <f t="shared" si="89"/>
        <v>48595.39396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>
      <c r="A96" s="2"/>
      <c r="B96" s="2"/>
      <c r="C96" s="2"/>
      <c r="D96" s="2"/>
      <c r="E96" s="2"/>
      <c r="F96" s="13">
        <f>IFERROR(__xludf.DUMMYFUNCTION("""COMPUTED_VALUE"""),83.0)</f>
        <v>83</v>
      </c>
      <c r="G96" s="17">
        <f>IFERROR(__xludf.DUMMYFUNCTION("""COMPUTED_VALUE"""),44742.0)</f>
        <v>44742</v>
      </c>
      <c r="H96" s="26">
        <f>IFERROR(__xludf.DUMMYFUNCTION("""COMPUTED_VALUE"""),1404.6060357610543)</f>
        <v>1404.606036</v>
      </c>
      <c r="I96" s="40">
        <f>IFERROR(__xludf.DUMMYFUNCTION("""COMPUTED_VALUE"""),706.6954535953523)</f>
        <v>706.6954536</v>
      </c>
      <c r="J96" s="40">
        <f>IFERROR(__xludf.DUMMYFUNCTION("""COMPUTED_VALUE"""),5.852525149005085)</f>
        <v>5.852525149</v>
      </c>
      <c r="K96" s="40">
        <f>IFERROR(__xludf.DUMMYFUNCTION("""COMPUTED_VALUE"""),700.8429284463473)</f>
        <v>700.8429284</v>
      </c>
      <c r="L96" s="26">
        <f>IFERROR(__xludf.DUMMYFUNCTION("""COMPUTED_VALUE"""),703.763107314707)</f>
        <v>703.7631073</v>
      </c>
      <c r="M96" s="39">
        <f>IFERROR(__xludf.DUMMYFUNCTION("""COMPUTED_VALUE"""),0.008797038841433838)</f>
        <v>0.008797038841</v>
      </c>
      <c r="N96" s="40">
        <f>IFERROR(__xludf.DUMMYFUNCTION("""COMPUTED_VALUE"""),9359.485755728949)</f>
        <v>9359.485756</v>
      </c>
      <c r="O96" s="40">
        <f>IFERROR(__xludf.DUMMYFUNCTION("""COMPUTED_VALUE"""),49296.236892685294)</f>
        <v>49296.23689</v>
      </c>
      <c r="P96" s="2"/>
      <c r="Q96" s="13">
        <v>83.0</v>
      </c>
      <c r="R96" s="17">
        <f t="shared" si="2"/>
        <v>44742</v>
      </c>
      <c r="S96" s="26">
        <f t="shared" si="3"/>
        <v>1404.606036</v>
      </c>
      <c r="T96" s="40">
        <f t="shared" si="4"/>
        <v>706.6954536</v>
      </c>
      <c r="U96" s="40">
        <f t="shared" si="5"/>
        <v>5.852525149</v>
      </c>
      <c r="V96" s="40">
        <f t="shared" si="6"/>
        <v>700.8429284</v>
      </c>
      <c r="W96" s="26">
        <f t="shared" si="7"/>
        <v>703.7631073</v>
      </c>
      <c r="X96" s="39">
        <f t="shared" si="8"/>
        <v>0.008797038841</v>
      </c>
      <c r="Y96" s="40">
        <f t="shared" ref="Y96:Z96" si="90">U96+Y95</f>
        <v>9359.485756</v>
      </c>
      <c r="Z96" s="40">
        <f t="shared" si="90"/>
        <v>49296.23689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>
      <c r="A97" s="2"/>
      <c r="B97" s="2"/>
      <c r="C97" s="2"/>
      <c r="D97" s="2"/>
      <c r="E97" s="2"/>
      <c r="F97" s="13">
        <f>IFERROR(__xludf.DUMMYFUNCTION("""COMPUTED_VALUE"""),84.0)</f>
        <v>84</v>
      </c>
      <c r="G97" s="17">
        <f>IFERROR(__xludf.DUMMYFUNCTION("""COMPUTED_VALUE"""),44757.0)</f>
        <v>44757</v>
      </c>
      <c r="H97" s="26">
        <f>IFERROR(__xludf.DUMMYFUNCTION("""COMPUTED_VALUE"""),703.763107314707)</f>
        <v>703.7631073</v>
      </c>
      <c r="I97" s="40">
        <f>IFERROR(__xludf.DUMMYFUNCTION("""COMPUTED_VALUE"""),706.6954535953523)</f>
        <v>706.6954536</v>
      </c>
      <c r="J97" s="40">
        <f>IFERROR(__xludf.DUMMYFUNCTION("""COMPUTED_VALUE"""),2.9323462804786398)</f>
        <v>2.93234628</v>
      </c>
      <c r="K97" s="40">
        <f>IFERROR(__xludf.DUMMYFUNCTION("""COMPUTED_VALUE"""),703.7631073148739)</f>
        <v>703.7631073</v>
      </c>
      <c r="L97" s="26">
        <f>IFERROR(__xludf.DUMMYFUNCTION("""COMPUTED_VALUE"""),-1.6689227777533233E-10)</f>
        <v>-0.0000000001668922778</v>
      </c>
      <c r="M97" s="39">
        <f>IFERROR(__xludf.DUMMYFUNCTION("""COMPUTED_VALUE"""),-2.0861534721916543E-15)</f>
        <v>0</v>
      </c>
      <c r="N97" s="40">
        <f>IFERROR(__xludf.DUMMYFUNCTION("""COMPUTED_VALUE"""),9362.418102009427)</f>
        <v>9362.418102</v>
      </c>
      <c r="O97" s="40">
        <f>IFERROR(__xludf.DUMMYFUNCTION("""COMPUTED_VALUE"""),50000.00000000017)</f>
        <v>50000</v>
      </c>
      <c r="P97" s="2"/>
      <c r="Q97" s="13">
        <v>84.0</v>
      </c>
      <c r="R97" s="17">
        <f t="shared" si="2"/>
        <v>44757</v>
      </c>
      <c r="S97" s="26">
        <f t="shared" si="3"/>
        <v>703.7631073</v>
      </c>
      <c r="T97" s="40">
        <f t="shared" si="4"/>
        <v>706.6954536</v>
      </c>
      <c r="U97" s="40">
        <f t="shared" si="5"/>
        <v>2.93234628</v>
      </c>
      <c r="V97" s="40">
        <f t="shared" si="6"/>
        <v>703.7631073</v>
      </c>
      <c r="W97" s="26">
        <f t="shared" si="7"/>
        <v>-0.0000000001668922778</v>
      </c>
      <c r="X97" s="39">
        <f t="shared" si="8"/>
        <v>0</v>
      </c>
      <c r="Y97" s="40">
        <f t="shared" ref="Y97:Z97" si="91">U97+Y96</f>
        <v>9362.418102</v>
      </c>
      <c r="Z97" s="40">
        <f t="shared" si="91"/>
        <v>50000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3">
        <v>85.0</v>
      </c>
      <c r="R98" s="17">
        <f t="shared" si="2"/>
        <v>44773</v>
      </c>
      <c r="S98" s="26">
        <f t="shared" si="3"/>
        <v>-0.0000000001668922778</v>
      </c>
      <c r="T98" s="40">
        <f t="shared" si="4"/>
        <v>706.6954536</v>
      </c>
      <c r="U98" s="41" t="str">
        <f t="shared" si="5"/>
        <v>#NUM!</v>
      </c>
      <c r="V98" s="41" t="str">
        <f t="shared" si="6"/>
        <v>#NUM!</v>
      </c>
      <c r="W98" s="41" t="str">
        <f t="shared" si="7"/>
        <v>#NUM!</v>
      </c>
      <c r="X98" s="42" t="str">
        <f t="shared" si="8"/>
        <v>#NUM!</v>
      </c>
      <c r="Y98" s="41" t="str">
        <f t="shared" ref="Y98:Z98" si="92">U98+Y97</f>
        <v>#NUM!</v>
      </c>
      <c r="Z98" s="41" t="str">
        <f t="shared" si="92"/>
        <v>#NUM!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3">
        <v>86.0</v>
      </c>
      <c r="R99" s="17">
        <f t="shared" si="2"/>
        <v>44788</v>
      </c>
      <c r="S99" s="41" t="str">
        <f t="shared" si="3"/>
        <v>#NUM!</v>
      </c>
      <c r="T99" s="40">
        <f t="shared" si="4"/>
        <v>706.6954536</v>
      </c>
      <c r="U99" s="41" t="str">
        <f t="shared" si="5"/>
        <v>#NUM!</v>
      </c>
      <c r="V99" s="41" t="str">
        <f t="shared" si="6"/>
        <v>#NUM!</v>
      </c>
      <c r="W99" s="41" t="str">
        <f t="shared" si="7"/>
        <v>#NUM!</v>
      </c>
      <c r="X99" s="42" t="str">
        <f t="shared" si="8"/>
        <v>#NUM!</v>
      </c>
      <c r="Y99" s="41" t="str">
        <f t="shared" ref="Y99:Z99" si="93">U99+Y98</f>
        <v>#NUM!</v>
      </c>
      <c r="Z99" s="41" t="str">
        <f t="shared" si="93"/>
        <v>#NUM!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3">
        <v>87.0</v>
      </c>
      <c r="R100" s="17">
        <f t="shared" si="2"/>
        <v>44804</v>
      </c>
      <c r="S100" s="41" t="str">
        <f t="shared" si="3"/>
        <v>#NUM!</v>
      </c>
      <c r="T100" s="40">
        <f t="shared" si="4"/>
        <v>706.6954536</v>
      </c>
      <c r="U100" s="41" t="str">
        <f t="shared" si="5"/>
        <v>#NUM!</v>
      </c>
      <c r="V100" s="41" t="str">
        <f t="shared" si="6"/>
        <v>#NUM!</v>
      </c>
      <c r="W100" s="41" t="str">
        <f t="shared" si="7"/>
        <v>#NUM!</v>
      </c>
      <c r="X100" s="42" t="str">
        <f t="shared" si="8"/>
        <v>#NUM!</v>
      </c>
      <c r="Y100" s="41" t="str">
        <f t="shared" ref="Y100:Z100" si="94">U100+Y99</f>
        <v>#NUM!</v>
      </c>
      <c r="Z100" s="41" t="str">
        <f t="shared" si="94"/>
        <v>#NUM!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3">
        <v>88.0</v>
      </c>
      <c r="R101" s="17">
        <f t="shared" si="2"/>
        <v>44819</v>
      </c>
      <c r="S101" s="41" t="str">
        <f t="shared" si="3"/>
        <v>#NUM!</v>
      </c>
      <c r="T101" s="40">
        <f t="shared" si="4"/>
        <v>706.6954536</v>
      </c>
      <c r="U101" s="41" t="str">
        <f t="shared" si="5"/>
        <v>#NUM!</v>
      </c>
      <c r="V101" s="41" t="str">
        <f t="shared" si="6"/>
        <v>#NUM!</v>
      </c>
      <c r="W101" s="41" t="str">
        <f t="shared" si="7"/>
        <v>#NUM!</v>
      </c>
      <c r="X101" s="42" t="str">
        <f t="shared" si="8"/>
        <v>#NUM!</v>
      </c>
      <c r="Y101" s="41" t="str">
        <f t="shared" ref="Y101:Z101" si="95">U101+Y100</f>
        <v>#NUM!</v>
      </c>
      <c r="Z101" s="41" t="str">
        <f t="shared" si="95"/>
        <v>#NUM!</v>
      </c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3">
        <v>89.0</v>
      </c>
      <c r="R102" s="17">
        <f t="shared" si="2"/>
        <v>44834</v>
      </c>
      <c r="S102" s="41" t="str">
        <f t="shared" si="3"/>
        <v>#NUM!</v>
      </c>
      <c r="T102" s="40">
        <f t="shared" si="4"/>
        <v>706.6954536</v>
      </c>
      <c r="U102" s="41" t="str">
        <f t="shared" si="5"/>
        <v>#NUM!</v>
      </c>
      <c r="V102" s="41" t="str">
        <f t="shared" si="6"/>
        <v>#NUM!</v>
      </c>
      <c r="W102" s="41" t="str">
        <f t="shared" si="7"/>
        <v>#NUM!</v>
      </c>
      <c r="X102" s="42" t="str">
        <f t="shared" si="8"/>
        <v>#NUM!</v>
      </c>
      <c r="Y102" s="41" t="str">
        <f t="shared" ref="Y102:Z102" si="96">U102+Y101</f>
        <v>#NUM!</v>
      </c>
      <c r="Z102" s="41" t="str">
        <f t="shared" si="96"/>
        <v>#NUM!</v>
      </c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3">
        <v>90.0</v>
      </c>
      <c r="R103" s="17">
        <f t="shared" si="2"/>
        <v>44849</v>
      </c>
      <c r="S103" s="41" t="str">
        <f t="shared" si="3"/>
        <v>#NUM!</v>
      </c>
      <c r="T103" s="40">
        <f t="shared" si="4"/>
        <v>706.6954536</v>
      </c>
      <c r="U103" s="41" t="str">
        <f t="shared" si="5"/>
        <v>#NUM!</v>
      </c>
      <c r="V103" s="41" t="str">
        <f t="shared" si="6"/>
        <v>#NUM!</v>
      </c>
      <c r="W103" s="41" t="str">
        <f t="shared" si="7"/>
        <v>#NUM!</v>
      </c>
      <c r="X103" s="42" t="str">
        <f t="shared" si="8"/>
        <v>#NUM!</v>
      </c>
      <c r="Y103" s="41" t="str">
        <f t="shared" ref="Y103:Z103" si="97">U103+Y102</f>
        <v>#NUM!</v>
      </c>
      <c r="Z103" s="41" t="str">
        <f t="shared" si="97"/>
        <v>#NUM!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3">
        <v>91.0</v>
      </c>
      <c r="R104" s="17">
        <f t="shared" si="2"/>
        <v>44865</v>
      </c>
      <c r="S104" s="41" t="str">
        <f t="shared" si="3"/>
        <v>#NUM!</v>
      </c>
      <c r="T104" s="40">
        <f t="shared" si="4"/>
        <v>706.6954536</v>
      </c>
      <c r="U104" s="41" t="str">
        <f t="shared" si="5"/>
        <v>#NUM!</v>
      </c>
      <c r="V104" s="41" t="str">
        <f t="shared" si="6"/>
        <v>#NUM!</v>
      </c>
      <c r="W104" s="41" t="str">
        <f t="shared" si="7"/>
        <v>#NUM!</v>
      </c>
      <c r="X104" s="42" t="str">
        <f t="shared" si="8"/>
        <v>#NUM!</v>
      </c>
      <c r="Y104" s="41" t="str">
        <f t="shared" ref="Y104:Z104" si="98">U104+Y103</f>
        <v>#NUM!</v>
      </c>
      <c r="Z104" s="41" t="str">
        <f t="shared" si="98"/>
        <v>#NUM!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3">
        <v>92.0</v>
      </c>
      <c r="R105" s="17">
        <f t="shared" si="2"/>
        <v>44880</v>
      </c>
      <c r="S105" s="41" t="str">
        <f t="shared" si="3"/>
        <v>#NUM!</v>
      </c>
      <c r="T105" s="40">
        <f t="shared" si="4"/>
        <v>706.6954536</v>
      </c>
      <c r="U105" s="41" t="str">
        <f t="shared" si="5"/>
        <v>#NUM!</v>
      </c>
      <c r="V105" s="41" t="str">
        <f t="shared" si="6"/>
        <v>#NUM!</v>
      </c>
      <c r="W105" s="41" t="str">
        <f t="shared" si="7"/>
        <v>#NUM!</v>
      </c>
      <c r="X105" s="42" t="str">
        <f t="shared" si="8"/>
        <v>#NUM!</v>
      </c>
      <c r="Y105" s="41" t="str">
        <f t="shared" ref="Y105:Z105" si="99">U105+Y104</f>
        <v>#NUM!</v>
      </c>
      <c r="Z105" s="41" t="str">
        <f t="shared" si="99"/>
        <v>#NUM!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3">
        <v>93.0</v>
      </c>
      <c r="R106" s="17">
        <f t="shared" si="2"/>
        <v>44895</v>
      </c>
      <c r="S106" s="41" t="str">
        <f t="shared" si="3"/>
        <v>#NUM!</v>
      </c>
      <c r="T106" s="40">
        <f t="shared" si="4"/>
        <v>706.6954536</v>
      </c>
      <c r="U106" s="41" t="str">
        <f t="shared" si="5"/>
        <v>#NUM!</v>
      </c>
      <c r="V106" s="41" t="str">
        <f t="shared" si="6"/>
        <v>#NUM!</v>
      </c>
      <c r="W106" s="41" t="str">
        <f t="shared" si="7"/>
        <v>#NUM!</v>
      </c>
      <c r="X106" s="42" t="str">
        <f t="shared" si="8"/>
        <v>#NUM!</v>
      </c>
      <c r="Y106" s="41" t="str">
        <f t="shared" ref="Y106:Z106" si="100">U106+Y105</f>
        <v>#NUM!</v>
      </c>
      <c r="Z106" s="41" t="str">
        <f t="shared" si="100"/>
        <v>#NUM!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3">
        <v>94.0</v>
      </c>
      <c r="R107" s="17">
        <f t="shared" si="2"/>
        <v>44910</v>
      </c>
      <c r="S107" s="41" t="str">
        <f t="shared" si="3"/>
        <v>#NUM!</v>
      </c>
      <c r="T107" s="40">
        <f t="shared" si="4"/>
        <v>706.6954536</v>
      </c>
      <c r="U107" s="41" t="str">
        <f t="shared" si="5"/>
        <v>#NUM!</v>
      </c>
      <c r="V107" s="41" t="str">
        <f t="shared" si="6"/>
        <v>#NUM!</v>
      </c>
      <c r="W107" s="41" t="str">
        <f t="shared" si="7"/>
        <v>#NUM!</v>
      </c>
      <c r="X107" s="42" t="str">
        <f t="shared" si="8"/>
        <v>#NUM!</v>
      </c>
      <c r="Y107" s="41" t="str">
        <f t="shared" ref="Y107:Z107" si="101">U107+Y106</f>
        <v>#NUM!</v>
      </c>
      <c r="Z107" s="41" t="str">
        <f t="shared" si="101"/>
        <v>#NUM!</v>
      </c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3">
        <v>95.0</v>
      </c>
      <c r="R108" s="17">
        <f t="shared" si="2"/>
        <v>44926</v>
      </c>
      <c r="S108" s="41" t="str">
        <f t="shared" si="3"/>
        <v>#NUM!</v>
      </c>
      <c r="T108" s="40">
        <f t="shared" si="4"/>
        <v>706.6954536</v>
      </c>
      <c r="U108" s="41" t="str">
        <f t="shared" si="5"/>
        <v>#NUM!</v>
      </c>
      <c r="V108" s="41" t="str">
        <f t="shared" si="6"/>
        <v>#NUM!</v>
      </c>
      <c r="W108" s="41" t="str">
        <f t="shared" si="7"/>
        <v>#NUM!</v>
      </c>
      <c r="X108" s="42" t="str">
        <f t="shared" si="8"/>
        <v>#NUM!</v>
      </c>
      <c r="Y108" s="41" t="str">
        <f t="shared" ref="Y108:Z108" si="102">U108+Y107</f>
        <v>#NUM!</v>
      </c>
      <c r="Z108" s="41" t="str">
        <f t="shared" si="102"/>
        <v>#NUM!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3">
        <v>96.0</v>
      </c>
      <c r="R109" s="17">
        <f t="shared" si="2"/>
        <v>44941</v>
      </c>
      <c r="S109" s="41" t="str">
        <f t="shared" si="3"/>
        <v>#NUM!</v>
      </c>
      <c r="T109" s="40">
        <f t="shared" si="4"/>
        <v>706.6954536</v>
      </c>
      <c r="U109" s="41" t="str">
        <f t="shared" si="5"/>
        <v>#NUM!</v>
      </c>
      <c r="V109" s="41" t="str">
        <f t="shared" si="6"/>
        <v>#NUM!</v>
      </c>
      <c r="W109" s="41" t="str">
        <f t="shared" si="7"/>
        <v>#NUM!</v>
      </c>
      <c r="X109" s="42" t="str">
        <f t="shared" si="8"/>
        <v>#NUM!</v>
      </c>
      <c r="Y109" s="41" t="str">
        <f t="shared" ref="Y109:Z109" si="103">U109+Y108</f>
        <v>#NUM!</v>
      </c>
      <c r="Z109" s="41" t="str">
        <f t="shared" si="103"/>
        <v>#NUM!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3">
        <v>97.0</v>
      </c>
      <c r="R110" s="17">
        <f t="shared" si="2"/>
        <v>44957</v>
      </c>
      <c r="S110" s="41" t="str">
        <f t="shared" si="3"/>
        <v>#NUM!</v>
      </c>
      <c r="T110" s="40">
        <f t="shared" si="4"/>
        <v>706.6954536</v>
      </c>
      <c r="U110" s="41" t="str">
        <f t="shared" si="5"/>
        <v>#NUM!</v>
      </c>
      <c r="V110" s="41" t="str">
        <f t="shared" si="6"/>
        <v>#NUM!</v>
      </c>
      <c r="W110" s="41" t="str">
        <f t="shared" si="7"/>
        <v>#NUM!</v>
      </c>
      <c r="X110" s="42" t="str">
        <f t="shared" si="8"/>
        <v>#NUM!</v>
      </c>
      <c r="Y110" s="41" t="str">
        <f t="shared" ref="Y110:Z110" si="104">U110+Y109</f>
        <v>#NUM!</v>
      </c>
      <c r="Z110" s="41" t="str">
        <f t="shared" si="104"/>
        <v>#NUM!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3">
        <v>98.0</v>
      </c>
      <c r="R111" s="17">
        <f t="shared" si="2"/>
        <v>44972</v>
      </c>
      <c r="S111" s="41" t="str">
        <f t="shared" si="3"/>
        <v>#NUM!</v>
      </c>
      <c r="T111" s="40">
        <f t="shared" si="4"/>
        <v>706.6954536</v>
      </c>
      <c r="U111" s="41" t="str">
        <f t="shared" si="5"/>
        <v>#NUM!</v>
      </c>
      <c r="V111" s="41" t="str">
        <f t="shared" si="6"/>
        <v>#NUM!</v>
      </c>
      <c r="W111" s="41" t="str">
        <f t="shared" si="7"/>
        <v>#NUM!</v>
      </c>
      <c r="X111" s="42" t="str">
        <f t="shared" si="8"/>
        <v>#NUM!</v>
      </c>
      <c r="Y111" s="41" t="str">
        <f t="shared" ref="Y111:Z111" si="105">U111+Y110</f>
        <v>#NUM!</v>
      </c>
      <c r="Z111" s="41" t="str">
        <f t="shared" si="105"/>
        <v>#NUM!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3">
        <v>99.0</v>
      </c>
      <c r="R112" s="17">
        <f t="shared" si="2"/>
        <v>44985</v>
      </c>
      <c r="S112" s="41" t="str">
        <f t="shared" si="3"/>
        <v>#NUM!</v>
      </c>
      <c r="T112" s="40">
        <f t="shared" si="4"/>
        <v>706.6954536</v>
      </c>
      <c r="U112" s="41" t="str">
        <f t="shared" si="5"/>
        <v>#NUM!</v>
      </c>
      <c r="V112" s="41" t="str">
        <f t="shared" si="6"/>
        <v>#NUM!</v>
      </c>
      <c r="W112" s="41" t="str">
        <f t="shared" si="7"/>
        <v>#NUM!</v>
      </c>
      <c r="X112" s="42" t="str">
        <f t="shared" si="8"/>
        <v>#NUM!</v>
      </c>
      <c r="Y112" s="41" t="str">
        <f t="shared" ref="Y112:Z112" si="106">U112+Y111</f>
        <v>#NUM!</v>
      </c>
      <c r="Z112" s="41" t="str">
        <f t="shared" si="106"/>
        <v>#NUM!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3">
        <v>100.0</v>
      </c>
      <c r="R113" s="17">
        <f t="shared" si="2"/>
        <v>45000</v>
      </c>
      <c r="S113" s="41" t="str">
        <f t="shared" si="3"/>
        <v>#NUM!</v>
      </c>
      <c r="T113" s="40">
        <f t="shared" si="4"/>
        <v>706.6954536</v>
      </c>
      <c r="U113" s="41" t="str">
        <f t="shared" si="5"/>
        <v>#NUM!</v>
      </c>
      <c r="V113" s="41" t="str">
        <f t="shared" si="6"/>
        <v>#NUM!</v>
      </c>
      <c r="W113" s="41" t="str">
        <f t="shared" si="7"/>
        <v>#NUM!</v>
      </c>
      <c r="X113" s="42" t="str">
        <f t="shared" si="8"/>
        <v>#NUM!</v>
      </c>
      <c r="Y113" s="41" t="str">
        <f t="shared" ref="Y113:Z113" si="107">U113+Y112</f>
        <v>#NUM!</v>
      </c>
      <c r="Z113" s="41" t="str">
        <f t="shared" si="107"/>
        <v>#NUM!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3">
        <v>101.0</v>
      </c>
      <c r="R114" s="17">
        <f t="shared" si="2"/>
        <v>45016</v>
      </c>
      <c r="S114" s="41" t="str">
        <f t="shared" si="3"/>
        <v>#NUM!</v>
      </c>
      <c r="T114" s="40">
        <f t="shared" si="4"/>
        <v>706.6954536</v>
      </c>
      <c r="U114" s="41" t="str">
        <f t="shared" si="5"/>
        <v>#NUM!</v>
      </c>
      <c r="V114" s="41" t="str">
        <f t="shared" si="6"/>
        <v>#NUM!</v>
      </c>
      <c r="W114" s="41" t="str">
        <f t="shared" si="7"/>
        <v>#NUM!</v>
      </c>
      <c r="X114" s="42" t="str">
        <f t="shared" si="8"/>
        <v>#NUM!</v>
      </c>
      <c r="Y114" s="41" t="str">
        <f t="shared" ref="Y114:Z114" si="108">U114+Y113</f>
        <v>#NUM!</v>
      </c>
      <c r="Z114" s="41" t="str">
        <f t="shared" si="108"/>
        <v>#NUM!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3">
        <v>102.0</v>
      </c>
      <c r="R115" s="17">
        <f t="shared" si="2"/>
        <v>45031</v>
      </c>
      <c r="S115" s="41" t="str">
        <f t="shared" si="3"/>
        <v>#NUM!</v>
      </c>
      <c r="T115" s="40">
        <f t="shared" si="4"/>
        <v>706.6954536</v>
      </c>
      <c r="U115" s="41" t="str">
        <f t="shared" si="5"/>
        <v>#NUM!</v>
      </c>
      <c r="V115" s="41" t="str">
        <f t="shared" si="6"/>
        <v>#NUM!</v>
      </c>
      <c r="W115" s="41" t="str">
        <f t="shared" si="7"/>
        <v>#NUM!</v>
      </c>
      <c r="X115" s="42" t="str">
        <f t="shared" si="8"/>
        <v>#NUM!</v>
      </c>
      <c r="Y115" s="41" t="str">
        <f t="shared" ref="Y115:Z115" si="109">U115+Y114</f>
        <v>#NUM!</v>
      </c>
      <c r="Z115" s="41" t="str">
        <f t="shared" si="109"/>
        <v>#NUM!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3">
        <v>103.0</v>
      </c>
      <c r="R116" s="17">
        <f t="shared" si="2"/>
        <v>45046</v>
      </c>
      <c r="S116" s="41" t="str">
        <f t="shared" si="3"/>
        <v>#NUM!</v>
      </c>
      <c r="T116" s="40">
        <f t="shared" si="4"/>
        <v>706.6954536</v>
      </c>
      <c r="U116" s="41" t="str">
        <f t="shared" si="5"/>
        <v>#NUM!</v>
      </c>
      <c r="V116" s="41" t="str">
        <f t="shared" si="6"/>
        <v>#NUM!</v>
      </c>
      <c r="W116" s="41" t="str">
        <f t="shared" si="7"/>
        <v>#NUM!</v>
      </c>
      <c r="X116" s="42" t="str">
        <f t="shared" si="8"/>
        <v>#NUM!</v>
      </c>
      <c r="Y116" s="41" t="str">
        <f t="shared" ref="Y116:Z116" si="110">U116+Y115</f>
        <v>#NUM!</v>
      </c>
      <c r="Z116" s="41" t="str">
        <f t="shared" si="110"/>
        <v>#NUM!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3">
        <v>104.0</v>
      </c>
      <c r="R117" s="17">
        <f t="shared" si="2"/>
        <v>45061</v>
      </c>
      <c r="S117" s="41" t="str">
        <f t="shared" si="3"/>
        <v>#NUM!</v>
      </c>
      <c r="T117" s="40">
        <f t="shared" si="4"/>
        <v>706.6954536</v>
      </c>
      <c r="U117" s="41" t="str">
        <f t="shared" si="5"/>
        <v>#NUM!</v>
      </c>
      <c r="V117" s="41" t="str">
        <f t="shared" si="6"/>
        <v>#NUM!</v>
      </c>
      <c r="W117" s="41" t="str">
        <f t="shared" si="7"/>
        <v>#NUM!</v>
      </c>
      <c r="X117" s="42" t="str">
        <f t="shared" si="8"/>
        <v>#NUM!</v>
      </c>
      <c r="Y117" s="41" t="str">
        <f t="shared" ref="Y117:Z117" si="111">U117+Y116</f>
        <v>#NUM!</v>
      </c>
      <c r="Z117" s="41" t="str">
        <f t="shared" si="111"/>
        <v>#NUM!</v>
      </c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3">
        <v>105.0</v>
      </c>
      <c r="R118" s="17">
        <f t="shared" si="2"/>
        <v>45077</v>
      </c>
      <c r="S118" s="41" t="str">
        <f t="shared" si="3"/>
        <v>#NUM!</v>
      </c>
      <c r="T118" s="40">
        <f t="shared" si="4"/>
        <v>706.6954536</v>
      </c>
      <c r="U118" s="41" t="str">
        <f t="shared" si="5"/>
        <v>#NUM!</v>
      </c>
      <c r="V118" s="41" t="str">
        <f t="shared" si="6"/>
        <v>#NUM!</v>
      </c>
      <c r="W118" s="41" t="str">
        <f t="shared" si="7"/>
        <v>#NUM!</v>
      </c>
      <c r="X118" s="42" t="str">
        <f t="shared" si="8"/>
        <v>#NUM!</v>
      </c>
      <c r="Y118" s="41" t="str">
        <f t="shared" ref="Y118:Z118" si="112">U118+Y117</f>
        <v>#NUM!</v>
      </c>
      <c r="Z118" s="41" t="str">
        <f t="shared" si="112"/>
        <v>#NUM!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3">
        <v>106.0</v>
      </c>
      <c r="R119" s="17">
        <f t="shared" si="2"/>
        <v>45092</v>
      </c>
      <c r="S119" s="41" t="str">
        <f t="shared" si="3"/>
        <v>#NUM!</v>
      </c>
      <c r="T119" s="40">
        <f t="shared" si="4"/>
        <v>706.6954536</v>
      </c>
      <c r="U119" s="41" t="str">
        <f t="shared" si="5"/>
        <v>#NUM!</v>
      </c>
      <c r="V119" s="41" t="str">
        <f t="shared" si="6"/>
        <v>#NUM!</v>
      </c>
      <c r="W119" s="41" t="str">
        <f t="shared" si="7"/>
        <v>#NUM!</v>
      </c>
      <c r="X119" s="42" t="str">
        <f t="shared" si="8"/>
        <v>#NUM!</v>
      </c>
      <c r="Y119" s="41" t="str">
        <f t="shared" ref="Y119:Z119" si="113">U119+Y118</f>
        <v>#NUM!</v>
      </c>
      <c r="Z119" s="41" t="str">
        <f t="shared" si="113"/>
        <v>#NUM!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3">
        <v>107.0</v>
      </c>
      <c r="R120" s="17">
        <f t="shared" si="2"/>
        <v>45107</v>
      </c>
      <c r="S120" s="41" t="str">
        <f t="shared" si="3"/>
        <v>#NUM!</v>
      </c>
      <c r="T120" s="40">
        <f t="shared" si="4"/>
        <v>706.6954536</v>
      </c>
      <c r="U120" s="41" t="str">
        <f t="shared" si="5"/>
        <v>#NUM!</v>
      </c>
      <c r="V120" s="41" t="str">
        <f t="shared" si="6"/>
        <v>#NUM!</v>
      </c>
      <c r="W120" s="41" t="str">
        <f t="shared" si="7"/>
        <v>#NUM!</v>
      </c>
      <c r="X120" s="42" t="str">
        <f t="shared" si="8"/>
        <v>#NUM!</v>
      </c>
      <c r="Y120" s="41" t="str">
        <f t="shared" ref="Y120:Z120" si="114">U120+Y119</f>
        <v>#NUM!</v>
      </c>
      <c r="Z120" s="41" t="str">
        <f t="shared" si="114"/>
        <v>#NUM!</v>
      </c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3">
        <v>108.0</v>
      </c>
      <c r="R121" s="17">
        <f t="shared" si="2"/>
        <v>45122</v>
      </c>
      <c r="S121" s="41" t="str">
        <f t="shared" si="3"/>
        <v>#NUM!</v>
      </c>
      <c r="T121" s="40">
        <f t="shared" si="4"/>
        <v>706.6954536</v>
      </c>
      <c r="U121" s="41" t="str">
        <f t="shared" si="5"/>
        <v>#NUM!</v>
      </c>
      <c r="V121" s="41" t="str">
        <f t="shared" si="6"/>
        <v>#NUM!</v>
      </c>
      <c r="W121" s="41" t="str">
        <f t="shared" si="7"/>
        <v>#NUM!</v>
      </c>
      <c r="X121" s="42" t="str">
        <f t="shared" si="8"/>
        <v>#NUM!</v>
      </c>
      <c r="Y121" s="41" t="str">
        <f t="shared" ref="Y121:Z121" si="115">U121+Y120</f>
        <v>#NUM!</v>
      </c>
      <c r="Z121" s="41" t="str">
        <f t="shared" si="115"/>
        <v>#NUM!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3">
        <v>109.0</v>
      </c>
      <c r="R122" s="17">
        <f t="shared" si="2"/>
        <v>45138</v>
      </c>
      <c r="S122" s="41" t="str">
        <f t="shared" si="3"/>
        <v>#NUM!</v>
      </c>
      <c r="T122" s="40">
        <f t="shared" si="4"/>
        <v>706.6954536</v>
      </c>
      <c r="U122" s="41" t="str">
        <f t="shared" si="5"/>
        <v>#NUM!</v>
      </c>
      <c r="V122" s="41" t="str">
        <f t="shared" si="6"/>
        <v>#NUM!</v>
      </c>
      <c r="W122" s="41" t="str">
        <f t="shared" si="7"/>
        <v>#NUM!</v>
      </c>
      <c r="X122" s="42" t="str">
        <f t="shared" si="8"/>
        <v>#NUM!</v>
      </c>
      <c r="Y122" s="41" t="str">
        <f t="shared" ref="Y122:Z122" si="116">U122+Y121</f>
        <v>#NUM!</v>
      </c>
      <c r="Z122" s="41" t="str">
        <f t="shared" si="116"/>
        <v>#NUM!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3">
        <v>110.0</v>
      </c>
      <c r="R123" s="17">
        <f t="shared" si="2"/>
        <v>45153</v>
      </c>
      <c r="S123" s="41" t="str">
        <f t="shared" si="3"/>
        <v>#NUM!</v>
      </c>
      <c r="T123" s="40">
        <f t="shared" si="4"/>
        <v>706.6954536</v>
      </c>
      <c r="U123" s="41" t="str">
        <f t="shared" si="5"/>
        <v>#NUM!</v>
      </c>
      <c r="V123" s="41" t="str">
        <f t="shared" si="6"/>
        <v>#NUM!</v>
      </c>
      <c r="W123" s="41" t="str">
        <f t="shared" si="7"/>
        <v>#NUM!</v>
      </c>
      <c r="X123" s="42" t="str">
        <f t="shared" si="8"/>
        <v>#NUM!</v>
      </c>
      <c r="Y123" s="41" t="str">
        <f t="shared" ref="Y123:Z123" si="117">U123+Y122</f>
        <v>#NUM!</v>
      </c>
      <c r="Z123" s="41" t="str">
        <f t="shared" si="117"/>
        <v>#NUM!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3">
        <v>111.0</v>
      </c>
      <c r="R124" s="17">
        <f t="shared" si="2"/>
        <v>45169</v>
      </c>
      <c r="S124" s="41" t="str">
        <f t="shared" si="3"/>
        <v>#NUM!</v>
      </c>
      <c r="T124" s="40">
        <f t="shared" si="4"/>
        <v>706.6954536</v>
      </c>
      <c r="U124" s="41" t="str">
        <f t="shared" si="5"/>
        <v>#NUM!</v>
      </c>
      <c r="V124" s="41" t="str">
        <f t="shared" si="6"/>
        <v>#NUM!</v>
      </c>
      <c r="W124" s="41" t="str">
        <f t="shared" si="7"/>
        <v>#NUM!</v>
      </c>
      <c r="X124" s="42" t="str">
        <f t="shared" si="8"/>
        <v>#NUM!</v>
      </c>
      <c r="Y124" s="41" t="str">
        <f t="shared" ref="Y124:Z124" si="118">U124+Y123</f>
        <v>#NUM!</v>
      </c>
      <c r="Z124" s="41" t="str">
        <f t="shared" si="118"/>
        <v>#NUM!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3">
        <v>112.0</v>
      </c>
      <c r="R125" s="17">
        <f t="shared" si="2"/>
        <v>45184</v>
      </c>
      <c r="S125" s="41" t="str">
        <f t="shared" si="3"/>
        <v>#NUM!</v>
      </c>
      <c r="T125" s="40">
        <f t="shared" si="4"/>
        <v>706.6954536</v>
      </c>
      <c r="U125" s="41" t="str">
        <f t="shared" si="5"/>
        <v>#NUM!</v>
      </c>
      <c r="V125" s="41" t="str">
        <f t="shared" si="6"/>
        <v>#NUM!</v>
      </c>
      <c r="W125" s="41" t="str">
        <f t="shared" si="7"/>
        <v>#NUM!</v>
      </c>
      <c r="X125" s="42" t="str">
        <f t="shared" si="8"/>
        <v>#NUM!</v>
      </c>
      <c r="Y125" s="41" t="str">
        <f t="shared" ref="Y125:Z125" si="119">U125+Y124</f>
        <v>#NUM!</v>
      </c>
      <c r="Z125" s="41" t="str">
        <f t="shared" si="119"/>
        <v>#NUM!</v>
      </c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3">
        <v>113.0</v>
      </c>
      <c r="R126" s="17">
        <f t="shared" si="2"/>
        <v>45199</v>
      </c>
      <c r="S126" s="41" t="str">
        <f t="shared" si="3"/>
        <v>#NUM!</v>
      </c>
      <c r="T126" s="40">
        <f t="shared" si="4"/>
        <v>706.6954536</v>
      </c>
      <c r="U126" s="41" t="str">
        <f t="shared" si="5"/>
        <v>#NUM!</v>
      </c>
      <c r="V126" s="41" t="str">
        <f t="shared" si="6"/>
        <v>#NUM!</v>
      </c>
      <c r="W126" s="41" t="str">
        <f t="shared" si="7"/>
        <v>#NUM!</v>
      </c>
      <c r="X126" s="42" t="str">
        <f t="shared" si="8"/>
        <v>#NUM!</v>
      </c>
      <c r="Y126" s="41" t="str">
        <f t="shared" ref="Y126:Z126" si="120">U126+Y125</f>
        <v>#NUM!</v>
      </c>
      <c r="Z126" s="41" t="str">
        <f t="shared" si="120"/>
        <v>#NUM!</v>
      </c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3">
        <v>114.0</v>
      </c>
      <c r="R127" s="17">
        <f t="shared" si="2"/>
        <v>45214</v>
      </c>
      <c r="S127" s="41" t="str">
        <f t="shared" si="3"/>
        <v>#NUM!</v>
      </c>
      <c r="T127" s="40">
        <f t="shared" si="4"/>
        <v>706.6954536</v>
      </c>
      <c r="U127" s="41" t="str">
        <f t="shared" si="5"/>
        <v>#NUM!</v>
      </c>
      <c r="V127" s="41" t="str">
        <f t="shared" si="6"/>
        <v>#NUM!</v>
      </c>
      <c r="W127" s="41" t="str">
        <f t="shared" si="7"/>
        <v>#NUM!</v>
      </c>
      <c r="X127" s="42" t="str">
        <f t="shared" si="8"/>
        <v>#NUM!</v>
      </c>
      <c r="Y127" s="41" t="str">
        <f t="shared" ref="Y127:Z127" si="121">U127+Y126</f>
        <v>#NUM!</v>
      </c>
      <c r="Z127" s="41" t="str">
        <f t="shared" si="121"/>
        <v>#NUM!</v>
      </c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3">
        <v>115.0</v>
      </c>
      <c r="R128" s="17">
        <f t="shared" si="2"/>
        <v>45230</v>
      </c>
      <c r="S128" s="41" t="str">
        <f t="shared" si="3"/>
        <v>#NUM!</v>
      </c>
      <c r="T128" s="40">
        <f t="shared" si="4"/>
        <v>706.6954536</v>
      </c>
      <c r="U128" s="41" t="str">
        <f t="shared" si="5"/>
        <v>#NUM!</v>
      </c>
      <c r="V128" s="41" t="str">
        <f t="shared" si="6"/>
        <v>#NUM!</v>
      </c>
      <c r="W128" s="41" t="str">
        <f t="shared" si="7"/>
        <v>#NUM!</v>
      </c>
      <c r="X128" s="42" t="str">
        <f t="shared" si="8"/>
        <v>#NUM!</v>
      </c>
      <c r="Y128" s="41" t="str">
        <f t="shared" ref="Y128:Z128" si="122">U128+Y127</f>
        <v>#NUM!</v>
      </c>
      <c r="Z128" s="41" t="str">
        <f t="shared" si="122"/>
        <v>#NUM!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3">
        <v>116.0</v>
      </c>
      <c r="R129" s="17">
        <f t="shared" si="2"/>
        <v>45245</v>
      </c>
      <c r="S129" s="41" t="str">
        <f t="shared" si="3"/>
        <v>#NUM!</v>
      </c>
      <c r="T129" s="40">
        <f t="shared" si="4"/>
        <v>706.6954536</v>
      </c>
      <c r="U129" s="41" t="str">
        <f t="shared" si="5"/>
        <v>#NUM!</v>
      </c>
      <c r="V129" s="41" t="str">
        <f t="shared" si="6"/>
        <v>#NUM!</v>
      </c>
      <c r="W129" s="41" t="str">
        <f t="shared" si="7"/>
        <v>#NUM!</v>
      </c>
      <c r="X129" s="42" t="str">
        <f t="shared" si="8"/>
        <v>#NUM!</v>
      </c>
      <c r="Y129" s="41" t="str">
        <f t="shared" ref="Y129:Z129" si="123">U129+Y128</f>
        <v>#NUM!</v>
      </c>
      <c r="Z129" s="41" t="str">
        <f t="shared" si="123"/>
        <v>#NUM!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3">
        <v>117.0</v>
      </c>
      <c r="R130" s="17">
        <f t="shared" si="2"/>
        <v>45260</v>
      </c>
      <c r="S130" s="41" t="str">
        <f t="shared" si="3"/>
        <v>#NUM!</v>
      </c>
      <c r="T130" s="40">
        <f t="shared" si="4"/>
        <v>706.6954536</v>
      </c>
      <c r="U130" s="41" t="str">
        <f t="shared" si="5"/>
        <v>#NUM!</v>
      </c>
      <c r="V130" s="41" t="str">
        <f t="shared" si="6"/>
        <v>#NUM!</v>
      </c>
      <c r="W130" s="41" t="str">
        <f t="shared" si="7"/>
        <v>#NUM!</v>
      </c>
      <c r="X130" s="42" t="str">
        <f t="shared" si="8"/>
        <v>#NUM!</v>
      </c>
      <c r="Y130" s="41" t="str">
        <f t="shared" ref="Y130:Z130" si="124">U130+Y129</f>
        <v>#NUM!</v>
      </c>
      <c r="Z130" s="41" t="str">
        <f t="shared" si="124"/>
        <v>#NUM!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3">
        <v>118.0</v>
      </c>
      <c r="R131" s="17">
        <f t="shared" si="2"/>
        <v>45275</v>
      </c>
      <c r="S131" s="41" t="str">
        <f t="shared" si="3"/>
        <v>#NUM!</v>
      </c>
      <c r="T131" s="40">
        <f t="shared" si="4"/>
        <v>706.6954536</v>
      </c>
      <c r="U131" s="41" t="str">
        <f t="shared" si="5"/>
        <v>#NUM!</v>
      </c>
      <c r="V131" s="41" t="str">
        <f t="shared" si="6"/>
        <v>#NUM!</v>
      </c>
      <c r="W131" s="41" t="str">
        <f t="shared" si="7"/>
        <v>#NUM!</v>
      </c>
      <c r="X131" s="42" t="str">
        <f t="shared" si="8"/>
        <v>#NUM!</v>
      </c>
      <c r="Y131" s="41" t="str">
        <f t="shared" ref="Y131:Z131" si="125">U131+Y130</f>
        <v>#NUM!</v>
      </c>
      <c r="Z131" s="41" t="str">
        <f t="shared" si="125"/>
        <v>#NUM!</v>
      </c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3">
        <v>119.0</v>
      </c>
      <c r="R132" s="17">
        <f t="shared" si="2"/>
        <v>45291</v>
      </c>
      <c r="S132" s="41" t="str">
        <f t="shared" si="3"/>
        <v>#NUM!</v>
      </c>
      <c r="T132" s="40">
        <f t="shared" si="4"/>
        <v>706.6954536</v>
      </c>
      <c r="U132" s="41" t="str">
        <f t="shared" si="5"/>
        <v>#NUM!</v>
      </c>
      <c r="V132" s="41" t="str">
        <f t="shared" si="6"/>
        <v>#NUM!</v>
      </c>
      <c r="W132" s="41" t="str">
        <f t="shared" si="7"/>
        <v>#NUM!</v>
      </c>
      <c r="X132" s="42" t="str">
        <f t="shared" si="8"/>
        <v>#NUM!</v>
      </c>
      <c r="Y132" s="41" t="str">
        <f t="shared" ref="Y132:Z132" si="126">U132+Y131</f>
        <v>#NUM!</v>
      </c>
      <c r="Z132" s="41" t="str">
        <f t="shared" si="126"/>
        <v>#NUM!</v>
      </c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3">
        <v>120.0</v>
      </c>
      <c r="R133" s="17">
        <f t="shared" si="2"/>
        <v>45306</v>
      </c>
      <c r="S133" s="41" t="str">
        <f t="shared" si="3"/>
        <v>#NUM!</v>
      </c>
      <c r="T133" s="40">
        <f t="shared" si="4"/>
        <v>706.6954536</v>
      </c>
      <c r="U133" s="41" t="str">
        <f t="shared" si="5"/>
        <v>#NUM!</v>
      </c>
      <c r="V133" s="41" t="str">
        <f t="shared" si="6"/>
        <v>#NUM!</v>
      </c>
      <c r="W133" s="41" t="str">
        <f t="shared" si="7"/>
        <v>#NUM!</v>
      </c>
      <c r="X133" s="42" t="str">
        <f t="shared" si="8"/>
        <v>#NUM!</v>
      </c>
      <c r="Y133" s="41" t="str">
        <f t="shared" ref="Y133:Z133" si="127">U133+Y132</f>
        <v>#NUM!</v>
      </c>
      <c r="Z133" s="41" t="str">
        <f t="shared" si="127"/>
        <v>#NUM!</v>
      </c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3">
        <v>121.0</v>
      </c>
      <c r="R134" s="17">
        <f t="shared" si="2"/>
        <v>45322</v>
      </c>
      <c r="S134" s="41" t="str">
        <f t="shared" si="3"/>
        <v>#NUM!</v>
      </c>
      <c r="T134" s="40">
        <f t="shared" si="4"/>
        <v>706.6954536</v>
      </c>
      <c r="U134" s="41" t="str">
        <f t="shared" si="5"/>
        <v>#NUM!</v>
      </c>
      <c r="V134" s="41" t="str">
        <f t="shared" si="6"/>
        <v>#NUM!</v>
      </c>
      <c r="W134" s="41" t="str">
        <f t="shared" si="7"/>
        <v>#NUM!</v>
      </c>
      <c r="X134" s="42" t="str">
        <f t="shared" si="8"/>
        <v>#NUM!</v>
      </c>
      <c r="Y134" s="41" t="str">
        <f t="shared" ref="Y134:Z134" si="128">U134+Y133</f>
        <v>#NUM!</v>
      </c>
      <c r="Z134" s="41" t="str">
        <f t="shared" si="128"/>
        <v>#NUM!</v>
      </c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3">
        <v>122.0</v>
      </c>
      <c r="R135" s="17">
        <f t="shared" si="2"/>
        <v>45337</v>
      </c>
      <c r="S135" s="41" t="str">
        <f t="shared" si="3"/>
        <v>#NUM!</v>
      </c>
      <c r="T135" s="40">
        <f t="shared" si="4"/>
        <v>706.6954536</v>
      </c>
      <c r="U135" s="41" t="str">
        <f t="shared" si="5"/>
        <v>#NUM!</v>
      </c>
      <c r="V135" s="41" t="str">
        <f t="shared" si="6"/>
        <v>#NUM!</v>
      </c>
      <c r="W135" s="41" t="str">
        <f t="shared" si="7"/>
        <v>#NUM!</v>
      </c>
      <c r="X135" s="42" t="str">
        <f t="shared" si="8"/>
        <v>#NUM!</v>
      </c>
      <c r="Y135" s="41" t="str">
        <f t="shared" ref="Y135:Z135" si="129">U135+Y134</f>
        <v>#NUM!</v>
      </c>
      <c r="Z135" s="41" t="str">
        <f t="shared" si="129"/>
        <v>#NUM!</v>
      </c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3">
        <v>123.0</v>
      </c>
      <c r="R136" s="17">
        <f t="shared" si="2"/>
        <v>45351</v>
      </c>
      <c r="S136" s="41" t="str">
        <f t="shared" si="3"/>
        <v>#NUM!</v>
      </c>
      <c r="T136" s="40">
        <f t="shared" si="4"/>
        <v>706.6954536</v>
      </c>
      <c r="U136" s="41" t="str">
        <f t="shared" si="5"/>
        <v>#NUM!</v>
      </c>
      <c r="V136" s="41" t="str">
        <f t="shared" si="6"/>
        <v>#NUM!</v>
      </c>
      <c r="W136" s="41" t="str">
        <f t="shared" si="7"/>
        <v>#NUM!</v>
      </c>
      <c r="X136" s="42" t="str">
        <f t="shared" si="8"/>
        <v>#NUM!</v>
      </c>
      <c r="Y136" s="41" t="str">
        <f t="shared" ref="Y136:Z136" si="130">U136+Y135</f>
        <v>#NUM!</v>
      </c>
      <c r="Z136" s="41" t="str">
        <f t="shared" si="130"/>
        <v>#NUM!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3">
        <v>124.0</v>
      </c>
      <c r="R137" s="17">
        <f t="shared" si="2"/>
        <v>45366</v>
      </c>
      <c r="S137" s="41" t="str">
        <f t="shared" si="3"/>
        <v>#NUM!</v>
      </c>
      <c r="T137" s="40">
        <f t="shared" si="4"/>
        <v>706.6954536</v>
      </c>
      <c r="U137" s="41" t="str">
        <f t="shared" si="5"/>
        <v>#NUM!</v>
      </c>
      <c r="V137" s="41" t="str">
        <f t="shared" si="6"/>
        <v>#NUM!</v>
      </c>
      <c r="W137" s="41" t="str">
        <f t="shared" si="7"/>
        <v>#NUM!</v>
      </c>
      <c r="X137" s="42" t="str">
        <f t="shared" si="8"/>
        <v>#NUM!</v>
      </c>
      <c r="Y137" s="41" t="str">
        <f t="shared" ref="Y137:Z137" si="131">U137+Y136</f>
        <v>#NUM!</v>
      </c>
      <c r="Z137" s="41" t="str">
        <f t="shared" si="131"/>
        <v>#NUM!</v>
      </c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3">
        <v>125.0</v>
      </c>
      <c r="R138" s="17">
        <f t="shared" si="2"/>
        <v>45382</v>
      </c>
      <c r="S138" s="41" t="str">
        <f t="shared" si="3"/>
        <v>#NUM!</v>
      </c>
      <c r="T138" s="40">
        <f t="shared" si="4"/>
        <v>706.6954536</v>
      </c>
      <c r="U138" s="41" t="str">
        <f t="shared" si="5"/>
        <v>#NUM!</v>
      </c>
      <c r="V138" s="41" t="str">
        <f t="shared" si="6"/>
        <v>#NUM!</v>
      </c>
      <c r="W138" s="41" t="str">
        <f t="shared" si="7"/>
        <v>#NUM!</v>
      </c>
      <c r="X138" s="42" t="str">
        <f t="shared" si="8"/>
        <v>#NUM!</v>
      </c>
      <c r="Y138" s="41" t="str">
        <f t="shared" ref="Y138:Z138" si="132">U138+Y137</f>
        <v>#NUM!</v>
      </c>
      <c r="Z138" s="41" t="str">
        <f t="shared" si="132"/>
        <v>#NUM!</v>
      </c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3">
        <v>126.0</v>
      </c>
      <c r="R139" s="17">
        <f t="shared" si="2"/>
        <v>45397</v>
      </c>
      <c r="S139" s="41" t="str">
        <f t="shared" si="3"/>
        <v>#NUM!</v>
      </c>
      <c r="T139" s="40">
        <f t="shared" si="4"/>
        <v>706.6954536</v>
      </c>
      <c r="U139" s="41" t="str">
        <f t="shared" si="5"/>
        <v>#NUM!</v>
      </c>
      <c r="V139" s="41" t="str">
        <f t="shared" si="6"/>
        <v>#NUM!</v>
      </c>
      <c r="W139" s="41" t="str">
        <f t="shared" si="7"/>
        <v>#NUM!</v>
      </c>
      <c r="X139" s="42" t="str">
        <f t="shared" si="8"/>
        <v>#NUM!</v>
      </c>
      <c r="Y139" s="41" t="str">
        <f t="shared" ref="Y139:Z139" si="133">U139+Y138</f>
        <v>#NUM!</v>
      </c>
      <c r="Z139" s="41" t="str">
        <f t="shared" si="133"/>
        <v>#NUM!</v>
      </c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3">
        <v>127.0</v>
      </c>
      <c r="R140" s="17">
        <f t="shared" si="2"/>
        <v>45412</v>
      </c>
      <c r="S140" s="41" t="str">
        <f t="shared" si="3"/>
        <v>#NUM!</v>
      </c>
      <c r="T140" s="40">
        <f t="shared" si="4"/>
        <v>706.6954536</v>
      </c>
      <c r="U140" s="41" t="str">
        <f t="shared" si="5"/>
        <v>#NUM!</v>
      </c>
      <c r="V140" s="41" t="str">
        <f t="shared" si="6"/>
        <v>#NUM!</v>
      </c>
      <c r="W140" s="41" t="str">
        <f t="shared" si="7"/>
        <v>#NUM!</v>
      </c>
      <c r="X140" s="42" t="str">
        <f t="shared" si="8"/>
        <v>#NUM!</v>
      </c>
      <c r="Y140" s="41" t="str">
        <f t="shared" ref="Y140:Z140" si="134">U140+Y139</f>
        <v>#NUM!</v>
      </c>
      <c r="Z140" s="41" t="str">
        <f t="shared" si="134"/>
        <v>#NUM!</v>
      </c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3">
        <v>128.0</v>
      </c>
      <c r="R141" s="17">
        <f t="shared" si="2"/>
        <v>45427</v>
      </c>
      <c r="S141" s="41" t="str">
        <f t="shared" si="3"/>
        <v>#NUM!</v>
      </c>
      <c r="T141" s="40">
        <f t="shared" si="4"/>
        <v>706.6954536</v>
      </c>
      <c r="U141" s="41" t="str">
        <f t="shared" si="5"/>
        <v>#NUM!</v>
      </c>
      <c r="V141" s="41" t="str">
        <f t="shared" si="6"/>
        <v>#NUM!</v>
      </c>
      <c r="W141" s="41" t="str">
        <f t="shared" si="7"/>
        <v>#NUM!</v>
      </c>
      <c r="X141" s="42" t="str">
        <f t="shared" si="8"/>
        <v>#NUM!</v>
      </c>
      <c r="Y141" s="41" t="str">
        <f t="shared" ref="Y141:Z141" si="135">U141+Y140</f>
        <v>#NUM!</v>
      </c>
      <c r="Z141" s="41" t="str">
        <f t="shared" si="135"/>
        <v>#NUM!</v>
      </c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3">
        <v>129.0</v>
      </c>
      <c r="R142" s="17">
        <f t="shared" si="2"/>
        <v>45443</v>
      </c>
      <c r="S142" s="41" t="str">
        <f t="shared" si="3"/>
        <v>#NUM!</v>
      </c>
      <c r="T142" s="40">
        <f t="shared" si="4"/>
        <v>706.6954536</v>
      </c>
      <c r="U142" s="41" t="str">
        <f t="shared" si="5"/>
        <v>#NUM!</v>
      </c>
      <c r="V142" s="41" t="str">
        <f t="shared" si="6"/>
        <v>#NUM!</v>
      </c>
      <c r="W142" s="41" t="str">
        <f t="shared" si="7"/>
        <v>#NUM!</v>
      </c>
      <c r="X142" s="42" t="str">
        <f t="shared" si="8"/>
        <v>#NUM!</v>
      </c>
      <c r="Y142" s="41" t="str">
        <f t="shared" ref="Y142:Z142" si="136">U142+Y141</f>
        <v>#NUM!</v>
      </c>
      <c r="Z142" s="41" t="str">
        <f t="shared" si="136"/>
        <v>#NUM!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3">
        <v>130.0</v>
      </c>
      <c r="R143" s="17">
        <f t="shared" si="2"/>
        <v>45458</v>
      </c>
      <c r="S143" s="41" t="str">
        <f t="shared" si="3"/>
        <v>#NUM!</v>
      </c>
      <c r="T143" s="40">
        <f t="shared" si="4"/>
        <v>706.6954536</v>
      </c>
      <c r="U143" s="41" t="str">
        <f t="shared" si="5"/>
        <v>#NUM!</v>
      </c>
      <c r="V143" s="41" t="str">
        <f t="shared" si="6"/>
        <v>#NUM!</v>
      </c>
      <c r="W143" s="41" t="str">
        <f t="shared" si="7"/>
        <v>#NUM!</v>
      </c>
      <c r="X143" s="42" t="str">
        <f t="shared" si="8"/>
        <v>#NUM!</v>
      </c>
      <c r="Y143" s="41" t="str">
        <f t="shared" ref="Y143:Z143" si="137">U143+Y142</f>
        <v>#NUM!</v>
      </c>
      <c r="Z143" s="41" t="str">
        <f t="shared" si="137"/>
        <v>#NUM!</v>
      </c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3">
        <v>131.0</v>
      </c>
      <c r="R144" s="17">
        <f t="shared" si="2"/>
        <v>45473</v>
      </c>
      <c r="S144" s="41" t="str">
        <f t="shared" si="3"/>
        <v>#NUM!</v>
      </c>
      <c r="T144" s="40">
        <f t="shared" si="4"/>
        <v>706.6954536</v>
      </c>
      <c r="U144" s="41" t="str">
        <f t="shared" si="5"/>
        <v>#NUM!</v>
      </c>
      <c r="V144" s="41" t="str">
        <f t="shared" si="6"/>
        <v>#NUM!</v>
      </c>
      <c r="W144" s="41" t="str">
        <f t="shared" si="7"/>
        <v>#NUM!</v>
      </c>
      <c r="X144" s="42" t="str">
        <f t="shared" si="8"/>
        <v>#NUM!</v>
      </c>
      <c r="Y144" s="41" t="str">
        <f t="shared" ref="Y144:Z144" si="138">U144+Y143</f>
        <v>#NUM!</v>
      </c>
      <c r="Z144" s="41" t="str">
        <f t="shared" si="138"/>
        <v>#NUM!</v>
      </c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3">
        <v>132.0</v>
      </c>
      <c r="R145" s="17">
        <f t="shared" si="2"/>
        <v>45488</v>
      </c>
      <c r="S145" s="41" t="str">
        <f t="shared" si="3"/>
        <v>#NUM!</v>
      </c>
      <c r="T145" s="40">
        <f t="shared" si="4"/>
        <v>706.6954536</v>
      </c>
      <c r="U145" s="41" t="str">
        <f t="shared" si="5"/>
        <v>#NUM!</v>
      </c>
      <c r="V145" s="41" t="str">
        <f t="shared" si="6"/>
        <v>#NUM!</v>
      </c>
      <c r="W145" s="41" t="str">
        <f t="shared" si="7"/>
        <v>#NUM!</v>
      </c>
      <c r="X145" s="42" t="str">
        <f t="shared" si="8"/>
        <v>#NUM!</v>
      </c>
      <c r="Y145" s="41" t="str">
        <f t="shared" ref="Y145:Z145" si="139">U145+Y144</f>
        <v>#NUM!</v>
      </c>
      <c r="Z145" s="41" t="str">
        <f t="shared" si="139"/>
        <v>#NUM!</v>
      </c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3">
        <v>133.0</v>
      </c>
      <c r="R146" s="17">
        <f t="shared" si="2"/>
        <v>45504</v>
      </c>
      <c r="S146" s="41" t="str">
        <f t="shared" si="3"/>
        <v>#NUM!</v>
      </c>
      <c r="T146" s="40">
        <f t="shared" si="4"/>
        <v>706.6954536</v>
      </c>
      <c r="U146" s="41" t="str">
        <f t="shared" si="5"/>
        <v>#NUM!</v>
      </c>
      <c r="V146" s="41" t="str">
        <f t="shared" si="6"/>
        <v>#NUM!</v>
      </c>
      <c r="W146" s="41" t="str">
        <f t="shared" si="7"/>
        <v>#NUM!</v>
      </c>
      <c r="X146" s="42" t="str">
        <f t="shared" si="8"/>
        <v>#NUM!</v>
      </c>
      <c r="Y146" s="41" t="str">
        <f t="shared" ref="Y146:Z146" si="140">U146+Y145</f>
        <v>#NUM!</v>
      </c>
      <c r="Z146" s="41" t="str">
        <f t="shared" si="140"/>
        <v>#NUM!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3">
        <v>134.0</v>
      </c>
      <c r="R147" s="17">
        <f t="shared" si="2"/>
        <v>45519</v>
      </c>
      <c r="S147" s="41" t="str">
        <f t="shared" si="3"/>
        <v>#NUM!</v>
      </c>
      <c r="T147" s="40">
        <f t="shared" si="4"/>
        <v>706.6954536</v>
      </c>
      <c r="U147" s="41" t="str">
        <f t="shared" si="5"/>
        <v>#NUM!</v>
      </c>
      <c r="V147" s="41" t="str">
        <f t="shared" si="6"/>
        <v>#NUM!</v>
      </c>
      <c r="W147" s="41" t="str">
        <f t="shared" si="7"/>
        <v>#NUM!</v>
      </c>
      <c r="X147" s="42" t="str">
        <f t="shared" si="8"/>
        <v>#NUM!</v>
      </c>
      <c r="Y147" s="41" t="str">
        <f t="shared" ref="Y147:Z147" si="141">U147+Y146</f>
        <v>#NUM!</v>
      </c>
      <c r="Z147" s="41" t="str">
        <f t="shared" si="141"/>
        <v>#NUM!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3">
        <v>135.0</v>
      </c>
      <c r="R148" s="17">
        <f t="shared" si="2"/>
        <v>45535</v>
      </c>
      <c r="S148" s="41" t="str">
        <f t="shared" si="3"/>
        <v>#NUM!</v>
      </c>
      <c r="T148" s="40">
        <f t="shared" si="4"/>
        <v>706.6954536</v>
      </c>
      <c r="U148" s="41" t="str">
        <f t="shared" si="5"/>
        <v>#NUM!</v>
      </c>
      <c r="V148" s="41" t="str">
        <f t="shared" si="6"/>
        <v>#NUM!</v>
      </c>
      <c r="W148" s="41" t="str">
        <f t="shared" si="7"/>
        <v>#NUM!</v>
      </c>
      <c r="X148" s="42" t="str">
        <f t="shared" si="8"/>
        <v>#NUM!</v>
      </c>
      <c r="Y148" s="41" t="str">
        <f t="shared" ref="Y148:Z148" si="142">U148+Y147</f>
        <v>#NUM!</v>
      </c>
      <c r="Z148" s="41" t="str">
        <f t="shared" si="142"/>
        <v>#NUM!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3">
        <v>136.0</v>
      </c>
      <c r="R149" s="17">
        <f t="shared" si="2"/>
        <v>45550</v>
      </c>
      <c r="S149" s="41" t="str">
        <f t="shared" si="3"/>
        <v>#NUM!</v>
      </c>
      <c r="T149" s="40">
        <f t="shared" si="4"/>
        <v>706.6954536</v>
      </c>
      <c r="U149" s="41" t="str">
        <f t="shared" si="5"/>
        <v>#NUM!</v>
      </c>
      <c r="V149" s="41" t="str">
        <f t="shared" si="6"/>
        <v>#NUM!</v>
      </c>
      <c r="W149" s="41" t="str">
        <f t="shared" si="7"/>
        <v>#NUM!</v>
      </c>
      <c r="X149" s="42" t="str">
        <f t="shared" si="8"/>
        <v>#NUM!</v>
      </c>
      <c r="Y149" s="41" t="str">
        <f t="shared" ref="Y149:Z149" si="143">U149+Y148</f>
        <v>#NUM!</v>
      </c>
      <c r="Z149" s="41" t="str">
        <f t="shared" si="143"/>
        <v>#NUM!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3">
        <v>137.0</v>
      </c>
      <c r="R150" s="17">
        <f t="shared" si="2"/>
        <v>45565</v>
      </c>
      <c r="S150" s="41" t="str">
        <f t="shared" si="3"/>
        <v>#NUM!</v>
      </c>
      <c r="T150" s="40">
        <f t="shared" si="4"/>
        <v>706.6954536</v>
      </c>
      <c r="U150" s="41" t="str">
        <f t="shared" si="5"/>
        <v>#NUM!</v>
      </c>
      <c r="V150" s="41" t="str">
        <f t="shared" si="6"/>
        <v>#NUM!</v>
      </c>
      <c r="W150" s="41" t="str">
        <f t="shared" si="7"/>
        <v>#NUM!</v>
      </c>
      <c r="X150" s="42" t="str">
        <f t="shared" si="8"/>
        <v>#NUM!</v>
      </c>
      <c r="Y150" s="41" t="str">
        <f t="shared" ref="Y150:Z150" si="144">U150+Y149</f>
        <v>#NUM!</v>
      </c>
      <c r="Z150" s="41" t="str">
        <f t="shared" si="144"/>
        <v>#NUM!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3">
        <v>138.0</v>
      </c>
      <c r="R151" s="17">
        <f t="shared" si="2"/>
        <v>45580</v>
      </c>
      <c r="S151" s="41" t="str">
        <f t="shared" si="3"/>
        <v>#NUM!</v>
      </c>
      <c r="T151" s="40">
        <f t="shared" si="4"/>
        <v>706.6954536</v>
      </c>
      <c r="U151" s="41" t="str">
        <f t="shared" si="5"/>
        <v>#NUM!</v>
      </c>
      <c r="V151" s="41" t="str">
        <f t="shared" si="6"/>
        <v>#NUM!</v>
      </c>
      <c r="W151" s="41" t="str">
        <f t="shared" si="7"/>
        <v>#NUM!</v>
      </c>
      <c r="X151" s="42" t="str">
        <f t="shared" si="8"/>
        <v>#NUM!</v>
      </c>
      <c r="Y151" s="41" t="str">
        <f t="shared" ref="Y151:Z151" si="145">U151+Y150</f>
        <v>#NUM!</v>
      </c>
      <c r="Z151" s="41" t="str">
        <f t="shared" si="145"/>
        <v>#NUM!</v>
      </c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3">
        <v>139.0</v>
      </c>
      <c r="R152" s="17">
        <f t="shared" si="2"/>
        <v>45596</v>
      </c>
      <c r="S152" s="41" t="str">
        <f t="shared" si="3"/>
        <v>#NUM!</v>
      </c>
      <c r="T152" s="40">
        <f t="shared" si="4"/>
        <v>706.6954536</v>
      </c>
      <c r="U152" s="41" t="str">
        <f t="shared" si="5"/>
        <v>#NUM!</v>
      </c>
      <c r="V152" s="41" t="str">
        <f t="shared" si="6"/>
        <v>#NUM!</v>
      </c>
      <c r="W152" s="41" t="str">
        <f t="shared" si="7"/>
        <v>#NUM!</v>
      </c>
      <c r="X152" s="42" t="str">
        <f t="shared" si="8"/>
        <v>#NUM!</v>
      </c>
      <c r="Y152" s="41" t="str">
        <f t="shared" ref="Y152:Z152" si="146">U152+Y151</f>
        <v>#NUM!</v>
      </c>
      <c r="Z152" s="41" t="str">
        <f t="shared" si="146"/>
        <v>#NUM!</v>
      </c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3">
        <v>140.0</v>
      </c>
      <c r="R153" s="17">
        <f t="shared" si="2"/>
        <v>45611</v>
      </c>
      <c r="S153" s="41" t="str">
        <f t="shared" si="3"/>
        <v>#NUM!</v>
      </c>
      <c r="T153" s="40">
        <f t="shared" si="4"/>
        <v>706.6954536</v>
      </c>
      <c r="U153" s="41" t="str">
        <f t="shared" si="5"/>
        <v>#NUM!</v>
      </c>
      <c r="V153" s="41" t="str">
        <f t="shared" si="6"/>
        <v>#NUM!</v>
      </c>
      <c r="W153" s="41" t="str">
        <f t="shared" si="7"/>
        <v>#NUM!</v>
      </c>
      <c r="X153" s="42" t="str">
        <f t="shared" si="8"/>
        <v>#NUM!</v>
      </c>
      <c r="Y153" s="41" t="str">
        <f t="shared" ref="Y153:Z153" si="147">U153+Y152</f>
        <v>#NUM!</v>
      </c>
      <c r="Z153" s="41" t="str">
        <f t="shared" si="147"/>
        <v>#NUM!</v>
      </c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3">
        <v>141.0</v>
      </c>
      <c r="R154" s="17">
        <f t="shared" si="2"/>
        <v>45626</v>
      </c>
      <c r="S154" s="41" t="str">
        <f t="shared" si="3"/>
        <v>#NUM!</v>
      </c>
      <c r="T154" s="40">
        <f t="shared" si="4"/>
        <v>706.6954536</v>
      </c>
      <c r="U154" s="41" t="str">
        <f t="shared" si="5"/>
        <v>#NUM!</v>
      </c>
      <c r="V154" s="41" t="str">
        <f t="shared" si="6"/>
        <v>#NUM!</v>
      </c>
      <c r="W154" s="41" t="str">
        <f t="shared" si="7"/>
        <v>#NUM!</v>
      </c>
      <c r="X154" s="42" t="str">
        <f t="shared" si="8"/>
        <v>#NUM!</v>
      </c>
      <c r="Y154" s="41" t="str">
        <f t="shared" ref="Y154:Z154" si="148">U154+Y153</f>
        <v>#NUM!</v>
      </c>
      <c r="Z154" s="41" t="str">
        <f t="shared" si="148"/>
        <v>#NUM!</v>
      </c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3">
        <v>142.0</v>
      </c>
      <c r="R155" s="17">
        <f t="shared" si="2"/>
        <v>45641</v>
      </c>
      <c r="S155" s="41" t="str">
        <f t="shared" si="3"/>
        <v>#NUM!</v>
      </c>
      <c r="T155" s="40">
        <f t="shared" si="4"/>
        <v>706.6954536</v>
      </c>
      <c r="U155" s="41" t="str">
        <f t="shared" si="5"/>
        <v>#NUM!</v>
      </c>
      <c r="V155" s="41" t="str">
        <f t="shared" si="6"/>
        <v>#NUM!</v>
      </c>
      <c r="W155" s="41" t="str">
        <f t="shared" si="7"/>
        <v>#NUM!</v>
      </c>
      <c r="X155" s="42" t="str">
        <f t="shared" si="8"/>
        <v>#NUM!</v>
      </c>
      <c r="Y155" s="41" t="str">
        <f t="shared" ref="Y155:Z155" si="149">U155+Y154</f>
        <v>#NUM!</v>
      </c>
      <c r="Z155" s="41" t="str">
        <f t="shared" si="149"/>
        <v>#NUM!</v>
      </c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3">
        <v>143.0</v>
      </c>
      <c r="R156" s="17">
        <f t="shared" si="2"/>
        <v>45657</v>
      </c>
      <c r="S156" s="41" t="str">
        <f t="shared" si="3"/>
        <v>#NUM!</v>
      </c>
      <c r="T156" s="40">
        <f t="shared" si="4"/>
        <v>706.6954536</v>
      </c>
      <c r="U156" s="41" t="str">
        <f t="shared" si="5"/>
        <v>#NUM!</v>
      </c>
      <c r="V156" s="41" t="str">
        <f t="shared" si="6"/>
        <v>#NUM!</v>
      </c>
      <c r="W156" s="41" t="str">
        <f t="shared" si="7"/>
        <v>#NUM!</v>
      </c>
      <c r="X156" s="42" t="str">
        <f t="shared" si="8"/>
        <v>#NUM!</v>
      </c>
      <c r="Y156" s="41" t="str">
        <f t="shared" ref="Y156:Z156" si="150">U156+Y155</f>
        <v>#NUM!</v>
      </c>
      <c r="Z156" s="41" t="str">
        <f t="shared" si="150"/>
        <v>#NUM!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3">
        <v>144.0</v>
      </c>
      <c r="R157" s="17">
        <f t="shared" si="2"/>
        <v>45672</v>
      </c>
      <c r="S157" s="41" t="str">
        <f t="shared" si="3"/>
        <v>#NUM!</v>
      </c>
      <c r="T157" s="40">
        <f t="shared" si="4"/>
        <v>706.6954536</v>
      </c>
      <c r="U157" s="41" t="str">
        <f t="shared" si="5"/>
        <v>#NUM!</v>
      </c>
      <c r="V157" s="41" t="str">
        <f t="shared" si="6"/>
        <v>#NUM!</v>
      </c>
      <c r="W157" s="41" t="str">
        <f t="shared" si="7"/>
        <v>#NUM!</v>
      </c>
      <c r="X157" s="42" t="str">
        <f t="shared" si="8"/>
        <v>#NUM!</v>
      </c>
      <c r="Y157" s="41" t="str">
        <f t="shared" ref="Y157:Z157" si="151">U157+Y156</f>
        <v>#NUM!</v>
      </c>
      <c r="Z157" s="41" t="str">
        <f t="shared" si="151"/>
        <v>#NUM!</v>
      </c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3">
        <v>145.0</v>
      </c>
      <c r="R158" s="17">
        <f t="shared" si="2"/>
        <v>45688</v>
      </c>
      <c r="S158" s="41" t="str">
        <f t="shared" si="3"/>
        <v>#NUM!</v>
      </c>
      <c r="T158" s="40">
        <f t="shared" si="4"/>
        <v>706.6954536</v>
      </c>
      <c r="U158" s="41" t="str">
        <f t="shared" si="5"/>
        <v>#NUM!</v>
      </c>
      <c r="V158" s="41" t="str">
        <f t="shared" si="6"/>
        <v>#NUM!</v>
      </c>
      <c r="W158" s="41" t="str">
        <f t="shared" si="7"/>
        <v>#NUM!</v>
      </c>
      <c r="X158" s="42" t="str">
        <f t="shared" si="8"/>
        <v>#NUM!</v>
      </c>
      <c r="Y158" s="41" t="str">
        <f t="shared" ref="Y158:Z158" si="152">U158+Y157</f>
        <v>#NUM!</v>
      </c>
      <c r="Z158" s="41" t="str">
        <f t="shared" si="152"/>
        <v>#NUM!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3">
        <v>146.0</v>
      </c>
      <c r="R159" s="17">
        <f t="shared" si="2"/>
        <v>45703</v>
      </c>
      <c r="S159" s="41" t="str">
        <f t="shared" si="3"/>
        <v>#NUM!</v>
      </c>
      <c r="T159" s="40">
        <f t="shared" si="4"/>
        <v>706.6954536</v>
      </c>
      <c r="U159" s="41" t="str">
        <f t="shared" si="5"/>
        <v>#NUM!</v>
      </c>
      <c r="V159" s="41" t="str">
        <f t="shared" si="6"/>
        <v>#NUM!</v>
      </c>
      <c r="W159" s="41" t="str">
        <f t="shared" si="7"/>
        <v>#NUM!</v>
      </c>
      <c r="X159" s="42" t="str">
        <f t="shared" si="8"/>
        <v>#NUM!</v>
      </c>
      <c r="Y159" s="41" t="str">
        <f t="shared" ref="Y159:Z159" si="153">U159+Y158</f>
        <v>#NUM!</v>
      </c>
      <c r="Z159" s="41" t="str">
        <f t="shared" si="153"/>
        <v>#NUM!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3">
        <v>147.0</v>
      </c>
      <c r="R160" s="17">
        <f t="shared" si="2"/>
        <v>45716</v>
      </c>
      <c r="S160" s="41" t="str">
        <f t="shared" si="3"/>
        <v>#NUM!</v>
      </c>
      <c r="T160" s="40">
        <f t="shared" si="4"/>
        <v>706.6954536</v>
      </c>
      <c r="U160" s="41" t="str">
        <f t="shared" si="5"/>
        <v>#NUM!</v>
      </c>
      <c r="V160" s="41" t="str">
        <f t="shared" si="6"/>
        <v>#NUM!</v>
      </c>
      <c r="W160" s="41" t="str">
        <f t="shared" si="7"/>
        <v>#NUM!</v>
      </c>
      <c r="X160" s="42" t="str">
        <f t="shared" si="8"/>
        <v>#NUM!</v>
      </c>
      <c r="Y160" s="41" t="str">
        <f t="shared" ref="Y160:Z160" si="154">U160+Y159</f>
        <v>#NUM!</v>
      </c>
      <c r="Z160" s="41" t="str">
        <f t="shared" si="154"/>
        <v>#NUM!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3">
        <v>148.0</v>
      </c>
      <c r="R161" s="17">
        <f t="shared" si="2"/>
        <v>45731</v>
      </c>
      <c r="S161" s="41" t="str">
        <f t="shared" si="3"/>
        <v>#NUM!</v>
      </c>
      <c r="T161" s="40">
        <f t="shared" si="4"/>
        <v>706.6954536</v>
      </c>
      <c r="U161" s="41" t="str">
        <f t="shared" si="5"/>
        <v>#NUM!</v>
      </c>
      <c r="V161" s="41" t="str">
        <f t="shared" si="6"/>
        <v>#NUM!</v>
      </c>
      <c r="W161" s="41" t="str">
        <f t="shared" si="7"/>
        <v>#NUM!</v>
      </c>
      <c r="X161" s="42" t="str">
        <f t="shared" si="8"/>
        <v>#NUM!</v>
      </c>
      <c r="Y161" s="41" t="str">
        <f t="shared" ref="Y161:Z161" si="155">U161+Y160</f>
        <v>#NUM!</v>
      </c>
      <c r="Z161" s="41" t="str">
        <f t="shared" si="155"/>
        <v>#NUM!</v>
      </c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3">
        <v>149.0</v>
      </c>
      <c r="R162" s="17">
        <f t="shared" si="2"/>
        <v>45747</v>
      </c>
      <c r="S162" s="41" t="str">
        <f t="shared" si="3"/>
        <v>#NUM!</v>
      </c>
      <c r="T162" s="40">
        <f t="shared" si="4"/>
        <v>706.6954536</v>
      </c>
      <c r="U162" s="41" t="str">
        <f t="shared" si="5"/>
        <v>#NUM!</v>
      </c>
      <c r="V162" s="41" t="str">
        <f t="shared" si="6"/>
        <v>#NUM!</v>
      </c>
      <c r="W162" s="41" t="str">
        <f t="shared" si="7"/>
        <v>#NUM!</v>
      </c>
      <c r="X162" s="42" t="str">
        <f t="shared" si="8"/>
        <v>#NUM!</v>
      </c>
      <c r="Y162" s="41" t="str">
        <f t="shared" ref="Y162:Z162" si="156">U162+Y161</f>
        <v>#NUM!</v>
      </c>
      <c r="Z162" s="41" t="str">
        <f t="shared" si="156"/>
        <v>#NUM!</v>
      </c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3">
        <v>150.0</v>
      </c>
      <c r="R163" s="17">
        <f t="shared" si="2"/>
        <v>45762</v>
      </c>
      <c r="S163" s="41" t="str">
        <f t="shared" si="3"/>
        <v>#NUM!</v>
      </c>
      <c r="T163" s="40">
        <f t="shared" si="4"/>
        <v>706.6954536</v>
      </c>
      <c r="U163" s="41" t="str">
        <f t="shared" si="5"/>
        <v>#NUM!</v>
      </c>
      <c r="V163" s="41" t="str">
        <f t="shared" si="6"/>
        <v>#NUM!</v>
      </c>
      <c r="W163" s="41" t="str">
        <f t="shared" si="7"/>
        <v>#NUM!</v>
      </c>
      <c r="X163" s="42" t="str">
        <f t="shared" si="8"/>
        <v>#NUM!</v>
      </c>
      <c r="Y163" s="41" t="str">
        <f t="shared" ref="Y163:Z163" si="157">U163+Y162</f>
        <v>#NUM!</v>
      </c>
      <c r="Z163" s="41" t="str">
        <f t="shared" si="157"/>
        <v>#NUM!</v>
      </c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3">
        <v>151.0</v>
      </c>
      <c r="R164" s="17">
        <f t="shared" si="2"/>
        <v>45777</v>
      </c>
      <c r="S164" s="41" t="str">
        <f t="shared" si="3"/>
        <v>#NUM!</v>
      </c>
      <c r="T164" s="40">
        <f t="shared" si="4"/>
        <v>706.6954536</v>
      </c>
      <c r="U164" s="41" t="str">
        <f t="shared" si="5"/>
        <v>#NUM!</v>
      </c>
      <c r="V164" s="41" t="str">
        <f t="shared" si="6"/>
        <v>#NUM!</v>
      </c>
      <c r="W164" s="41" t="str">
        <f t="shared" si="7"/>
        <v>#NUM!</v>
      </c>
      <c r="X164" s="42" t="str">
        <f t="shared" si="8"/>
        <v>#NUM!</v>
      </c>
      <c r="Y164" s="41" t="str">
        <f t="shared" ref="Y164:Z164" si="158">U164+Y163</f>
        <v>#NUM!</v>
      </c>
      <c r="Z164" s="41" t="str">
        <f t="shared" si="158"/>
        <v>#NUM!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3">
        <v>152.0</v>
      </c>
      <c r="R165" s="17">
        <f t="shared" si="2"/>
        <v>45792</v>
      </c>
      <c r="S165" s="41" t="str">
        <f t="shared" si="3"/>
        <v>#NUM!</v>
      </c>
      <c r="T165" s="40">
        <f t="shared" si="4"/>
        <v>706.6954536</v>
      </c>
      <c r="U165" s="41" t="str">
        <f t="shared" si="5"/>
        <v>#NUM!</v>
      </c>
      <c r="V165" s="41" t="str">
        <f t="shared" si="6"/>
        <v>#NUM!</v>
      </c>
      <c r="W165" s="41" t="str">
        <f t="shared" si="7"/>
        <v>#NUM!</v>
      </c>
      <c r="X165" s="42" t="str">
        <f t="shared" si="8"/>
        <v>#NUM!</v>
      </c>
      <c r="Y165" s="41" t="str">
        <f t="shared" ref="Y165:Z165" si="159">U165+Y164</f>
        <v>#NUM!</v>
      </c>
      <c r="Z165" s="41" t="str">
        <f t="shared" si="159"/>
        <v>#NUM!</v>
      </c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3">
        <v>153.0</v>
      </c>
      <c r="R166" s="17">
        <f t="shared" si="2"/>
        <v>45808</v>
      </c>
      <c r="S166" s="41" t="str">
        <f t="shared" si="3"/>
        <v>#NUM!</v>
      </c>
      <c r="T166" s="40">
        <f t="shared" si="4"/>
        <v>706.6954536</v>
      </c>
      <c r="U166" s="41" t="str">
        <f t="shared" si="5"/>
        <v>#NUM!</v>
      </c>
      <c r="V166" s="41" t="str">
        <f t="shared" si="6"/>
        <v>#NUM!</v>
      </c>
      <c r="W166" s="41" t="str">
        <f t="shared" si="7"/>
        <v>#NUM!</v>
      </c>
      <c r="X166" s="42" t="str">
        <f t="shared" si="8"/>
        <v>#NUM!</v>
      </c>
      <c r="Y166" s="41" t="str">
        <f t="shared" ref="Y166:Z166" si="160">U166+Y165</f>
        <v>#NUM!</v>
      </c>
      <c r="Z166" s="41" t="str">
        <f t="shared" si="160"/>
        <v>#NUM!</v>
      </c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3">
        <v>154.0</v>
      </c>
      <c r="R167" s="17">
        <f t="shared" si="2"/>
        <v>45823</v>
      </c>
      <c r="S167" s="41" t="str">
        <f t="shared" si="3"/>
        <v>#NUM!</v>
      </c>
      <c r="T167" s="40">
        <f t="shared" si="4"/>
        <v>706.6954536</v>
      </c>
      <c r="U167" s="41" t="str">
        <f t="shared" si="5"/>
        <v>#NUM!</v>
      </c>
      <c r="V167" s="41" t="str">
        <f t="shared" si="6"/>
        <v>#NUM!</v>
      </c>
      <c r="W167" s="41" t="str">
        <f t="shared" si="7"/>
        <v>#NUM!</v>
      </c>
      <c r="X167" s="42" t="str">
        <f t="shared" si="8"/>
        <v>#NUM!</v>
      </c>
      <c r="Y167" s="41" t="str">
        <f t="shared" ref="Y167:Z167" si="161">U167+Y166</f>
        <v>#NUM!</v>
      </c>
      <c r="Z167" s="41" t="str">
        <f t="shared" si="161"/>
        <v>#NUM!</v>
      </c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3">
        <v>155.0</v>
      </c>
      <c r="R168" s="17">
        <f t="shared" si="2"/>
        <v>45838</v>
      </c>
      <c r="S168" s="41" t="str">
        <f t="shared" si="3"/>
        <v>#NUM!</v>
      </c>
      <c r="T168" s="40">
        <f t="shared" si="4"/>
        <v>706.6954536</v>
      </c>
      <c r="U168" s="41" t="str">
        <f t="shared" si="5"/>
        <v>#NUM!</v>
      </c>
      <c r="V168" s="41" t="str">
        <f t="shared" si="6"/>
        <v>#NUM!</v>
      </c>
      <c r="W168" s="41" t="str">
        <f t="shared" si="7"/>
        <v>#NUM!</v>
      </c>
      <c r="X168" s="42" t="str">
        <f t="shared" si="8"/>
        <v>#NUM!</v>
      </c>
      <c r="Y168" s="41" t="str">
        <f t="shared" ref="Y168:Z168" si="162">U168+Y167</f>
        <v>#NUM!</v>
      </c>
      <c r="Z168" s="41" t="str">
        <f t="shared" si="162"/>
        <v>#NUM!</v>
      </c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3">
        <v>156.0</v>
      </c>
      <c r="R169" s="17">
        <f t="shared" si="2"/>
        <v>45853</v>
      </c>
      <c r="S169" s="41" t="str">
        <f t="shared" si="3"/>
        <v>#NUM!</v>
      </c>
      <c r="T169" s="40">
        <f t="shared" si="4"/>
        <v>706.6954536</v>
      </c>
      <c r="U169" s="41" t="str">
        <f t="shared" si="5"/>
        <v>#NUM!</v>
      </c>
      <c r="V169" s="41" t="str">
        <f t="shared" si="6"/>
        <v>#NUM!</v>
      </c>
      <c r="W169" s="41" t="str">
        <f t="shared" si="7"/>
        <v>#NUM!</v>
      </c>
      <c r="X169" s="42" t="str">
        <f t="shared" si="8"/>
        <v>#NUM!</v>
      </c>
      <c r="Y169" s="41" t="str">
        <f t="shared" ref="Y169:Z169" si="163">U169+Y168</f>
        <v>#NUM!</v>
      </c>
      <c r="Z169" s="41" t="str">
        <f t="shared" si="163"/>
        <v>#NUM!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3">
        <v>157.0</v>
      </c>
      <c r="R170" s="17">
        <f t="shared" si="2"/>
        <v>45869</v>
      </c>
      <c r="S170" s="41" t="str">
        <f t="shared" si="3"/>
        <v>#NUM!</v>
      </c>
      <c r="T170" s="40">
        <f t="shared" si="4"/>
        <v>706.6954536</v>
      </c>
      <c r="U170" s="41" t="str">
        <f t="shared" si="5"/>
        <v>#NUM!</v>
      </c>
      <c r="V170" s="41" t="str">
        <f t="shared" si="6"/>
        <v>#NUM!</v>
      </c>
      <c r="W170" s="41" t="str">
        <f t="shared" si="7"/>
        <v>#NUM!</v>
      </c>
      <c r="X170" s="42" t="str">
        <f t="shared" si="8"/>
        <v>#NUM!</v>
      </c>
      <c r="Y170" s="41" t="str">
        <f t="shared" ref="Y170:Z170" si="164">U170+Y169</f>
        <v>#NUM!</v>
      </c>
      <c r="Z170" s="41" t="str">
        <f t="shared" si="164"/>
        <v>#NUM!</v>
      </c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3">
        <v>158.0</v>
      </c>
      <c r="R171" s="17">
        <f t="shared" si="2"/>
        <v>45884</v>
      </c>
      <c r="S171" s="41" t="str">
        <f t="shared" si="3"/>
        <v>#NUM!</v>
      </c>
      <c r="T171" s="40">
        <f t="shared" si="4"/>
        <v>706.6954536</v>
      </c>
      <c r="U171" s="41" t="str">
        <f t="shared" si="5"/>
        <v>#NUM!</v>
      </c>
      <c r="V171" s="41" t="str">
        <f t="shared" si="6"/>
        <v>#NUM!</v>
      </c>
      <c r="W171" s="41" t="str">
        <f t="shared" si="7"/>
        <v>#NUM!</v>
      </c>
      <c r="X171" s="42" t="str">
        <f t="shared" si="8"/>
        <v>#NUM!</v>
      </c>
      <c r="Y171" s="41" t="str">
        <f t="shared" ref="Y171:Z171" si="165">U171+Y170</f>
        <v>#NUM!</v>
      </c>
      <c r="Z171" s="41" t="str">
        <f t="shared" si="165"/>
        <v>#NUM!</v>
      </c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3">
        <v>159.0</v>
      </c>
      <c r="R172" s="17">
        <f t="shared" si="2"/>
        <v>45900</v>
      </c>
      <c r="S172" s="41" t="str">
        <f t="shared" si="3"/>
        <v>#NUM!</v>
      </c>
      <c r="T172" s="40">
        <f t="shared" si="4"/>
        <v>706.6954536</v>
      </c>
      <c r="U172" s="41" t="str">
        <f t="shared" si="5"/>
        <v>#NUM!</v>
      </c>
      <c r="V172" s="41" t="str">
        <f t="shared" si="6"/>
        <v>#NUM!</v>
      </c>
      <c r="W172" s="41" t="str">
        <f t="shared" si="7"/>
        <v>#NUM!</v>
      </c>
      <c r="X172" s="42" t="str">
        <f t="shared" si="8"/>
        <v>#NUM!</v>
      </c>
      <c r="Y172" s="41" t="str">
        <f t="shared" ref="Y172:Z172" si="166">U172+Y171</f>
        <v>#NUM!</v>
      </c>
      <c r="Z172" s="41" t="str">
        <f t="shared" si="166"/>
        <v>#NUM!</v>
      </c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3">
        <v>160.0</v>
      </c>
      <c r="R173" s="17">
        <f t="shared" si="2"/>
        <v>45915</v>
      </c>
      <c r="S173" s="41" t="str">
        <f t="shared" si="3"/>
        <v>#NUM!</v>
      </c>
      <c r="T173" s="40">
        <f t="shared" si="4"/>
        <v>706.6954536</v>
      </c>
      <c r="U173" s="41" t="str">
        <f t="shared" si="5"/>
        <v>#NUM!</v>
      </c>
      <c r="V173" s="41" t="str">
        <f t="shared" si="6"/>
        <v>#NUM!</v>
      </c>
      <c r="W173" s="41" t="str">
        <f t="shared" si="7"/>
        <v>#NUM!</v>
      </c>
      <c r="X173" s="42" t="str">
        <f t="shared" si="8"/>
        <v>#NUM!</v>
      </c>
      <c r="Y173" s="41" t="str">
        <f t="shared" ref="Y173:Z173" si="167">U173+Y172</f>
        <v>#NUM!</v>
      </c>
      <c r="Z173" s="41" t="str">
        <f t="shared" si="167"/>
        <v>#NUM!</v>
      </c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3">
        <v>161.0</v>
      </c>
      <c r="R174" s="17">
        <f t="shared" si="2"/>
        <v>45930</v>
      </c>
      <c r="S174" s="41" t="str">
        <f t="shared" si="3"/>
        <v>#NUM!</v>
      </c>
      <c r="T174" s="40">
        <f t="shared" si="4"/>
        <v>706.6954536</v>
      </c>
      <c r="U174" s="41" t="str">
        <f t="shared" si="5"/>
        <v>#NUM!</v>
      </c>
      <c r="V174" s="41" t="str">
        <f t="shared" si="6"/>
        <v>#NUM!</v>
      </c>
      <c r="W174" s="41" t="str">
        <f t="shared" si="7"/>
        <v>#NUM!</v>
      </c>
      <c r="X174" s="42" t="str">
        <f t="shared" si="8"/>
        <v>#NUM!</v>
      </c>
      <c r="Y174" s="41" t="str">
        <f t="shared" ref="Y174:Z174" si="168">U174+Y173</f>
        <v>#NUM!</v>
      </c>
      <c r="Z174" s="41" t="str">
        <f t="shared" si="168"/>
        <v>#NUM!</v>
      </c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3">
        <v>162.0</v>
      </c>
      <c r="R175" s="17">
        <f t="shared" si="2"/>
        <v>45945</v>
      </c>
      <c r="S175" s="41" t="str">
        <f t="shared" si="3"/>
        <v>#NUM!</v>
      </c>
      <c r="T175" s="40">
        <f t="shared" si="4"/>
        <v>706.6954536</v>
      </c>
      <c r="U175" s="41" t="str">
        <f t="shared" si="5"/>
        <v>#NUM!</v>
      </c>
      <c r="V175" s="41" t="str">
        <f t="shared" si="6"/>
        <v>#NUM!</v>
      </c>
      <c r="W175" s="41" t="str">
        <f t="shared" si="7"/>
        <v>#NUM!</v>
      </c>
      <c r="X175" s="42" t="str">
        <f t="shared" si="8"/>
        <v>#NUM!</v>
      </c>
      <c r="Y175" s="41" t="str">
        <f t="shared" ref="Y175:Z175" si="169">U175+Y174</f>
        <v>#NUM!</v>
      </c>
      <c r="Z175" s="41" t="str">
        <f t="shared" si="169"/>
        <v>#NUM!</v>
      </c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3">
        <v>163.0</v>
      </c>
      <c r="R176" s="17">
        <f t="shared" si="2"/>
        <v>45961</v>
      </c>
      <c r="S176" s="41" t="str">
        <f t="shared" si="3"/>
        <v>#NUM!</v>
      </c>
      <c r="T176" s="40">
        <f t="shared" si="4"/>
        <v>706.6954536</v>
      </c>
      <c r="U176" s="41" t="str">
        <f t="shared" si="5"/>
        <v>#NUM!</v>
      </c>
      <c r="V176" s="41" t="str">
        <f t="shared" si="6"/>
        <v>#NUM!</v>
      </c>
      <c r="W176" s="41" t="str">
        <f t="shared" si="7"/>
        <v>#NUM!</v>
      </c>
      <c r="X176" s="42" t="str">
        <f t="shared" si="8"/>
        <v>#NUM!</v>
      </c>
      <c r="Y176" s="41" t="str">
        <f t="shared" ref="Y176:Z176" si="170">U176+Y175</f>
        <v>#NUM!</v>
      </c>
      <c r="Z176" s="41" t="str">
        <f t="shared" si="170"/>
        <v>#NUM!</v>
      </c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3">
        <v>164.0</v>
      </c>
      <c r="R177" s="17">
        <f t="shared" si="2"/>
        <v>45976</v>
      </c>
      <c r="S177" s="41" t="str">
        <f t="shared" si="3"/>
        <v>#NUM!</v>
      </c>
      <c r="T177" s="40">
        <f t="shared" si="4"/>
        <v>706.6954536</v>
      </c>
      <c r="U177" s="41" t="str">
        <f t="shared" si="5"/>
        <v>#NUM!</v>
      </c>
      <c r="V177" s="41" t="str">
        <f t="shared" si="6"/>
        <v>#NUM!</v>
      </c>
      <c r="W177" s="41" t="str">
        <f t="shared" si="7"/>
        <v>#NUM!</v>
      </c>
      <c r="X177" s="42" t="str">
        <f t="shared" si="8"/>
        <v>#NUM!</v>
      </c>
      <c r="Y177" s="41" t="str">
        <f t="shared" ref="Y177:Z177" si="171">U177+Y176</f>
        <v>#NUM!</v>
      </c>
      <c r="Z177" s="41" t="str">
        <f t="shared" si="171"/>
        <v>#NUM!</v>
      </c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3">
        <v>165.0</v>
      </c>
      <c r="R178" s="17">
        <f t="shared" si="2"/>
        <v>45991</v>
      </c>
      <c r="S178" s="41" t="str">
        <f t="shared" si="3"/>
        <v>#NUM!</v>
      </c>
      <c r="T178" s="40">
        <f t="shared" si="4"/>
        <v>706.6954536</v>
      </c>
      <c r="U178" s="41" t="str">
        <f t="shared" si="5"/>
        <v>#NUM!</v>
      </c>
      <c r="V178" s="41" t="str">
        <f t="shared" si="6"/>
        <v>#NUM!</v>
      </c>
      <c r="W178" s="41" t="str">
        <f t="shared" si="7"/>
        <v>#NUM!</v>
      </c>
      <c r="X178" s="42" t="str">
        <f t="shared" si="8"/>
        <v>#NUM!</v>
      </c>
      <c r="Y178" s="41" t="str">
        <f t="shared" ref="Y178:Z178" si="172">U178+Y177</f>
        <v>#NUM!</v>
      </c>
      <c r="Z178" s="41" t="str">
        <f t="shared" si="172"/>
        <v>#NUM!</v>
      </c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3">
        <v>166.0</v>
      </c>
      <c r="R179" s="17">
        <f t="shared" si="2"/>
        <v>46006</v>
      </c>
      <c r="S179" s="41" t="str">
        <f t="shared" si="3"/>
        <v>#NUM!</v>
      </c>
      <c r="T179" s="40">
        <f t="shared" si="4"/>
        <v>706.6954536</v>
      </c>
      <c r="U179" s="41" t="str">
        <f t="shared" si="5"/>
        <v>#NUM!</v>
      </c>
      <c r="V179" s="41" t="str">
        <f t="shared" si="6"/>
        <v>#NUM!</v>
      </c>
      <c r="W179" s="41" t="str">
        <f t="shared" si="7"/>
        <v>#NUM!</v>
      </c>
      <c r="X179" s="42" t="str">
        <f t="shared" si="8"/>
        <v>#NUM!</v>
      </c>
      <c r="Y179" s="41" t="str">
        <f t="shared" ref="Y179:Z179" si="173">U179+Y178</f>
        <v>#NUM!</v>
      </c>
      <c r="Z179" s="41" t="str">
        <f t="shared" si="173"/>
        <v>#NUM!</v>
      </c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3">
        <v>167.0</v>
      </c>
      <c r="R180" s="17">
        <f t="shared" si="2"/>
        <v>46022</v>
      </c>
      <c r="S180" s="41" t="str">
        <f t="shared" si="3"/>
        <v>#NUM!</v>
      </c>
      <c r="T180" s="40">
        <f t="shared" si="4"/>
        <v>706.6954536</v>
      </c>
      <c r="U180" s="41" t="str">
        <f t="shared" si="5"/>
        <v>#NUM!</v>
      </c>
      <c r="V180" s="41" t="str">
        <f t="shared" si="6"/>
        <v>#NUM!</v>
      </c>
      <c r="W180" s="41" t="str">
        <f t="shared" si="7"/>
        <v>#NUM!</v>
      </c>
      <c r="X180" s="42" t="str">
        <f t="shared" si="8"/>
        <v>#NUM!</v>
      </c>
      <c r="Y180" s="41" t="str">
        <f t="shared" ref="Y180:Z180" si="174">U180+Y179</f>
        <v>#NUM!</v>
      </c>
      <c r="Z180" s="41" t="str">
        <f t="shared" si="174"/>
        <v>#NUM!</v>
      </c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3">
        <v>168.0</v>
      </c>
      <c r="R181" s="17">
        <f t="shared" si="2"/>
        <v>46037</v>
      </c>
      <c r="S181" s="41" t="str">
        <f t="shared" si="3"/>
        <v>#NUM!</v>
      </c>
      <c r="T181" s="40">
        <f t="shared" si="4"/>
        <v>706.6954536</v>
      </c>
      <c r="U181" s="41" t="str">
        <f t="shared" si="5"/>
        <v>#NUM!</v>
      </c>
      <c r="V181" s="41" t="str">
        <f t="shared" si="6"/>
        <v>#NUM!</v>
      </c>
      <c r="W181" s="41" t="str">
        <f t="shared" si="7"/>
        <v>#NUM!</v>
      </c>
      <c r="X181" s="42" t="str">
        <f t="shared" si="8"/>
        <v>#NUM!</v>
      </c>
      <c r="Y181" s="41" t="str">
        <f t="shared" ref="Y181:Z181" si="175">U181+Y180</f>
        <v>#NUM!</v>
      </c>
      <c r="Z181" s="41" t="str">
        <f t="shared" si="175"/>
        <v>#NUM!</v>
      </c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3">
        <v>169.0</v>
      </c>
      <c r="R182" s="17">
        <f t="shared" si="2"/>
        <v>46053</v>
      </c>
      <c r="S182" s="41" t="str">
        <f t="shared" si="3"/>
        <v>#NUM!</v>
      </c>
      <c r="T182" s="40">
        <f t="shared" si="4"/>
        <v>706.6954536</v>
      </c>
      <c r="U182" s="41" t="str">
        <f t="shared" si="5"/>
        <v>#NUM!</v>
      </c>
      <c r="V182" s="41" t="str">
        <f t="shared" si="6"/>
        <v>#NUM!</v>
      </c>
      <c r="W182" s="41" t="str">
        <f t="shared" si="7"/>
        <v>#NUM!</v>
      </c>
      <c r="X182" s="42" t="str">
        <f t="shared" si="8"/>
        <v>#NUM!</v>
      </c>
      <c r="Y182" s="41" t="str">
        <f t="shared" ref="Y182:Z182" si="176">U182+Y181</f>
        <v>#NUM!</v>
      </c>
      <c r="Z182" s="41" t="str">
        <f t="shared" si="176"/>
        <v>#NUM!</v>
      </c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3">
        <v>170.0</v>
      </c>
      <c r="R183" s="17">
        <f t="shared" si="2"/>
        <v>46068</v>
      </c>
      <c r="S183" s="41" t="str">
        <f t="shared" si="3"/>
        <v>#NUM!</v>
      </c>
      <c r="T183" s="40">
        <f t="shared" si="4"/>
        <v>706.6954536</v>
      </c>
      <c r="U183" s="41" t="str">
        <f t="shared" si="5"/>
        <v>#NUM!</v>
      </c>
      <c r="V183" s="41" t="str">
        <f t="shared" si="6"/>
        <v>#NUM!</v>
      </c>
      <c r="W183" s="41" t="str">
        <f t="shared" si="7"/>
        <v>#NUM!</v>
      </c>
      <c r="X183" s="42" t="str">
        <f t="shared" si="8"/>
        <v>#NUM!</v>
      </c>
      <c r="Y183" s="41" t="str">
        <f t="shared" ref="Y183:Z183" si="177">U183+Y182</f>
        <v>#NUM!</v>
      </c>
      <c r="Z183" s="41" t="str">
        <f t="shared" si="177"/>
        <v>#NUM!</v>
      </c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3">
        <v>171.0</v>
      </c>
      <c r="R184" s="17">
        <f t="shared" si="2"/>
        <v>46081</v>
      </c>
      <c r="S184" s="41" t="str">
        <f t="shared" si="3"/>
        <v>#NUM!</v>
      </c>
      <c r="T184" s="40">
        <f t="shared" si="4"/>
        <v>706.6954536</v>
      </c>
      <c r="U184" s="41" t="str">
        <f t="shared" si="5"/>
        <v>#NUM!</v>
      </c>
      <c r="V184" s="41" t="str">
        <f t="shared" si="6"/>
        <v>#NUM!</v>
      </c>
      <c r="W184" s="41" t="str">
        <f t="shared" si="7"/>
        <v>#NUM!</v>
      </c>
      <c r="X184" s="42" t="str">
        <f t="shared" si="8"/>
        <v>#NUM!</v>
      </c>
      <c r="Y184" s="41" t="str">
        <f t="shared" ref="Y184:Z184" si="178">U184+Y183</f>
        <v>#NUM!</v>
      </c>
      <c r="Z184" s="41" t="str">
        <f t="shared" si="178"/>
        <v>#NUM!</v>
      </c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3">
        <v>172.0</v>
      </c>
      <c r="R185" s="17">
        <f t="shared" si="2"/>
        <v>46096</v>
      </c>
      <c r="S185" s="41" t="str">
        <f t="shared" si="3"/>
        <v>#NUM!</v>
      </c>
      <c r="T185" s="40">
        <f t="shared" si="4"/>
        <v>706.6954536</v>
      </c>
      <c r="U185" s="41" t="str">
        <f t="shared" si="5"/>
        <v>#NUM!</v>
      </c>
      <c r="V185" s="41" t="str">
        <f t="shared" si="6"/>
        <v>#NUM!</v>
      </c>
      <c r="W185" s="41" t="str">
        <f t="shared" si="7"/>
        <v>#NUM!</v>
      </c>
      <c r="X185" s="42" t="str">
        <f t="shared" si="8"/>
        <v>#NUM!</v>
      </c>
      <c r="Y185" s="41" t="str">
        <f t="shared" ref="Y185:Z185" si="179">U185+Y184</f>
        <v>#NUM!</v>
      </c>
      <c r="Z185" s="41" t="str">
        <f t="shared" si="179"/>
        <v>#NUM!</v>
      </c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3">
        <v>173.0</v>
      </c>
      <c r="R186" s="17">
        <f t="shared" si="2"/>
        <v>46112</v>
      </c>
      <c r="S186" s="41" t="str">
        <f t="shared" si="3"/>
        <v>#NUM!</v>
      </c>
      <c r="T186" s="40">
        <f t="shared" si="4"/>
        <v>706.6954536</v>
      </c>
      <c r="U186" s="41" t="str">
        <f t="shared" si="5"/>
        <v>#NUM!</v>
      </c>
      <c r="V186" s="41" t="str">
        <f t="shared" si="6"/>
        <v>#NUM!</v>
      </c>
      <c r="W186" s="41" t="str">
        <f t="shared" si="7"/>
        <v>#NUM!</v>
      </c>
      <c r="X186" s="42" t="str">
        <f t="shared" si="8"/>
        <v>#NUM!</v>
      </c>
      <c r="Y186" s="41" t="str">
        <f t="shared" ref="Y186:Z186" si="180">U186+Y185</f>
        <v>#NUM!</v>
      </c>
      <c r="Z186" s="41" t="str">
        <f t="shared" si="180"/>
        <v>#NUM!</v>
      </c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3">
        <v>174.0</v>
      </c>
      <c r="R187" s="17">
        <f t="shared" si="2"/>
        <v>46127</v>
      </c>
      <c r="S187" s="41" t="str">
        <f t="shared" si="3"/>
        <v>#NUM!</v>
      </c>
      <c r="T187" s="40">
        <f t="shared" si="4"/>
        <v>706.6954536</v>
      </c>
      <c r="U187" s="41" t="str">
        <f t="shared" si="5"/>
        <v>#NUM!</v>
      </c>
      <c r="V187" s="41" t="str">
        <f t="shared" si="6"/>
        <v>#NUM!</v>
      </c>
      <c r="W187" s="41" t="str">
        <f t="shared" si="7"/>
        <v>#NUM!</v>
      </c>
      <c r="X187" s="42" t="str">
        <f t="shared" si="8"/>
        <v>#NUM!</v>
      </c>
      <c r="Y187" s="41" t="str">
        <f t="shared" ref="Y187:Z187" si="181">U187+Y186</f>
        <v>#NUM!</v>
      </c>
      <c r="Z187" s="41" t="str">
        <f t="shared" si="181"/>
        <v>#NUM!</v>
      </c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3">
        <v>175.0</v>
      </c>
      <c r="R188" s="17">
        <f t="shared" si="2"/>
        <v>46142</v>
      </c>
      <c r="S188" s="41" t="str">
        <f t="shared" si="3"/>
        <v>#NUM!</v>
      </c>
      <c r="T188" s="40">
        <f t="shared" si="4"/>
        <v>706.6954536</v>
      </c>
      <c r="U188" s="41" t="str">
        <f t="shared" si="5"/>
        <v>#NUM!</v>
      </c>
      <c r="V188" s="41" t="str">
        <f t="shared" si="6"/>
        <v>#NUM!</v>
      </c>
      <c r="W188" s="41" t="str">
        <f t="shared" si="7"/>
        <v>#NUM!</v>
      </c>
      <c r="X188" s="42" t="str">
        <f t="shared" si="8"/>
        <v>#NUM!</v>
      </c>
      <c r="Y188" s="41" t="str">
        <f t="shared" ref="Y188:Z188" si="182">U188+Y187</f>
        <v>#NUM!</v>
      </c>
      <c r="Z188" s="41" t="str">
        <f t="shared" si="182"/>
        <v>#NUM!</v>
      </c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3">
        <v>176.0</v>
      </c>
      <c r="R189" s="17">
        <f t="shared" si="2"/>
        <v>46157</v>
      </c>
      <c r="S189" s="41" t="str">
        <f t="shared" si="3"/>
        <v>#NUM!</v>
      </c>
      <c r="T189" s="40">
        <f t="shared" si="4"/>
        <v>706.6954536</v>
      </c>
      <c r="U189" s="41" t="str">
        <f t="shared" si="5"/>
        <v>#NUM!</v>
      </c>
      <c r="V189" s="41" t="str">
        <f t="shared" si="6"/>
        <v>#NUM!</v>
      </c>
      <c r="W189" s="41" t="str">
        <f t="shared" si="7"/>
        <v>#NUM!</v>
      </c>
      <c r="X189" s="42" t="str">
        <f t="shared" si="8"/>
        <v>#NUM!</v>
      </c>
      <c r="Y189" s="41" t="str">
        <f t="shared" ref="Y189:Z189" si="183">U189+Y188</f>
        <v>#NUM!</v>
      </c>
      <c r="Z189" s="41" t="str">
        <f t="shared" si="183"/>
        <v>#NUM!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3">
        <v>177.0</v>
      </c>
      <c r="R190" s="17">
        <f t="shared" si="2"/>
        <v>46173</v>
      </c>
      <c r="S190" s="41" t="str">
        <f t="shared" si="3"/>
        <v>#NUM!</v>
      </c>
      <c r="T190" s="40">
        <f t="shared" si="4"/>
        <v>706.6954536</v>
      </c>
      <c r="U190" s="41" t="str">
        <f t="shared" si="5"/>
        <v>#NUM!</v>
      </c>
      <c r="V190" s="41" t="str">
        <f t="shared" si="6"/>
        <v>#NUM!</v>
      </c>
      <c r="W190" s="41" t="str">
        <f t="shared" si="7"/>
        <v>#NUM!</v>
      </c>
      <c r="X190" s="42" t="str">
        <f t="shared" si="8"/>
        <v>#NUM!</v>
      </c>
      <c r="Y190" s="41" t="str">
        <f t="shared" ref="Y190:Z190" si="184">U190+Y189</f>
        <v>#NUM!</v>
      </c>
      <c r="Z190" s="41" t="str">
        <f t="shared" si="184"/>
        <v>#NUM!</v>
      </c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3">
        <v>178.0</v>
      </c>
      <c r="R191" s="17">
        <f t="shared" si="2"/>
        <v>46188</v>
      </c>
      <c r="S191" s="41" t="str">
        <f t="shared" si="3"/>
        <v>#NUM!</v>
      </c>
      <c r="T191" s="40">
        <f t="shared" si="4"/>
        <v>706.6954536</v>
      </c>
      <c r="U191" s="41" t="str">
        <f t="shared" si="5"/>
        <v>#NUM!</v>
      </c>
      <c r="V191" s="41" t="str">
        <f t="shared" si="6"/>
        <v>#NUM!</v>
      </c>
      <c r="W191" s="41" t="str">
        <f t="shared" si="7"/>
        <v>#NUM!</v>
      </c>
      <c r="X191" s="42" t="str">
        <f t="shared" si="8"/>
        <v>#NUM!</v>
      </c>
      <c r="Y191" s="41" t="str">
        <f t="shared" ref="Y191:Z191" si="185">U191+Y190</f>
        <v>#NUM!</v>
      </c>
      <c r="Z191" s="41" t="str">
        <f t="shared" si="185"/>
        <v>#NUM!</v>
      </c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3">
        <v>179.0</v>
      </c>
      <c r="R192" s="17">
        <f t="shared" si="2"/>
        <v>46203</v>
      </c>
      <c r="S192" s="41" t="str">
        <f t="shared" si="3"/>
        <v>#NUM!</v>
      </c>
      <c r="T192" s="40">
        <f t="shared" si="4"/>
        <v>706.6954536</v>
      </c>
      <c r="U192" s="41" t="str">
        <f t="shared" si="5"/>
        <v>#NUM!</v>
      </c>
      <c r="V192" s="41" t="str">
        <f t="shared" si="6"/>
        <v>#NUM!</v>
      </c>
      <c r="W192" s="41" t="str">
        <f t="shared" si="7"/>
        <v>#NUM!</v>
      </c>
      <c r="X192" s="42" t="str">
        <f t="shared" si="8"/>
        <v>#NUM!</v>
      </c>
      <c r="Y192" s="41" t="str">
        <f t="shared" ref="Y192:Z192" si="186">U192+Y191</f>
        <v>#NUM!</v>
      </c>
      <c r="Z192" s="41" t="str">
        <f t="shared" si="186"/>
        <v>#NUM!</v>
      </c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3">
        <v>180.0</v>
      </c>
      <c r="R193" s="17">
        <f t="shared" si="2"/>
        <v>46218</v>
      </c>
      <c r="S193" s="41" t="str">
        <f t="shared" si="3"/>
        <v>#NUM!</v>
      </c>
      <c r="T193" s="40">
        <f t="shared" si="4"/>
        <v>706.6954536</v>
      </c>
      <c r="U193" s="41" t="str">
        <f t="shared" si="5"/>
        <v>#NUM!</v>
      </c>
      <c r="V193" s="41" t="str">
        <f t="shared" si="6"/>
        <v>#NUM!</v>
      </c>
      <c r="W193" s="41" t="str">
        <f t="shared" si="7"/>
        <v>#NUM!</v>
      </c>
      <c r="X193" s="42" t="str">
        <f t="shared" si="8"/>
        <v>#NUM!</v>
      </c>
      <c r="Y193" s="41" t="str">
        <f t="shared" ref="Y193:Z193" si="187">U193+Y192</f>
        <v>#NUM!</v>
      </c>
      <c r="Z193" s="41" t="str">
        <f t="shared" si="187"/>
        <v>#NUM!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3">
        <v>181.0</v>
      </c>
      <c r="R194" s="17">
        <f t="shared" si="2"/>
        <v>46234</v>
      </c>
      <c r="S194" s="41" t="str">
        <f t="shared" si="3"/>
        <v>#NUM!</v>
      </c>
      <c r="T194" s="40">
        <f t="shared" si="4"/>
        <v>706.6954536</v>
      </c>
      <c r="U194" s="41" t="str">
        <f t="shared" si="5"/>
        <v>#NUM!</v>
      </c>
      <c r="V194" s="41" t="str">
        <f t="shared" si="6"/>
        <v>#NUM!</v>
      </c>
      <c r="W194" s="41" t="str">
        <f t="shared" si="7"/>
        <v>#NUM!</v>
      </c>
      <c r="X194" s="42" t="str">
        <f t="shared" si="8"/>
        <v>#NUM!</v>
      </c>
      <c r="Y194" s="41" t="str">
        <f t="shared" ref="Y194:Z194" si="188">U194+Y193</f>
        <v>#NUM!</v>
      </c>
      <c r="Z194" s="41" t="str">
        <f t="shared" si="188"/>
        <v>#NUM!</v>
      </c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3">
        <v>182.0</v>
      </c>
      <c r="R195" s="17">
        <f t="shared" si="2"/>
        <v>46249</v>
      </c>
      <c r="S195" s="41" t="str">
        <f t="shared" si="3"/>
        <v>#NUM!</v>
      </c>
      <c r="T195" s="40">
        <f t="shared" si="4"/>
        <v>706.6954536</v>
      </c>
      <c r="U195" s="41" t="str">
        <f t="shared" si="5"/>
        <v>#NUM!</v>
      </c>
      <c r="V195" s="41" t="str">
        <f t="shared" si="6"/>
        <v>#NUM!</v>
      </c>
      <c r="W195" s="41" t="str">
        <f t="shared" si="7"/>
        <v>#NUM!</v>
      </c>
      <c r="X195" s="42" t="str">
        <f t="shared" si="8"/>
        <v>#NUM!</v>
      </c>
      <c r="Y195" s="41" t="str">
        <f t="shared" ref="Y195:Z195" si="189">U195+Y194</f>
        <v>#NUM!</v>
      </c>
      <c r="Z195" s="41" t="str">
        <f t="shared" si="189"/>
        <v>#NUM!</v>
      </c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</sheetData>
  <dataValidations>
    <dataValidation type="decimal" operator="greaterThan" allowBlank="1" showDropDown="1" showErrorMessage="1" sqref="B3">
      <formula1>0.0</formula1>
    </dataValidation>
    <dataValidation type="list" allowBlank="1" showErrorMessage="1" sqref="B7">
      <formula1>"Bi-Weekly,Semi-Monthly,Monthly"</formula1>
    </dataValidation>
    <dataValidation type="custom" allowBlank="1" showDropDown="1" showInputMessage="1" showErrorMessage="1" prompt="Enter a whole number between 1 and 30" sqref="B6">
      <formula1>AND(INT(B6)=B6,B6&gt;0,B6&lt;31)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61</v>
      </c>
      <c r="B1" s="2"/>
      <c r="C1" s="2"/>
      <c r="D1" s="2"/>
      <c r="E1" s="2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>
      <c r="A3" s="1" t="s">
        <v>62</v>
      </c>
      <c r="B3" s="26">
        <v>50000.0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>
      <c r="A4" s="1" t="s">
        <v>63</v>
      </c>
      <c r="B4" s="26">
        <v>80000.0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>
      <c r="A5" s="1" t="s">
        <v>64</v>
      </c>
      <c r="B5" s="27">
        <v>0.05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>
      <c r="A6" s="1" t="s">
        <v>65</v>
      </c>
      <c r="B6" s="13">
        <v>7.0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>
      <c r="A7" s="1" t="s">
        <v>66</v>
      </c>
      <c r="B7" s="13" t="s">
        <v>51</v>
      </c>
      <c r="C7" s="28">
        <f>switch(B7,"Bi-Weekly",26,"Semi-Monthly",24,12)</f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>
      <c r="A8" s="2" t="s">
        <v>67</v>
      </c>
      <c r="B8" s="13">
        <f>C7*B6</f>
        <v>84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>
      <c r="A9" s="1" t="s">
        <v>68</v>
      </c>
      <c r="B9" s="16">
        <v>43465.0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>
      <c r="A11" s="2" t="s">
        <v>69</v>
      </c>
      <c r="B11" s="29">
        <f>-CUMIPMT(B5/C7,B8,B3,1,B8,0)</f>
        <v>9362.418102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>
      <c r="A12" s="2"/>
      <c r="B12" s="2"/>
      <c r="C12" s="2"/>
      <c r="D12" s="2"/>
      <c r="E12" s="2"/>
      <c r="F12" s="2" t="s">
        <v>70</v>
      </c>
      <c r="G12" s="2" t="s">
        <v>71</v>
      </c>
      <c r="H12" s="2" t="s">
        <v>72</v>
      </c>
      <c r="I12" s="2" t="s">
        <v>73</v>
      </c>
      <c r="J12" s="2" t="s">
        <v>74</v>
      </c>
      <c r="K12" s="2" t="s">
        <v>62</v>
      </c>
      <c r="L12" s="2" t="s">
        <v>75</v>
      </c>
      <c r="M12" s="2" t="s">
        <v>76</v>
      </c>
      <c r="N12" s="2" t="s">
        <v>77</v>
      </c>
      <c r="O12" s="37" t="s">
        <v>78</v>
      </c>
      <c r="P12" s="2"/>
      <c r="Q12" s="2" t="s">
        <v>70</v>
      </c>
      <c r="R12" s="2" t="s">
        <v>71</v>
      </c>
      <c r="S12" s="2" t="s">
        <v>72</v>
      </c>
      <c r="T12" s="2" t="s">
        <v>73</v>
      </c>
      <c r="U12" s="2" t="s">
        <v>74</v>
      </c>
      <c r="V12" s="2" t="s">
        <v>62</v>
      </c>
      <c r="W12" s="2" t="s">
        <v>75</v>
      </c>
      <c r="X12" s="2" t="s">
        <v>76</v>
      </c>
      <c r="Y12" s="2" t="s">
        <v>77</v>
      </c>
      <c r="Z12" s="37" t="s">
        <v>78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>
      <c r="A13" s="2"/>
      <c r="B13" s="2"/>
      <c r="C13" s="2"/>
      <c r="D13" s="2"/>
      <c r="E13" s="2"/>
      <c r="F13" s="13">
        <f>IFERROR(__xludf.DUMMYFUNCTION("FILTER(Q13:Z195,Q13:Q195&lt;=B8)"),0.0)</f>
        <v>0</v>
      </c>
      <c r="G13" s="16">
        <f>IFERROR(__xludf.DUMMYFUNCTION("""COMPUTED_VALUE"""),43465.0)</f>
        <v>43465</v>
      </c>
      <c r="H13" s="29">
        <f>IFERROR(__xludf.DUMMYFUNCTION("""COMPUTED_VALUE"""),0.0)</f>
        <v>0</v>
      </c>
      <c r="I13" s="18"/>
      <c r="J13" s="18"/>
      <c r="K13" s="18"/>
      <c r="L13" s="26">
        <f>IFERROR(__xludf.DUMMYFUNCTION("""COMPUTED_VALUE"""),50000.0)</f>
        <v>50000</v>
      </c>
      <c r="M13" s="39">
        <f>IFERROR(__xludf.DUMMYFUNCTION("""COMPUTED_VALUE"""),0.625)</f>
        <v>0.625</v>
      </c>
      <c r="N13" s="2"/>
      <c r="O13" s="2"/>
      <c r="P13" s="2"/>
      <c r="Q13" s="13">
        <v>0.0</v>
      </c>
      <c r="R13" s="16">
        <f>B9</f>
        <v>43465</v>
      </c>
      <c r="S13" s="29">
        <v>0.0</v>
      </c>
      <c r="T13" s="18"/>
      <c r="U13" s="18"/>
      <c r="V13" s="18"/>
      <c r="W13" s="26">
        <f>B3</f>
        <v>50000</v>
      </c>
      <c r="X13" s="39">
        <f>W13/B4</f>
        <v>0.625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>
      <c r="A14" s="2"/>
      <c r="B14" s="2"/>
      <c r="C14" s="2"/>
      <c r="D14" s="2"/>
      <c r="E14" s="2"/>
      <c r="F14" s="13">
        <f>IFERROR(__xludf.DUMMYFUNCTION("""COMPUTED_VALUE"""),1.0)</f>
        <v>1</v>
      </c>
      <c r="G14" s="17">
        <f>IFERROR(__xludf.DUMMYFUNCTION("""COMPUTED_VALUE"""),43496.0)</f>
        <v>43496</v>
      </c>
      <c r="H14" s="26">
        <f>IFERROR(__xludf.DUMMYFUNCTION("""COMPUTED_VALUE"""),50000.0)</f>
        <v>50000</v>
      </c>
      <c r="I14" s="40">
        <f>IFERROR(__xludf.DUMMYFUNCTION("""COMPUTED_VALUE"""),706.6954535953523)</f>
        <v>706.6954536</v>
      </c>
      <c r="J14" s="40">
        <f>IFERROR(__xludf.DUMMYFUNCTION("""COMPUTED_VALUE"""),208.3333333333333)</f>
        <v>208.3333333</v>
      </c>
      <c r="K14" s="40">
        <f>IFERROR(__xludf.DUMMYFUNCTION("""COMPUTED_VALUE"""),498.3621202620191)</f>
        <v>498.3621203</v>
      </c>
      <c r="L14" s="26">
        <f>IFERROR(__xludf.DUMMYFUNCTION("""COMPUTED_VALUE"""),49501.63787973798)</f>
        <v>49501.63788</v>
      </c>
      <c r="M14" s="39">
        <f>IFERROR(__xludf.DUMMYFUNCTION("""COMPUTED_VALUE"""),0.6187704734967248)</f>
        <v>0.6187704735</v>
      </c>
      <c r="N14" s="40">
        <f>IFERROR(__xludf.DUMMYFUNCTION("""COMPUTED_VALUE"""),208.3333333333333)</f>
        <v>208.3333333</v>
      </c>
      <c r="O14" s="40">
        <f>IFERROR(__xludf.DUMMYFUNCTION("""COMPUTED_VALUE"""),498.3621202620191)</f>
        <v>498.3621203</v>
      </c>
      <c r="P14" s="2"/>
      <c r="Q14" s="13">
        <v>1.0</v>
      </c>
      <c r="R14" s="17">
        <f t="shared" ref="R14:R195" si="2">IF(C7=12,EOMONTH(R13,1),IF(C7=26,R13+14,IF(DAY(R13)=15,EOMONTH(R13,0),R13+15)))</f>
        <v>43496</v>
      </c>
      <c r="S14" s="26">
        <f t="shared" ref="S14:S195" si="3">W13</f>
        <v>50000</v>
      </c>
      <c r="T14" s="40">
        <f t="shared" ref="T14:T195" si="4">-PMT($B$5/$C$7,$B$8,$B$3)</f>
        <v>706.6954536</v>
      </c>
      <c r="U14" s="40">
        <f t="shared" ref="U14:U195" si="5">-IPMT($B$5/$C$7,Q14,$B$8,$B$3)</f>
        <v>208.3333333</v>
      </c>
      <c r="V14" s="40">
        <f t="shared" ref="V14:V195" si="6">-PPMT($B$5/$C$7,Q14,$B$8,$B$3)</f>
        <v>498.3621203</v>
      </c>
      <c r="W14" s="26">
        <f t="shared" ref="W14:W195" si="7">S14-V14</f>
        <v>49501.63788</v>
      </c>
      <c r="X14" s="39">
        <f t="shared" ref="X14:X195" si="8">W14/$B$4</f>
        <v>0.6187704735</v>
      </c>
      <c r="Y14" s="40">
        <f t="shared" ref="Y14:Z14" si="1">U14+Y13</f>
        <v>208.3333333</v>
      </c>
      <c r="Z14" s="40">
        <f t="shared" si="1"/>
        <v>498.3621203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>
      <c r="A15" s="2"/>
      <c r="B15" s="2"/>
      <c r="C15" s="2"/>
      <c r="D15" s="2"/>
      <c r="E15" s="2"/>
      <c r="F15" s="13">
        <f>IFERROR(__xludf.DUMMYFUNCTION("""COMPUTED_VALUE"""),2.0)</f>
        <v>2</v>
      </c>
      <c r="G15" s="17">
        <f>IFERROR(__xludf.DUMMYFUNCTION("""COMPUTED_VALUE"""),43511.0)</f>
        <v>43511</v>
      </c>
      <c r="H15" s="26">
        <f>IFERROR(__xludf.DUMMYFUNCTION("""COMPUTED_VALUE"""),49501.63787973798)</f>
        <v>49501.63788</v>
      </c>
      <c r="I15" s="40">
        <f>IFERROR(__xludf.DUMMYFUNCTION("""COMPUTED_VALUE"""),706.6954535953523)</f>
        <v>706.6954536</v>
      </c>
      <c r="J15" s="40">
        <f>IFERROR(__xludf.DUMMYFUNCTION("""COMPUTED_VALUE"""),206.25682449890826)</f>
        <v>206.2568245</v>
      </c>
      <c r="K15" s="40">
        <f>IFERROR(__xludf.DUMMYFUNCTION("""COMPUTED_VALUE"""),500.4386290964442)</f>
        <v>500.4386291</v>
      </c>
      <c r="L15" s="26">
        <f>IFERROR(__xludf.DUMMYFUNCTION("""COMPUTED_VALUE"""),49001.19925064153)</f>
        <v>49001.19925</v>
      </c>
      <c r="M15" s="39">
        <f>IFERROR(__xludf.DUMMYFUNCTION("""COMPUTED_VALUE"""),0.6125149906330192)</f>
        <v>0.6125149906</v>
      </c>
      <c r="N15" s="40">
        <f>IFERROR(__xludf.DUMMYFUNCTION("""COMPUTED_VALUE"""),414.5901578322415)</f>
        <v>414.5901578</v>
      </c>
      <c r="O15" s="40">
        <f>IFERROR(__xludf.DUMMYFUNCTION("""COMPUTED_VALUE"""),998.8007493584632)</f>
        <v>998.8007494</v>
      </c>
      <c r="P15" s="2"/>
      <c r="Q15" s="13">
        <v>2.0</v>
      </c>
      <c r="R15" s="17">
        <f t="shared" si="2"/>
        <v>43511</v>
      </c>
      <c r="S15" s="26">
        <f t="shared" si="3"/>
        <v>49501.63788</v>
      </c>
      <c r="T15" s="40">
        <f t="shared" si="4"/>
        <v>706.6954536</v>
      </c>
      <c r="U15" s="40">
        <f t="shared" si="5"/>
        <v>206.2568245</v>
      </c>
      <c r="V15" s="40">
        <f t="shared" si="6"/>
        <v>500.4386291</v>
      </c>
      <c r="W15" s="26">
        <f t="shared" si="7"/>
        <v>49001.19925</v>
      </c>
      <c r="X15" s="39">
        <f t="shared" si="8"/>
        <v>0.6125149906</v>
      </c>
      <c r="Y15" s="40">
        <f t="shared" ref="Y15:Z15" si="9">U15+Y14</f>
        <v>414.5901578</v>
      </c>
      <c r="Z15" s="40">
        <f t="shared" si="9"/>
        <v>998.8007494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>
      <c r="A16" s="2"/>
      <c r="B16" s="2"/>
      <c r="C16" s="2"/>
      <c r="D16" s="2"/>
      <c r="E16" s="2"/>
      <c r="F16" s="13">
        <f>IFERROR(__xludf.DUMMYFUNCTION("""COMPUTED_VALUE"""),3.0)</f>
        <v>3</v>
      </c>
      <c r="G16" s="17">
        <f>IFERROR(__xludf.DUMMYFUNCTION("""COMPUTED_VALUE"""),43524.0)</f>
        <v>43524</v>
      </c>
      <c r="H16" s="26">
        <f>IFERROR(__xludf.DUMMYFUNCTION("""COMPUTED_VALUE"""),49001.19925064153)</f>
        <v>49001.19925</v>
      </c>
      <c r="I16" s="40">
        <f>IFERROR(__xludf.DUMMYFUNCTION("""COMPUTED_VALUE"""),706.6954535953523)</f>
        <v>706.6954536</v>
      </c>
      <c r="J16" s="40">
        <f>IFERROR(__xludf.DUMMYFUNCTION("""COMPUTED_VALUE"""),204.1716635443397)</f>
        <v>204.1716635</v>
      </c>
      <c r="K16" s="40">
        <f>IFERROR(__xludf.DUMMYFUNCTION("""COMPUTED_VALUE"""),502.52379005101267)</f>
        <v>502.5237901</v>
      </c>
      <c r="L16" s="26">
        <f>IFERROR(__xludf.DUMMYFUNCTION("""COMPUTED_VALUE"""),48498.67546059052)</f>
        <v>48498.67546</v>
      </c>
      <c r="M16" s="39">
        <f>IFERROR(__xludf.DUMMYFUNCTION("""COMPUTED_VALUE"""),0.6062334432573815)</f>
        <v>0.6062334433</v>
      </c>
      <c r="N16" s="40">
        <f>IFERROR(__xludf.DUMMYFUNCTION("""COMPUTED_VALUE"""),618.7618213765812)</f>
        <v>618.7618214</v>
      </c>
      <c r="O16" s="40">
        <f>IFERROR(__xludf.DUMMYFUNCTION("""COMPUTED_VALUE"""),1501.3245394094758)</f>
        <v>1501.324539</v>
      </c>
      <c r="P16" s="2"/>
      <c r="Q16" s="13">
        <v>3.0</v>
      </c>
      <c r="R16" s="17">
        <f t="shared" si="2"/>
        <v>43524</v>
      </c>
      <c r="S16" s="26">
        <f t="shared" si="3"/>
        <v>49001.19925</v>
      </c>
      <c r="T16" s="40">
        <f t="shared" si="4"/>
        <v>706.6954536</v>
      </c>
      <c r="U16" s="40">
        <f t="shared" si="5"/>
        <v>204.1716635</v>
      </c>
      <c r="V16" s="40">
        <f t="shared" si="6"/>
        <v>502.5237901</v>
      </c>
      <c r="W16" s="26">
        <f t="shared" si="7"/>
        <v>48498.67546</v>
      </c>
      <c r="X16" s="39">
        <f t="shared" si="8"/>
        <v>0.6062334433</v>
      </c>
      <c r="Y16" s="40">
        <f t="shared" ref="Y16:Z16" si="10">U16+Y15</f>
        <v>618.7618214</v>
      </c>
      <c r="Z16" s="40">
        <f t="shared" si="10"/>
        <v>1501.324539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>
      <c r="A17" s="2"/>
      <c r="B17" s="2"/>
      <c r="C17" s="2"/>
      <c r="D17" s="2"/>
      <c r="E17" s="2"/>
      <c r="F17" s="13">
        <f>IFERROR(__xludf.DUMMYFUNCTION("""COMPUTED_VALUE"""),4.0)</f>
        <v>4</v>
      </c>
      <c r="G17" s="17">
        <f>IFERROR(__xludf.DUMMYFUNCTION("""COMPUTED_VALUE"""),43539.0)</f>
        <v>43539</v>
      </c>
      <c r="H17" s="26">
        <f>IFERROR(__xludf.DUMMYFUNCTION("""COMPUTED_VALUE"""),48498.67546059052)</f>
        <v>48498.67546</v>
      </c>
      <c r="I17" s="40">
        <f>IFERROR(__xludf.DUMMYFUNCTION("""COMPUTED_VALUE"""),706.6954535953523)</f>
        <v>706.6954536</v>
      </c>
      <c r="J17" s="40">
        <f>IFERROR(__xludf.DUMMYFUNCTION("""COMPUTED_VALUE"""),202.07781441912724)</f>
        <v>202.0778144</v>
      </c>
      <c r="K17" s="40">
        <f>IFERROR(__xludf.DUMMYFUNCTION("""COMPUTED_VALUE"""),504.61763917622517)</f>
        <v>504.6176392</v>
      </c>
      <c r="L17" s="26">
        <f>IFERROR(__xludf.DUMMYFUNCTION("""COMPUTED_VALUE"""),47994.057821414295)</f>
        <v>47994.05782</v>
      </c>
      <c r="M17" s="39">
        <f>IFERROR(__xludf.DUMMYFUNCTION("""COMPUTED_VALUE"""),0.5999257227676786)</f>
        <v>0.5999257228</v>
      </c>
      <c r="N17" s="40">
        <f>IFERROR(__xludf.DUMMYFUNCTION("""COMPUTED_VALUE"""),820.8396357957084)</f>
        <v>820.8396358</v>
      </c>
      <c r="O17" s="40">
        <f>IFERROR(__xludf.DUMMYFUNCTION("""COMPUTED_VALUE"""),2005.942178585701)</f>
        <v>2005.942179</v>
      </c>
      <c r="P17" s="2"/>
      <c r="Q17" s="13">
        <v>4.0</v>
      </c>
      <c r="R17" s="17">
        <f t="shared" si="2"/>
        <v>43539</v>
      </c>
      <c r="S17" s="26">
        <f t="shared" si="3"/>
        <v>48498.67546</v>
      </c>
      <c r="T17" s="40">
        <f t="shared" si="4"/>
        <v>706.6954536</v>
      </c>
      <c r="U17" s="40">
        <f t="shared" si="5"/>
        <v>202.0778144</v>
      </c>
      <c r="V17" s="40">
        <f t="shared" si="6"/>
        <v>504.6176392</v>
      </c>
      <c r="W17" s="26">
        <f t="shared" si="7"/>
        <v>47994.05782</v>
      </c>
      <c r="X17" s="39">
        <f t="shared" si="8"/>
        <v>0.5999257228</v>
      </c>
      <c r="Y17" s="40">
        <f t="shared" ref="Y17:Z17" si="11">U17+Y16</f>
        <v>820.8396358</v>
      </c>
      <c r="Z17" s="40">
        <f t="shared" si="11"/>
        <v>2005.942179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>
      <c r="A18" s="2"/>
      <c r="B18" s="2"/>
      <c r="C18" s="2"/>
      <c r="D18" s="2"/>
      <c r="E18" s="2"/>
      <c r="F18" s="13">
        <f>IFERROR(__xludf.DUMMYFUNCTION("""COMPUTED_VALUE"""),5.0)</f>
        <v>5</v>
      </c>
      <c r="G18" s="17">
        <f>IFERROR(__xludf.DUMMYFUNCTION("""COMPUTED_VALUE"""),43555.0)</f>
        <v>43555</v>
      </c>
      <c r="H18" s="26">
        <f>IFERROR(__xludf.DUMMYFUNCTION("""COMPUTED_VALUE"""),47994.057821414295)</f>
        <v>47994.05782</v>
      </c>
      <c r="I18" s="40">
        <f>IFERROR(__xludf.DUMMYFUNCTION("""COMPUTED_VALUE"""),706.6954535953523)</f>
        <v>706.6954536</v>
      </c>
      <c r="J18" s="40">
        <f>IFERROR(__xludf.DUMMYFUNCTION("""COMPUTED_VALUE"""),199.97524092255966)</f>
        <v>199.9752409</v>
      </c>
      <c r="K18" s="40">
        <f>IFERROR(__xludf.DUMMYFUNCTION("""COMPUTED_VALUE"""),506.7202126727928)</f>
        <v>506.7202127</v>
      </c>
      <c r="L18" s="26">
        <f>IFERROR(__xludf.DUMMYFUNCTION("""COMPUTED_VALUE"""),47487.3376087415)</f>
        <v>47487.33761</v>
      </c>
      <c r="M18" s="39">
        <f>IFERROR(__xludf.DUMMYFUNCTION("""COMPUTED_VALUE"""),0.5935917201092688)</f>
        <v>0.5935917201</v>
      </c>
      <c r="N18" s="40">
        <f>IFERROR(__xludf.DUMMYFUNCTION("""COMPUTED_VALUE"""),1020.8148767182681)</f>
        <v>1020.814877</v>
      </c>
      <c r="O18" s="40">
        <f>IFERROR(__xludf.DUMMYFUNCTION("""COMPUTED_VALUE"""),2512.6623912584937)</f>
        <v>2512.662391</v>
      </c>
      <c r="P18" s="2"/>
      <c r="Q18" s="13">
        <v>5.0</v>
      </c>
      <c r="R18" s="17">
        <f t="shared" si="2"/>
        <v>43555</v>
      </c>
      <c r="S18" s="26">
        <f t="shared" si="3"/>
        <v>47994.05782</v>
      </c>
      <c r="T18" s="40">
        <f t="shared" si="4"/>
        <v>706.6954536</v>
      </c>
      <c r="U18" s="40">
        <f t="shared" si="5"/>
        <v>199.9752409</v>
      </c>
      <c r="V18" s="40">
        <f t="shared" si="6"/>
        <v>506.7202127</v>
      </c>
      <c r="W18" s="26">
        <f t="shared" si="7"/>
        <v>47487.33761</v>
      </c>
      <c r="X18" s="39">
        <f t="shared" si="8"/>
        <v>0.5935917201</v>
      </c>
      <c r="Y18" s="40">
        <f t="shared" ref="Y18:Z18" si="12">U18+Y17</f>
        <v>1020.814877</v>
      </c>
      <c r="Z18" s="40">
        <f t="shared" si="12"/>
        <v>2512.662391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>
      <c r="A19" s="2"/>
      <c r="B19" s="2"/>
      <c r="C19" s="2"/>
      <c r="D19" s="2"/>
      <c r="E19" s="2"/>
      <c r="F19" s="13">
        <f>IFERROR(__xludf.DUMMYFUNCTION("""COMPUTED_VALUE"""),6.0)</f>
        <v>6</v>
      </c>
      <c r="G19" s="17">
        <f>IFERROR(__xludf.DUMMYFUNCTION("""COMPUTED_VALUE"""),43570.0)</f>
        <v>43570</v>
      </c>
      <c r="H19" s="26">
        <f>IFERROR(__xludf.DUMMYFUNCTION("""COMPUTED_VALUE"""),47487.3376087415)</f>
        <v>47487.33761</v>
      </c>
      <c r="I19" s="40">
        <f>IFERROR(__xludf.DUMMYFUNCTION("""COMPUTED_VALUE"""),706.6954535953523)</f>
        <v>706.6954536</v>
      </c>
      <c r="J19" s="40">
        <f>IFERROR(__xludf.DUMMYFUNCTION("""COMPUTED_VALUE"""),197.86390670308958)</f>
        <v>197.8639067</v>
      </c>
      <c r="K19" s="40">
        <f>IFERROR(__xludf.DUMMYFUNCTION("""COMPUTED_VALUE"""),508.8315468922628)</f>
        <v>508.8315469</v>
      </c>
      <c r="L19" s="26">
        <f>IFERROR(__xludf.DUMMYFUNCTION("""COMPUTED_VALUE"""),46978.50606184924)</f>
        <v>46978.50606</v>
      </c>
      <c r="M19" s="39">
        <f>IFERROR(__xludf.DUMMYFUNCTION("""COMPUTED_VALUE"""),0.5872313257731155)</f>
        <v>0.5872313258</v>
      </c>
      <c r="N19" s="40">
        <f>IFERROR(__xludf.DUMMYFUNCTION("""COMPUTED_VALUE"""),1218.6787834213578)</f>
        <v>1218.678783</v>
      </c>
      <c r="O19" s="40">
        <f>IFERROR(__xludf.DUMMYFUNCTION("""COMPUTED_VALUE"""),3021.4939381507565)</f>
        <v>3021.493938</v>
      </c>
      <c r="P19" s="2"/>
      <c r="Q19" s="13">
        <v>6.0</v>
      </c>
      <c r="R19" s="17">
        <f t="shared" si="2"/>
        <v>43570</v>
      </c>
      <c r="S19" s="26">
        <f t="shared" si="3"/>
        <v>47487.33761</v>
      </c>
      <c r="T19" s="40">
        <f t="shared" si="4"/>
        <v>706.6954536</v>
      </c>
      <c r="U19" s="40">
        <f t="shared" si="5"/>
        <v>197.8639067</v>
      </c>
      <c r="V19" s="40">
        <f t="shared" si="6"/>
        <v>508.8315469</v>
      </c>
      <c r="W19" s="26">
        <f t="shared" si="7"/>
        <v>46978.50606</v>
      </c>
      <c r="X19" s="39">
        <f t="shared" si="8"/>
        <v>0.5872313258</v>
      </c>
      <c r="Y19" s="40">
        <f t="shared" ref="Y19:Z19" si="13">U19+Y18</f>
        <v>1218.678783</v>
      </c>
      <c r="Z19" s="40">
        <f t="shared" si="13"/>
        <v>3021.493938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>
      <c r="A20" s="2"/>
      <c r="B20" s="2"/>
      <c r="C20" s="2"/>
      <c r="D20" s="2"/>
      <c r="E20" s="2"/>
      <c r="F20" s="13">
        <f>IFERROR(__xludf.DUMMYFUNCTION("""COMPUTED_VALUE"""),7.0)</f>
        <v>7</v>
      </c>
      <c r="G20" s="17">
        <f>IFERROR(__xludf.DUMMYFUNCTION("""COMPUTED_VALUE"""),43585.0)</f>
        <v>43585</v>
      </c>
      <c r="H20" s="26">
        <f>IFERROR(__xludf.DUMMYFUNCTION("""COMPUTED_VALUE"""),46978.50606184924)</f>
        <v>46978.50606</v>
      </c>
      <c r="I20" s="40">
        <f>IFERROR(__xludf.DUMMYFUNCTION("""COMPUTED_VALUE"""),706.6954535953523)</f>
        <v>706.6954536</v>
      </c>
      <c r="J20" s="40">
        <f>IFERROR(__xludf.DUMMYFUNCTION("""COMPUTED_VALUE"""),195.74377525770518)</f>
        <v>195.7437753</v>
      </c>
      <c r="K20" s="40">
        <f>IFERROR(__xludf.DUMMYFUNCTION("""COMPUTED_VALUE"""),510.9516783376472)</f>
        <v>510.9516783</v>
      </c>
      <c r="L20" s="26">
        <f>IFERROR(__xludf.DUMMYFUNCTION("""COMPUTED_VALUE"""),46467.5543835116)</f>
        <v>46467.55438</v>
      </c>
      <c r="M20" s="39">
        <f>IFERROR(__xludf.DUMMYFUNCTION("""COMPUTED_VALUE"""),0.580844429793895)</f>
        <v>0.5808444298</v>
      </c>
      <c r="N20" s="40">
        <f>IFERROR(__xludf.DUMMYFUNCTION("""COMPUTED_VALUE"""),1414.422558679063)</f>
        <v>1414.422559</v>
      </c>
      <c r="O20" s="40">
        <f>IFERROR(__xludf.DUMMYFUNCTION("""COMPUTED_VALUE"""),3532.4456164884036)</f>
        <v>3532.445616</v>
      </c>
      <c r="P20" s="2"/>
      <c r="Q20" s="13">
        <v>7.0</v>
      </c>
      <c r="R20" s="17">
        <f t="shared" si="2"/>
        <v>43585</v>
      </c>
      <c r="S20" s="26">
        <f t="shared" si="3"/>
        <v>46978.50606</v>
      </c>
      <c r="T20" s="40">
        <f t="shared" si="4"/>
        <v>706.6954536</v>
      </c>
      <c r="U20" s="40">
        <f t="shared" si="5"/>
        <v>195.7437753</v>
      </c>
      <c r="V20" s="40">
        <f t="shared" si="6"/>
        <v>510.9516783</v>
      </c>
      <c r="W20" s="26">
        <f t="shared" si="7"/>
        <v>46467.55438</v>
      </c>
      <c r="X20" s="39">
        <f t="shared" si="8"/>
        <v>0.5808444298</v>
      </c>
      <c r="Y20" s="40">
        <f t="shared" ref="Y20:Z20" si="14">U20+Y19</f>
        <v>1414.422559</v>
      </c>
      <c r="Z20" s="40">
        <f t="shared" si="14"/>
        <v>3532.445616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>
      <c r="A21" s="2"/>
      <c r="B21" s="2"/>
      <c r="C21" s="2"/>
      <c r="D21" s="2"/>
      <c r="E21" s="2"/>
      <c r="F21" s="13">
        <f>IFERROR(__xludf.DUMMYFUNCTION("""COMPUTED_VALUE"""),8.0)</f>
        <v>8</v>
      </c>
      <c r="G21" s="17">
        <f>IFERROR(__xludf.DUMMYFUNCTION("""COMPUTED_VALUE"""),43600.0)</f>
        <v>43600</v>
      </c>
      <c r="H21" s="26">
        <f>IFERROR(__xludf.DUMMYFUNCTION("""COMPUTED_VALUE"""),46467.5543835116)</f>
        <v>46467.55438</v>
      </c>
      <c r="I21" s="40">
        <f>IFERROR(__xludf.DUMMYFUNCTION("""COMPUTED_VALUE"""),706.6954535953523)</f>
        <v>706.6954536</v>
      </c>
      <c r="J21" s="40">
        <f>IFERROR(__xludf.DUMMYFUNCTION("""COMPUTED_VALUE"""),193.61480993129837)</f>
        <v>193.6148099</v>
      </c>
      <c r="K21" s="40">
        <f>IFERROR(__xludf.DUMMYFUNCTION("""COMPUTED_VALUE"""),513.0806436640539)</f>
        <v>513.0806437</v>
      </c>
      <c r="L21" s="26">
        <f>IFERROR(__xludf.DUMMYFUNCTION("""COMPUTED_VALUE"""),45954.47373984754)</f>
        <v>45954.47374</v>
      </c>
      <c r="M21" s="39">
        <f>IFERROR(__xludf.DUMMYFUNCTION("""COMPUTED_VALUE"""),0.5744309217480943)</f>
        <v>0.5744309217</v>
      </c>
      <c r="N21" s="40">
        <f>IFERROR(__xludf.DUMMYFUNCTION("""COMPUTED_VALUE"""),1608.0373686103615)</f>
        <v>1608.037369</v>
      </c>
      <c r="O21" s="40">
        <f>IFERROR(__xludf.DUMMYFUNCTION("""COMPUTED_VALUE"""),4045.5262601524573)</f>
        <v>4045.52626</v>
      </c>
      <c r="P21" s="2"/>
      <c r="Q21" s="13">
        <v>8.0</v>
      </c>
      <c r="R21" s="17">
        <f t="shared" si="2"/>
        <v>43600</v>
      </c>
      <c r="S21" s="26">
        <f t="shared" si="3"/>
        <v>46467.55438</v>
      </c>
      <c r="T21" s="40">
        <f t="shared" si="4"/>
        <v>706.6954536</v>
      </c>
      <c r="U21" s="40">
        <f t="shared" si="5"/>
        <v>193.6148099</v>
      </c>
      <c r="V21" s="40">
        <f t="shared" si="6"/>
        <v>513.0806437</v>
      </c>
      <c r="W21" s="26">
        <f t="shared" si="7"/>
        <v>45954.47374</v>
      </c>
      <c r="X21" s="39">
        <f t="shared" si="8"/>
        <v>0.5744309217</v>
      </c>
      <c r="Y21" s="40">
        <f t="shared" ref="Y21:Z21" si="15">U21+Y20</f>
        <v>1608.037369</v>
      </c>
      <c r="Z21" s="40">
        <f t="shared" si="15"/>
        <v>4045.52626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>
      <c r="A22" s="2"/>
      <c r="B22" s="2"/>
      <c r="C22" s="2"/>
      <c r="D22" s="2"/>
      <c r="E22" s="2"/>
      <c r="F22" s="13">
        <f>IFERROR(__xludf.DUMMYFUNCTION("""COMPUTED_VALUE"""),9.0)</f>
        <v>9</v>
      </c>
      <c r="G22" s="17">
        <f>IFERROR(__xludf.DUMMYFUNCTION("""COMPUTED_VALUE"""),43616.0)</f>
        <v>43616</v>
      </c>
      <c r="H22" s="26">
        <f>IFERROR(__xludf.DUMMYFUNCTION("""COMPUTED_VALUE"""),45954.47373984754)</f>
        <v>45954.47374</v>
      </c>
      <c r="I22" s="40">
        <f>IFERROR(__xludf.DUMMYFUNCTION("""COMPUTED_VALUE"""),706.6954535953523)</f>
        <v>706.6954536</v>
      </c>
      <c r="J22" s="40">
        <f>IFERROR(__xludf.DUMMYFUNCTION("""COMPUTED_VALUE"""),191.47697391603148)</f>
        <v>191.4769739</v>
      </c>
      <c r="K22" s="40">
        <f>IFERROR(__xludf.DUMMYFUNCTION("""COMPUTED_VALUE"""),515.2184796793209)</f>
        <v>515.2184797</v>
      </c>
      <c r="L22" s="26">
        <f>IFERROR(__xludf.DUMMYFUNCTION("""COMPUTED_VALUE"""),45439.25526016822)</f>
        <v>45439.25526</v>
      </c>
      <c r="M22" s="39">
        <f>IFERROR(__xludf.DUMMYFUNCTION("""COMPUTED_VALUE"""),0.5679906907521027)</f>
        <v>0.5679906908</v>
      </c>
      <c r="N22" s="40">
        <f>IFERROR(__xludf.DUMMYFUNCTION("""COMPUTED_VALUE"""),1799.514342526393)</f>
        <v>1799.514343</v>
      </c>
      <c r="O22" s="40">
        <f>IFERROR(__xludf.DUMMYFUNCTION("""COMPUTED_VALUE"""),4560.744739831778)</f>
        <v>4560.74474</v>
      </c>
      <c r="P22" s="2"/>
      <c r="Q22" s="13">
        <v>9.0</v>
      </c>
      <c r="R22" s="17">
        <f t="shared" si="2"/>
        <v>43616</v>
      </c>
      <c r="S22" s="26">
        <f t="shared" si="3"/>
        <v>45954.47374</v>
      </c>
      <c r="T22" s="40">
        <f t="shared" si="4"/>
        <v>706.6954536</v>
      </c>
      <c r="U22" s="40">
        <f t="shared" si="5"/>
        <v>191.4769739</v>
      </c>
      <c r="V22" s="40">
        <f t="shared" si="6"/>
        <v>515.2184797</v>
      </c>
      <c r="W22" s="26">
        <f t="shared" si="7"/>
        <v>45439.25526</v>
      </c>
      <c r="X22" s="39">
        <f t="shared" si="8"/>
        <v>0.5679906908</v>
      </c>
      <c r="Y22" s="40">
        <f t="shared" ref="Y22:Z22" si="16">U22+Y21</f>
        <v>1799.514343</v>
      </c>
      <c r="Z22" s="40">
        <f t="shared" si="16"/>
        <v>4560.74474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>
      <c r="A23" s="2"/>
      <c r="B23" s="2"/>
      <c r="C23" s="2"/>
      <c r="D23" s="2"/>
      <c r="E23" s="2"/>
      <c r="F23" s="13">
        <f>IFERROR(__xludf.DUMMYFUNCTION("""COMPUTED_VALUE"""),10.0)</f>
        <v>10</v>
      </c>
      <c r="G23" s="17">
        <f>IFERROR(__xludf.DUMMYFUNCTION("""COMPUTED_VALUE"""),43631.0)</f>
        <v>43631</v>
      </c>
      <c r="H23" s="26">
        <f>IFERROR(__xludf.DUMMYFUNCTION("""COMPUTED_VALUE"""),45439.25526016822)</f>
        <v>45439.25526</v>
      </c>
      <c r="I23" s="40">
        <f>IFERROR(__xludf.DUMMYFUNCTION("""COMPUTED_VALUE"""),706.6954535953523)</f>
        <v>706.6954536</v>
      </c>
      <c r="J23" s="40">
        <f>IFERROR(__xludf.DUMMYFUNCTION("""COMPUTED_VALUE"""),189.33023025070096)</f>
        <v>189.3302303</v>
      </c>
      <c r="K23" s="40">
        <f>IFERROR(__xludf.DUMMYFUNCTION("""COMPUTED_VALUE"""),517.3652233446514)</f>
        <v>517.3652233</v>
      </c>
      <c r="L23" s="26">
        <f>IFERROR(__xludf.DUMMYFUNCTION("""COMPUTED_VALUE"""),44921.89003682357)</f>
        <v>44921.89004</v>
      </c>
      <c r="M23" s="39">
        <f>IFERROR(__xludf.DUMMYFUNCTION("""COMPUTED_VALUE"""),0.5615236254602947)</f>
        <v>0.5615236255</v>
      </c>
      <c r="N23" s="40">
        <f>IFERROR(__xludf.DUMMYFUNCTION("""COMPUTED_VALUE"""),1988.8445727770938)</f>
        <v>1988.844573</v>
      </c>
      <c r="O23" s="40">
        <f>IFERROR(__xludf.DUMMYFUNCTION("""COMPUTED_VALUE"""),5078.10996317643)</f>
        <v>5078.109963</v>
      </c>
      <c r="P23" s="2"/>
      <c r="Q23" s="13">
        <v>10.0</v>
      </c>
      <c r="R23" s="17">
        <f t="shared" si="2"/>
        <v>43631</v>
      </c>
      <c r="S23" s="26">
        <f t="shared" si="3"/>
        <v>45439.25526</v>
      </c>
      <c r="T23" s="40">
        <f t="shared" si="4"/>
        <v>706.6954536</v>
      </c>
      <c r="U23" s="40">
        <f t="shared" si="5"/>
        <v>189.3302303</v>
      </c>
      <c r="V23" s="40">
        <f t="shared" si="6"/>
        <v>517.3652233</v>
      </c>
      <c r="W23" s="26">
        <f t="shared" si="7"/>
        <v>44921.89004</v>
      </c>
      <c r="X23" s="39">
        <f t="shared" si="8"/>
        <v>0.5615236255</v>
      </c>
      <c r="Y23" s="40">
        <f t="shared" ref="Y23:Z23" si="17">U23+Y22</f>
        <v>1988.844573</v>
      </c>
      <c r="Z23" s="40">
        <f t="shared" si="17"/>
        <v>5078.109963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s="2"/>
      <c r="B24" s="2"/>
      <c r="C24" s="2"/>
      <c r="D24" s="2"/>
      <c r="E24" s="2"/>
      <c r="F24" s="13">
        <f>IFERROR(__xludf.DUMMYFUNCTION("""COMPUTED_VALUE"""),11.0)</f>
        <v>11</v>
      </c>
      <c r="G24" s="17">
        <f>IFERROR(__xludf.DUMMYFUNCTION("""COMPUTED_VALUE"""),43646.0)</f>
        <v>43646</v>
      </c>
      <c r="H24" s="26">
        <f>IFERROR(__xludf.DUMMYFUNCTION("""COMPUTED_VALUE"""),44921.89003682357)</f>
        <v>44921.89004</v>
      </c>
      <c r="I24" s="40">
        <f>IFERROR(__xludf.DUMMYFUNCTION("""COMPUTED_VALUE"""),706.6954535953523)</f>
        <v>706.6954536</v>
      </c>
      <c r="J24" s="40">
        <f>IFERROR(__xludf.DUMMYFUNCTION("""COMPUTED_VALUE"""),187.17454182009834)</f>
        <v>187.1745418</v>
      </c>
      <c r="K24" s="40">
        <f>IFERROR(__xludf.DUMMYFUNCTION("""COMPUTED_VALUE"""),519.520911775254)</f>
        <v>519.5209118</v>
      </c>
      <c r="L24" s="26">
        <f>IFERROR(__xludf.DUMMYFUNCTION("""COMPUTED_VALUE"""),44402.36912504832)</f>
        <v>44402.36913</v>
      </c>
      <c r="M24" s="39">
        <f>IFERROR(__xludf.DUMMYFUNCTION("""COMPUTED_VALUE"""),0.5550296140631039)</f>
        <v>0.5550296141</v>
      </c>
      <c r="N24" s="40">
        <f>IFERROR(__xludf.DUMMYFUNCTION("""COMPUTED_VALUE"""),2176.019114597192)</f>
        <v>2176.019115</v>
      </c>
      <c r="O24" s="40">
        <f>IFERROR(__xludf.DUMMYFUNCTION("""COMPUTED_VALUE"""),5597.630874951684)</f>
        <v>5597.630875</v>
      </c>
      <c r="P24" s="2"/>
      <c r="Q24" s="13">
        <v>11.0</v>
      </c>
      <c r="R24" s="17">
        <f t="shared" si="2"/>
        <v>43646</v>
      </c>
      <c r="S24" s="26">
        <f t="shared" si="3"/>
        <v>44921.89004</v>
      </c>
      <c r="T24" s="40">
        <f t="shared" si="4"/>
        <v>706.6954536</v>
      </c>
      <c r="U24" s="40">
        <f t="shared" si="5"/>
        <v>187.1745418</v>
      </c>
      <c r="V24" s="40">
        <f t="shared" si="6"/>
        <v>519.5209118</v>
      </c>
      <c r="W24" s="26">
        <f t="shared" si="7"/>
        <v>44402.36913</v>
      </c>
      <c r="X24" s="39">
        <f t="shared" si="8"/>
        <v>0.5550296141</v>
      </c>
      <c r="Y24" s="40">
        <f t="shared" ref="Y24:Z24" si="18">U24+Y23</f>
        <v>2176.019115</v>
      </c>
      <c r="Z24" s="40">
        <f t="shared" si="18"/>
        <v>5597.630875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>
      <c r="A25" s="2"/>
      <c r="B25" s="2"/>
      <c r="C25" s="2"/>
      <c r="D25" s="2"/>
      <c r="E25" s="2"/>
      <c r="F25" s="13">
        <f>IFERROR(__xludf.DUMMYFUNCTION("""COMPUTED_VALUE"""),12.0)</f>
        <v>12</v>
      </c>
      <c r="G25" s="17">
        <f>IFERROR(__xludf.DUMMYFUNCTION("""COMPUTED_VALUE"""),43661.0)</f>
        <v>43661</v>
      </c>
      <c r="H25" s="26">
        <f>IFERROR(__xludf.DUMMYFUNCTION("""COMPUTED_VALUE"""),44402.36912504832)</f>
        <v>44402.36913</v>
      </c>
      <c r="I25" s="40">
        <f>IFERROR(__xludf.DUMMYFUNCTION("""COMPUTED_VALUE"""),706.6954535953523)</f>
        <v>706.6954536</v>
      </c>
      <c r="J25" s="40">
        <f>IFERROR(__xludf.DUMMYFUNCTION("""COMPUTED_VALUE"""),185.00987135436802)</f>
        <v>185.0098714</v>
      </c>
      <c r="K25" s="40">
        <f>IFERROR(__xludf.DUMMYFUNCTION("""COMPUTED_VALUE"""),521.6855822409844)</f>
        <v>521.6855822</v>
      </c>
      <c r="L25" s="26">
        <f>IFERROR(__xludf.DUMMYFUNCTION("""COMPUTED_VALUE"""),43880.68354280733)</f>
        <v>43880.68354</v>
      </c>
      <c r="M25" s="39">
        <f>IFERROR(__xludf.DUMMYFUNCTION("""COMPUTED_VALUE"""),0.5485085442850917)</f>
        <v>0.5485085443</v>
      </c>
      <c r="N25" s="40">
        <f>IFERROR(__xludf.DUMMYFUNCTION("""COMPUTED_VALUE"""),2361.02898595156)</f>
        <v>2361.028986</v>
      </c>
      <c r="O25" s="40">
        <f>IFERROR(__xludf.DUMMYFUNCTION("""COMPUTED_VALUE"""),6119.316457192668)</f>
        <v>6119.316457</v>
      </c>
      <c r="P25" s="2"/>
      <c r="Q25" s="13">
        <v>12.0</v>
      </c>
      <c r="R25" s="17">
        <f t="shared" si="2"/>
        <v>43661</v>
      </c>
      <c r="S25" s="26">
        <f t="shared" si="3"/>
        <v>44402.36913</v>
      </c>
      <c r="T25" s="40">
        <f t="shared" si="4"/>
        <v>706.6954536</v>
      </c>
      <c r="U25" s="40">
        <f t="shared" si="5"/>
        <v>185.0098714</v>
      </c>
      <c r="V25" s="40">
        <f t="shared" si="6"/>
        <v>521.6855822</v>
      </c>
      <c r="W25" s="26">
        <f t="shared" si="7"/>
        <v>43880.68354</v>
      </c>
      <c r="X25" s="39">
        <f t="shared" si="8"/>
        <v>0.5485085443</v>
      </c>
      <c r="Y25" s="40">
        <f t="shared" ref="Y25:Z25" si="19">U25+Y24</f>
        <v>2361.028986</v>
      </c>
      <c r="Z25" s="40">
        <f t="shared" si="19"/>
        <v>6119.316457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>
      <c r="A26" s="2"/>
      <c r="B26" s="2"/>
      <c r="C26" s="2"/>
      <c r="D26" s="2"/>
      <c r="E26" s="2"/>
      <c r="F26" s="13">
        <f>IFERROR(__xludf.DUMMYFUNCTION("""COMPUTED_VALUE"""),13.0)</f>
        <v>13</v>
      </c>
      <c r="G26" s="17">
        <f>IFERROR(__xludf.DUMMYFUNCTION("""COMPUTED_VALUE"""),43677.0)</f>
        <v>43677</v>
      </c>
      <c r="H26" s="26">
        <f>IFERROR(__xludf.DUMMYFUNCTION("""COMPUTED_VALUE"""),43880.68354280733)</f>
        <v>43880.68354</v>
      </c>
      <c r="I26" s="40">
        <f>IFERROR(__xludf.DUMMYFUNCTION("""COMPUTED_VALUE"""),706.6954535953523)</f>
        <v>706.6954536</v>
      </c>
      <c r="J26" s="40">
        <f>IFERROR(__xludf.DUMMYFUNCTION("""COMPUTED_VALUE"""),182.83618142836397)</f>
        <v>182.8361814</v>
      </c>
      <c r="K26" s="40">
        <f>IFERROR(__xludf.DUMMYFUNCTION("""COMPUTED_VALUE"""),523.8592721669884)</f>
        <v>523.8592722</v>
      </c>
      <c r="L26" s="26">
        <f>IFERROR(__xludf.DUMMYFUNCTION("""COMPUTED_VALUE"""),43356.82427064034)</f>
        <v>43356.82427</v>
      </c>
      <c r="M26" s="39">
        <f>IFERROR(__xludf.DUMMYFUNCTION("""COMPUTED_VALUE"""),0.5419603033830043)</f>
        <v>0.5419603034</v>
      </c>
      <c r="N26" s="40">
        <f>IFERROR(__xludf.DUMMYFUNCTION("""COMPUTED_VALUE"""),2543.865167379924)</f>
        <v>2543.865167</v>
      </c>
      <c r="O26" s="40">
        <f>IFERROR(__xludf.DUMMYFUNCTION("""COMPUTED_VALUE"""),6643.1757293596565)</f>
        <v>6643.175729</v>
      </c>
      <c r="P26" s="2"/>
      <c r="Q26" s="13">
        <v>13.0</v>
      </c>
      <c r="R26" s="17">
        <f t="shared" si="2"/>
        <v>43677</v>
      </c>
      <c r="S26" s="26">
        <f t="shared" si="3"/>
        <v>43880.68354</v>
      </c>
      <c r="T26" s="40">
        <f t="shared" si="4"/>
        <v>706.6954536</v>
      </c>
      <c r="U26" s="40">
        <f t="shared" si="5"/>
        <v>182.8361814</v>
      </c>
      <c r="V26" s="40">
        <f t="shared" si="6"/>
        <v>523.8592722</v>
      </c>
      <c r="W26" s="26">
        <f t="shared" si="7"/>
        <v>43356.82427</v>
      </c>
      <c r="X26" s="39">
        <f t="shared" si="8"/>
        <v>0.5419603034</v>
      </c>
      <c r="Y26" s="40">
        <f t="shared" ref="Y26:Z26" si="20">U26+Y25</f>
        <v>2543.865167</v>
      </c>
      <c r="Z26" s="40">
        <f t="shared" si="20"/>
        <v>6643.175729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>
      <c r="A27" s="2"/>
      <c r="B27" s="2"/>
      <c r="C27" s="2"/>
      <c r="D27" s="2"/>
      <c r="E27" s="2"/>
      <c r="F27" s="13">
        <f>IFERROR(__xludf.DUMMYFUNCTION("""COMPUTED_VALUE"""),14.0)</f>
        <v>14</v>
      </c>
      <c r="G27" s="17">
        <f>IFERROR(__xludf.DUMMYFUNCTION("""COMPUTED_VALUE"""),43692.0)</f>
        <v>43692</v>
      </c>
      <c r="H27" s="26">
        <f>IFERROR(__xludf.DUMMYFUNCTION("""COMPUTED_VALUE"""),43356.82427064034)</f>
        <v>43356.82427</v>
      </c>
      <c r="I27" s="40">
        <f>IFERROR(__xludf.DUMMYFUNCTION("""COMPUTED_VALUE"""),706.6954535953523)</f>
        <v>706.6954536</v>
      </c>
      <c r="J27" s="40">
        <f>IFERROR(__xludf.DUMMYFUNCTION("""COMPUTED_VALUE"""),180.6534344610015)</f>
        <v>180.6534345</v>
      </c>
      <c r="K27" s="40">
        <f>IFERROR(__xludf.DUMMYFUNCTION("""COMPUTED_VALUE"""),526.042019134351)</f>
        <v>526.0420191</v>
      </c>
      <c r="L27" s="26">
        <f>IFERROR(__xludf.DUMMYFUNCTION("""COMPUTED_VALUE"""),42830.78225150599)</f>
        <v>42830.78225</v>
      </c>
      <c r="M27" s="39">
        <f>IFERROR(__xludf.DUMMYFUNCTION("""COMPUTED_VALUE"""),0.5353847781438249)</f>
        <v>0.5353847781</v>
      </c>
      <c r="N27" s="40">
        <f>IFERROR(__xludf.DUMMYFUNCTION("""COMPUTED_VALUE"""),2724.5186018409254)</f>
        <v>2724.518602</v>
      </c>
      <c r="O27" s="40">
        <f>IFERROR(__xludf.DUMMYFUNCTION("""COMPUTED_VALUE"""),7169.2177484940075)</f>
        <v>7169.217748</v>
      </c>
      <c r="P27" s="2"/>
      <c r="Q27" s="13">
        <v>14.0</v>
      </c>
      <c r="R27" s="17">
        <f t="shared" si="2"/>
        <v>43692</v>
      </c>
      <c r="S27" s="26">
        <f t="shared" si="3"/>
        <v>43356.82427</v>
      </c>
      <c r="T27" s="40">
        <f t="shared" si="4"/>
        <v>706.6954536</v>
      </c>
      <c r="U27" s="40">
        <f t="shared" si="5"/>
        <v>180.6534345</v>
      </c>
      <c r="V27" s="40">
        <f t="shared" si="6"/>
        <v>526.0420191</v>
      </c>
      <c r="W27" s="26">
        <f t="shared" si="7"/>
        <v>42830.78225</v>
      </c>
      <c r="X27" s="39">
        <f t="shared" si="8"/>
        <v>0.5353847781</v>
      </c>
      <c r="Y27" s="40">
        <f t="shared" ref="Y27:Z27" si="21">U27+Y26</f>
        <v>2724.518602</v>
      </c>
      <c r="Z27" s="40">
        <f t="shared" si="21"/>
        <v>7169.217748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>
      <c r="A28" s="2"/>
      <c r="B28" s="2"/>
      <c r="C28" s="2"/>
      <c r="D28" s="2"/>
      <c r="E28" s="2"/>
      <c r="F28" s="13">
        <f>IFERROR(__xludf.DUMMYFUNCTION("""COMPUTED_VALUE"""),15.0)</f>
        <v>15</v>
      </c>
      <c r="G28" s="17">
        <f>IFERROR(__xludf.DUMMYFUNCTION("""COMPUTED_VALUE"""),43708.0)</f>
        <v>43708</v>
      </c>
      <c r="H28" s="26">
        <f>IFERROR(__xludf.DUMMYFUNCTION("""COMPUTED_VALUE"""),42830.78225150599)</f>
        <v>42830.78225</v>
      </c>
      <c r="I28" s="40">
        <f>IFERROR(__xludf.DUMMYFUNCTION("""COMPUTED_VALUE"""),706.6954535953523)</f>
        <v>706.6954536</v>
      </c>
      <c r="J28" s="40">
        <f>IFERROR(__xludf.DUMMYFUNCTION("""COMPUTED_VALUE"""),178.46159271460834)</f>
        <v>178.4615927</v>
      </c>
      <c r="K28" s="40">
        <f>IFERROR(__xludf.DUMMYFUNCTION("""COMPUTED_VALUE"""),528.233860880744)</f>
        <v>528.2338609</v>
      </c>
      <c r="L28" s="26">
        <f>IFERROR(__xludf.DUMMYFUNCTION("""COMPUTED_VALUE"""),42302.54839062525)</f>
        <v>42302.54839</v>
      </c>
      <c r="M28" s="39">
        <f>IFERROR(__xludf.DUMMYFUNCTION("""COMPUTED_VALUE"""),0.5287818548828156)</f>
        <v>0.5287818549</v>
      </c>
      <c r="N28" s="40">
        <f>IFERROR(__xludf.DUMMYFUNCTION("""COMPUTED_VALUE"""),2902.9801945555337)</f>
        <v>2902.980195</v>
      </c>
      <c r="O28" s="40">
        <f>IFERROR(__xludf.DUMMYFUNCTION("""COMPUTED_VALUE"""),7697.451609374752)</f>
        <v>7697.451609</v>
      </c>
      <c r="P28" s="2"/>
      <c r="Q28" s="13">
        <v>15.0</v>
      </c>
      <c r="R28" s="17">
        <f t="shared" si="2"/>
        <v>43708</v>
      </c>
      <c r="S28" s="26">
        <f t="shared" si="3"/>
        <v>42830.78225</v>
      </c>
      <c r="T28" s="40">
        <f t="shared" si="4"/>
        <v>706.6954536</v>
      </c>
      <c r="U28" s="40">
        <f t="shared" si="5"/>
        <v>178.4615927</v>
      </c>
      <c r="V28" s="40">
        <f t="shared" si="6"/>
        <v>528.2338609</v>
      </c>
      <c r="W28" s="26">
        <f t="shared" si="7"/>
        <v>42302.54839</v>
      </c>
      <c r="X28" s="39">
        <f t="shared" si="8"/>
        <v>0.5287818549</v>
      </c>
      <c r="Y28" s="40">
        <f t="shared" ref="Y28:Z28" si="22">U28+Y27</f>
        <v>2902.980195</v>
      </c>
      <c r="Z28" s="40">
        <f t="shared" si="22"/>
        <v>7697.451609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>
      <c r="A29" s="2"/>
      <c r="B29" s="2"/>
      <c r="C29" s="2"/>
      <c r="D29" s="2"/>
      <c r="E29" s="2"/>
      <c r="F29" s="13">
        <f>IFERROR(__xludf.DUMMYFUNCTION("""COMPUTED_VALUE"""),16.0)</f>
        <v>16</v>
      </c>
      <c r="G29" s="17">
        <f>IFERROR(__xludf.DUMMYFUNCTION("""COMPUTED_VALUE"""),43723.0)</f>
        <v>43723</v>
      </c>
      <c r="H29" s="26">
        <f>IFERROR(__xludf.DUMMYFUNCTION("""COMPUTED_VALUE"""),42302.54839062525)</f>
        <v>42302.54839</v>
      </c>
      <c r="I29" s="40">
        <f>IFERROR(__xludf.DUMMYFUNCTION("""COMPUTED_VALUE"""),706.6954535953523)</f>
        <v>706.6954536</v>
      </c>
      <c r="J29" s="40">
        <f>IFERROR(__xludf.DUMMYFUNCTION("""COMPUTED_VALUE"""),176.26061829427192)</f>
        <v>176.2606183</v>
      </c>
      <c r="K29" s="40">
        <f>IFERROR(__xludf.DUMMYFUNCTION("""COMPUTED_VALUE"""),530.4348353010805)</f>
        <v>530.4348353</v>
      </c>
      <c r="L29" s="26">
        <f>IFERROR(__xludf.DUMMYFUNCTION("""COMPUTED_VALUE"""),41772.11355532417)</f>
        <v>41772.11356</v>
      </c>
      <c r="M29" s="39">
        <f>IFERROR(__xludf.DUMMYFUNCTION("""COMPUTED_VALUE"""),0.5221514194415521)</f>
        <v>0.5221514194</v>
      </c>
      <c r="N29" s="40">
        <f>IFERROR(__xludf.DUMMYFUNCTION("""COMPUTED_VALUE"""),3079.2408128498055)</f>
        <v>3079.240813</v>
      </c>
      <c r="O29" s="40">
        <f>IFERROR(__xludf.DUMMYFUNCTION("""COMPUTED_VALUE"""),8227.886444675833)</f>
        <v>8227.886445</v>
      </c>
      <c r="P29" s="2"/>
      <c r="Q29" s="13">
        <v>16.0</v>
      </c>
      <c r="R29" s="17">
        <f t="shared" si="2"/>
        <v>43723</v>
      </c>
      <c r="S29" s="26">
        <f t="shared" si="3"/>
        <v>42302.54839</v>
      </c>
      <c r="T29" s="40">
        <f t="shared" si="4"/>
        <v>706.6954536</v>
      </c>
      <c r="U29" s="40">
        <f t="shared" si="5"/>
        <v>176.2606183</v>
      </c>
      <c r="V29" s="40">
        <f t="shared" si="6"/>
        <v>530.4348353</v>
      </c>
      <c r="W29" s="26">
        <f t="shared" si="7"/>
        <v>41772.11356</v>
      </c>
      <c r="X29" s="39">
        <f t="shared" si="8"/>
        <v>0.5221514194</v>
      </c>
      <c r="Y29" s="40">
        <f t="shared" ref="Y29:Z29" si="23">U29+Y28</f>
        <v>3079.240813</v>
      </c>
      <c r="Z29" s="40">
        <f t="shared" si="23"/>
        <v>8227.886445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>
      <c r="A30" s="2"/>
      <c r="B30" s="2"/>
      <c r="C30" s="2"/>
      <c r="D30" s="2"/>
      <c r="E30" s="2"/>
      <c r="F30" s="13">
        <f>IFERROR(__xludf.DUMMYFUNCTION("""COMPUTED_VALUE"""),17.0)</f>
        <v>17</v>
      </c>
      <c r="G30" s="17">
        <f>IFERROR(__xludf.DUMMYFUNCTION("""COMPUTED_VALUE"""),43738.0)</f>
        <v>43738</v>
      </c>
      <c r="H30" s="26">
        <f>IFERROR(__xludf.DUMMYFUNCTION("""COMPUTED_VALUE"""),41772.11355532417)</f>
        <v>41772.11356</v>
      </c>
      <c r="I30" s="40">
        <f>IFERROR(__xludf.DUMMYFUNCTION("""COMPUTED_VALUE"""),706.6954535953523)</f>
        <v>706.6954536</v>
      </c>
      <c r="J30" s="40">
        <f>IFERROR(__xludf.DUMMYFUNCTION("""COMPUTED_VALUE"""),174.0504731471841)</f>
        <v>174.0504731</v>
      </c>
      <c r="K30" s="40">
        <f>IFERROR(__xludf.DUMMYFUNCTION("""COMPUTED_VALUE"""),532.6449804481683)</f>
        <v>532.6449804</v>
      </c>
      <c r="L30" s="26">
        <f>IFERROR(__xludf.DUMMYFUNCTION("""COMPUTED_VALUE"""),41239.468574876)</f>
        <v>41239.46857</v>
      </c>
      <c r="M30" s="39">
        <f>IFERROR(__xludf.DUMMYFUNCTION("""COMPUTED_VALUE"""),0.51549335718595)</f>
        <v>0.5154933572</v>
      </c>
      <c r="N30" s="40">
        <f>IFERROR(__xludf.DUMMYFUNCTION("""COMPUTED_VALUE"""),3253.2912859969897)</f>
        <v>3253.291286</v>
      </c>
      <c r="O30" s="40">
        <f>IFERROR(__xludf.DUMMYFUNCTION("""COMPUTED_VALUE"""),8760.531425124002)</f>
        <v>8760.531425</v>
      </c>
      <c r="P30" s="2"/>
      <c r="Q30" s="13">
        <v>17.0</v>
      </c>
      <c r="R30" s="17">
        <f t="shared" si="2"/>
        <v>43738</v>
      </c>
      <c r="S30" s="26">
        <f t="shared" si="3"/>
        <v>41772.11356</v>
      </c>
      <c r="T30" s="40">
        <f t="shared" si="4"/>
        <v>706.6954536</v>
      </c>
      <c r="U30" s="40">
        <f t="shared" si="5"/>
        <v>174.0504731</v>
      </c>
      <c r="V30" s="40">
        <f t="shared" si="6"/>
        <v>532.6449804</v>
      </c>
      <c r="W30" s="26">
        <f t="shared" si="7"/>
        <v>41239.46857</v>
      </c>
      <c r="X30" s="39">
        <f t="shared" si="8"/>
        <v>0.5154933572</v>
      </c>
      <c r="Y30" s="40">
        <f t="shared" ref="Y30:Z30" si="24">U30+Y29</f>
        <v>3253.291286</v>
      </c>
      <c r="Z30" s="40">
        <f t="shared" si="24"/>
        <v>8760.531425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>
      <c r="A31" s="2"/>
      <c r="B31" s="2"/>
      <c r="C31" s="2"/>
      <c r="D31" s="2"/>
      <c r="E31" s="2"/>
      <c r="F31" s="13">
        <f>IFERROR(__xludf.DUMMYFUNCTION("""COMPUTED_VALUE"""),18.0)</f>
        <v>18</v>
      </c>
      <c r="G31" s="17">
        <f>IFERROR(__xludf.DUMMYFUNCTION("""COMPUTED_VALUE"""),43753.0)</f>
        <v>43753</v>
      </c>
      <c r="H31" s="26">
        <f>IFERROR(__xludf.DUMMYFUNCTION("""COMPUTED_VALUE"""),41239.468574876)</f>
        <v>41239.46857</v>
      </c>
      <c r="I31" s="40">
        <f>IFERROR(__xludf.DUMMYFUNCTION("""COMPUTED_VALUE"""),706.6954535953523)</f>
        <v>706.6954536</v>
      </c>
      <c r="J31" s="40">
        <f>IFERROR(__xludf.DUMMYFUNCTION("""COMPUTED_VALUE"""),171.8311190619835)</f>
        <v>171.8311191</v>
      </c>
      <c r="K31" s="40">
        <f>IFERROR(__xludf.DUMMYFUNCTION("""COMPUTED_VALUE"""),534.8643345333688)</f>
        <v>534.8643345</v>
      </c>
      <c r="L31" s="26">
        <f>IFERROR(__xludf.DUMMYFUNCTION("""COMPUTED_VALUE"""),40704.60424034263)</f>
        <v>40704.60424</v>
      </c>
      <c r="M31" s="39">
        <f>IFERROR(__xludf.DUMMYFUNCTION("""COMPUTED_VALUE"""),0.5088075530042829)</f>
        <v>0.508807553</v>
      </c>
      <c r="N31" s="40">
        <f>IFERROR(__xludf.DUMMYFUNCTION("""COMPUTED_VALUE"""),3425.122405058973)</f>
        <v>3425.122405</v>
      </c>
      <c r="O31" s="40">
        <f>IFERROR(__xludf.DUMMYFUNCTION("""COMPUTED_VALUE"""),9295.395759657371)</f>
        <v>9295.39576</v>
      </c>
      <c r="P31" s="2"/>
      <c r="Q31" s="13">
        <v>18.0</v>
      </c>
      <c r="R31" s="17">
        <f t="shared" si="2"/>
        <v>43753</v>
      </c>
      <c r="S31" s="26">
        <f t="shared" si="3"/>
        <v>41239.46857</v>
      </c>
      <c r="T31" s="40">
        <f t="shared" si="4"/>
        <v>706.6954536</v>
      </c>
      <c r="U31" s="40">
        <f t="shared" si="5"/>
        <v>171.8311191</v>
      </c>
      <c r="V31" s="40">
        <f t="shared" si="6"/>
        <v>534.8643345</v>
      </c>
      <c r="W31" s="26">
        <f t="shared" si="7"/>
        <v>40704.60424</v>
      </c>
      <c r="X31" s="39">
        <f t="shared" si="8"/>
        <v>0.508807553</v>
      </c>
      <c r="Y31" s="40">
        <f t="shared" ref="Y31:Z31" si="25">U31+Y30</f>
        <v>3425.122405</v>
      </c>
      <c r="Z31" s="40">
        <f t="shared" si="25"/>
        <v>9295.39576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>
      <c r="A32" s="2"/>
      <c r="B32" s="2"/>
      <c r="C32" s="2"/>
      <c r="D32" s="2"/>
      <c r="E32" s="2"/>
      <c r="F32" s="13">
        <f>IFERROR(__xludf.DUMMYFUNCTION("""COMPUTED_VALUE"""),19.0)</f>
        <v>19</v>
      </c>
      <c r="G32" s="17">
        <f>IFERROR(__xludf.DUMMYFUNCTION("""COMPUTED_VALUE"""),43769.0)</f>
        <v>43769</v>
      </c>
      <c r="H32" s="26">
        <f>IFERROR(__xludf.DUMMYFUNCTION("""COMPUTED_VALUE"""),40704.60424034263)</f>
        <v>40704.60424</v>
      </c>
      <c r="I32" s="40">
        <f>IFERROR(__xludf.DUMMYFUNCTION("""COMPUTED_VALUE"""),706.6954535953523)</f>
        <v>706.6954536</v>
      </c>
      <c r="J32" s="40">
        <f>IFERROR(__xludf.DUMMYFUNCTION("""COMPUTED_VALUE"""),169.60251766809438)</f>
        <v>169.6025177</v>
      </c>
      <c r="K32" s="40">
        <f>IFERROR(__xludf.DUMMYFUNCTION("""COMPUTED_VALUE"""),537.092935927258)</f>
        <v>537.0929359</v>
      </c>
      <c r="L32" s="26">
        <f>IFERROR(__xludf.DUMMYFUNCTION("""COMPUTED_VALUE"""),40167.51130441538)</f>
        <v>40167.5113</v>
      </c>
      <c r="M32" s="39">
        <f>IFERROR(__xludf.DUMMYFUNCTION("""COMPUTED_VALUE"""),0.5020938913051922)</f>
        <v>0.5020938913</v>
      </c>
      <c r="N32" s="40">
        <f>IFERROR(__xludf.DUMMYFUNCTION("""COMPUTED_VALUE"""),3594.7249227270677)</f>
        <v>3594.724923</v>
      </c>
      <c r="O32" s="40">
        <f>IFERROR(__xludf.DUMMYFUNCTION("""COMPUTED_VALUE"""),9832.488695584629)</f>
        <v>9832.488696</v>
      </c>
      <c r="P32" s="2"/>
      <c r="Q32" s="13">
        <v>19.0</v>
      </c>
      <c r="R32" s="17">
        <f t="shared" si="2"/>
        <v>43769</v>
      </c>
      <c r="S32" s="26">
        <f t="shared" si="3"/>
        <v>40704.60424</v>
      </c>
      <c r="T32" s="40">
        <f t="shared" si="4"/>
        <v>706.6954536</v>
      </c>
      <c r="U32" s="40">
        <f t="shared" si="5"/>
        <v>169.6025177</v>
      </c>
      <c r="V32" s="40">
        <f t="shared" si="6"/>
        <v>537.0929359</v>
      </c>
      <c r="W32" s="26">
        <f t="shared" si="7"/>
        <v>40167.5113</v>
      </c>
      <c r="X32" s="39">
        <f t="shared" si="8"/>
        <v>0.5020938913</v>
      </c>
      <c r="Y32" s="40">
        <f t="shared" ref="Y32:Z32" si="26">U32+Y31</f>
        <v>3594.724923</v>
      </c>
      <c r="Z32" s="40">
        <f t="shared" si="26"/>
        <v>9832.488696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>
      <c r="A33" s="2"/>
      <c r="B33" s="2"/>
      <c r="C33" s="2"/>
      <c r="D33" s="2"/>
      <c r="E33" s="2"/>
      <c r="F33" s="13">
        <f>IFERROR(__xludf.DUMMYFUNCTION("""COMPUTED_VALUE"""),20.0)</f>
        <v>20</v>
      </c>
      <c r="G33" s="17">
        <f>IFERROR(__xludf.DUMMYFUNCTION("""COMPUTED_VALUE"""),43784.0)</f>
        <v>43784</v>
      </c>
      <c r="H33" s="26">
        <f>IFERROR(__xludf.DUMMYFUNCTION("""COMPUTED_VALUE"""),40167.51130441538)</f>
        <v>40167.5113</v>
      </c>
      <c r="I33" s="40">
        <f>IFERROR(__xludf.DUMMYFUNCTION("""COMPUTED_VALUE"""),706.6954535953523)</f>
        <v>706.6954536</v>
      </c>
      <c r="J33" s="40">
        <f>IFERROR(__xludf.DUMMYFUNCTION("""COMPUTED_VALUE"""),167.36463043506419)</f>
        <v>167.3646304</v>
      </c>
      <c r="K33" s="40">
        <f>IFERROR(__xludf.DUMMYFUNCTION("""COMPUTED_VALUE"""),539.3308231602882)</f>
        <v>539.3308232</v>
      </c>
      <c r="L33" s="26">
        <f>IFERROR(__xludf.DUMMYFUNCTION("""COMPUTED_VALUE"""),39628.18048125509)</f>
        <v>39628.18048</v>
      </c>
      <c r="M33" s="39">
        <f>IFERROR(__xludf.DUMMYFUNCTION("""COMPUTED_VALUE"""),0.49535225601568866)</f>
        <v>0.495352256</v>
      </c>
      <c r="N33" s="40">
        <f>IFERROR(__xludf.DUMMYFUNCTION("""COMPUTED_VALUE"""),3762.089553162132)</f>
        <v>3762.089553</v>
      </c>
      <c r="O33" s="40">
        <f>IFERROR(__xludf.DUMMYFUNCTION("""COMPUTED_VALUE"""),10371.819518744916)</f>
        <v>10371.81952</v>
      </c>
      <c r="P33" s="2"/>
      <c r="Q33" s="13">
        <v>20.0</v>
      </c>
      <c r="R33" s="17">
        <f t="shared" si="2"/>
        <v>43784</v>
      </c>
      <c r="S33" s="26">
        <f t="shared" si="3"/>
        <v>40167.5113</v>
      </c>
      <c r="T33" s="40">
        <f t="shared" si="4"/>
        <v>706.6954536</v>
      </c>
      <c r="U33" s="40">
        <f t="shared" si="5"/>
        <v>167.3646304</v>
      </c>
      <c r="V33" s="40">
        <f t="shared" si="6"/>
        <v>539.3308232</v>
      </c>
      <c r="W33" s="26">
        <f t="shared" si="7"/>
        <v>39628.18048</v>
      </c>
      <c r="X33" s="39">
        <f t="shared" si="8"/>
        <v>0.495352256</v>
      </c>
      <c r="Y33" s="40">
        <f t="shared" ref="Y33:Z33" si="27">U33+Y32</f>
        <v>3762.089553</v>
      </c>
      <c r="Z33" s="40">
        <f t="shared" si="27"/>
        <v>10371.81952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>
      <c r="A34" s="2"/>
      <c r="B34" s="2"/>
      <c r="C34" s="2"/>
      <c r="D34" s="2"/>
      <c r="E34" s="2"/>
      <c r="F34" s="13">
        <f>IFERROR(__xludf.DUMMYFUNCTION("""COMPUTED_VALUE"""),21.0)</f>
        <v>21</v>
      </c>
      <c r="G34" s="17">
        <f>IFERROR(__xludf.DUMMYFUNCTION("""COMPUTED_VALUE"""),43799.0)</f>
        <v>43799</v>
      </c>
      <c r="H34" s="26">
        <f>IFERROR(__xludf.DUMMYFUNCTION("""COMPUTED_VALUE"""),39628.18048125509)</f>
        <v>39628.18048</v>
      </c>
      <c r="I34" s="40">
        <f>IFERROR(__xludf.DUMMYFUNCTION("""COMPUTED_VALUE"""),706.6954535953523)</f>
        <v>706.6954536</v>
      </c>
      <c r="J34" s="40">
        <f>IFERROR(__xludf.DUMMYFUNCTION("""COMPUTED_VALUE"""),165.1174186718963)</f>
        <v>165.1174187</v>
      </c>
      <c r="K34" s="40">
        <f>IFERROR(__xludf.DUMMYFUNCTION("""COMPUTED_VALUE"""),541.5780349234561)</f>
        <v>541.5780349</v>
      </c>
      <c r="L34" s="26">
        <f>IFERROR(__xludf.DUMMYFUNCTION("""COMPUTED_VALUE"""),39086.602446331635)</f>
        <v>39086.60245</v>
      </c>
      <c r="M34" s="39">
        <f>IFERROR(__xludf.DUMMYFUNCTION("""COMPUTED_VALUE"""),0.48858253057914547)</f>
        <v>0.4885825306</v>
      </c>
      <c r="N34" s="40">
        <f>IFERROR(__xludf.DUMMYFUNCTION("""COMPUTED_VALUE"""),3927.206971834028)</f>
        <v>3927.206972</v>
      </c>
      <c r="O34" s="40">
        <f>IFERROR(__xludf.DUMMYFUNCTION("""COMPUTED_VALUE"""),10913.397553668372)</f>
        <v>10913.39755</v>
      </c>
      <c r="P34" s="2"/>
      <c r="Q34" s="13">
        <v>21.0</v>
      </c>
      <c r="R34" s="17">
        <f t="shared" si="2"/>
        <v>43799</v>
      </c>
      <c r="S34" s="26">
        <f t="shared" si="3"/>
        <v>39628.18048</v>
      </c>
      <c r="T34" s="40">
        <f t="shared" si="4"/>
        <v>706.6954536</v>
      </c>
      <c r="U34" s="40">
        <f t="shared" si="5"/>
        <v>165.1174187</v>
      </c>
      <c r="V34" s="40">
        <f t="shared" si="6"/>
        <v>541.5780349</v>
      </c>
      <c r="W34" s="26">
        <f t="shared" si="7"/>
        <v>39086.60245</v>
      </c>
      <c r="X34" s="39">
        <f t="shared" si="8"/>
        <v>0.4885825306</v>
      </c>
      <c r="Y34" s="40">
        <f t="shared" ref="Y34:Z34" si="28">U34+Y33</f>
        <v>3927.206972</v>
      </c>
      <c r="Z34" s="40">
        <f t="shared" si="28"/>
        <v>10913.39755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>
      <c r="A35" s="2"/>
      <c r="B35" s="2"/>
      <c r="C35" s="2"/>
      <c r="D35" s="2"/>
      <c r="E35" s="2"/>
      <c r="F35" s="13">
        <f>IFERROR(__xludf.DUMMYFUNCTION("""COMPUTED_VALUE"""),22.0)</f>
        <v>22</v>
      </c>
      <c r="G35" s="17">
        <f>IFERROR(__xludf.DUMMYFUNCTION("""COMPUTED_VALUE"""),43814.0)</f>
        <v>43814</v>
      </c>
      <c r="H35" s="26">
        <f>IFERROR(__xludf.DUMMYFUNCTION("""COMPUTED_VALUE"""),39086.602446331635)</f>
        <v>39086.60245</v>
      </c>
      <c r="I35" s="40">
        <f>IFERROR(__xludf.DUMMYFUNCTION("""COMPUTED_VALUE"""),706.6954535953523)</f>
        <v>706.6954536</v>
      </c>
      <c r="J35" s="40">
        <f>IFERROR(__xludf.DUMMYFUNCTION("""COMPUTED_VALUE"""),162.86084352638193)</f>
        <v>162.8608435</v>
      </c>
      <c r="K35" s="40">
        <f>IFERROR(__xludf.DUMMYFUNCTION("""COMPUTED_VALUE"""),543.8346100689705)</f>
        <v>543.8346101</v>
      </c>
      <c r="L35" s="26">
        <f>IFERROR(__xludf.DUMMYFUNCTION("""COMPUTED_VALUE"""),38542.76783626266)</f>
        <v>38542.76784</v>
      </c>
      <c r="M35" s="39">
        <f>IFERROR(__xludf.DUMMYFUNCTION("""COMPUTED_VALUE"""),0.48178459795328327)</f>
        <v>0.481784598</v>
      </c>
      <c r="N35" s="40">
        <f>IFERROR(__xludf.DUMMYFUNCTION("""COMPUTED_VALUE"""),4090.06781536041)</f>
        <v>4090.067815</v>
      </c>
      <c r="O35" s="40">
        <f>IFERROR(__xludf.DUMMYFUNCTION("""COMPUTED_VALUE"""),11457.232163737342)</f>
        <v>11457.23216</v>
      </c>
      <c r="P35" s="2"/>
      <c r="Q35" s="13">
        <v>22.0</v>
      </c>
      <c r="R35" s="17">
        <f t="shared" si="2"/>
        <v>43814</v>
      </c>
      <c r="S35" s="26">
        <f t="shared" si="3"/>
        <v>39086.60245</v>
      </c>
      <c r="T35" s="40">
        <f t="shared" si="4"/>
        <v>706.6954536</v>
      </c>
      <c r="U35" s="40">
        <f t="shared" si="5"/>
        <v>162.8608435</v>
      </c>
      <c r="V35" s="40">
        <f t="shared" si="6"/>
        <v>543.8346101</v>
      </c>
      <c r="W35" s="26">
        <f t="shared" si="7"/>
        <v>38542.76784</v>
      </c>
      <c r="X35" s="39">
        <f t="shared" si="8"/>
        <v>0.481784598</v>
      </c>
      <c r="Y35" s="40">
        <f t="shared" ref="Y35:Z35" si="29">U35+Y34</f>
        <v>4090.067815</v>
      </c>
      <c r="Z35" s="40">
        <f t="shared" si="29"/>
        <v>11457.23216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>
      <c r="A36" s="2"/>
      <c r="B36" s="2"/>
      <c r="C36" s="2"/>
      <c r="D36" s="2"/>
      <c r="E36" s="2"/>
      <c r="F36" s="13">
        <f>IFERROR(__xludf.DUMMYFUNCTION("""COMPUTED_VALUE"""),23.0)</f>
        <v>23</v>
      </c>
      <c r="G36" s="17">
        <f>IFERROR(__xludf.DUMMYFUNCTION("""COMPUTED_VALUE"""),43830.0)</f>
        <v>43830</v>
      </c>
      <c r="H36" s="26">
        <f>IFERROR(__xludf.DUMMYFUNCTION("""COMPUTED_VALUE"""),38542.76783626266)</f>
        <v>38542.76784</v>
      </c>
      <c r="I36" s="40">
        <f>IFERROR(__xludf.DUMMYFUNCTION("""COMPUTED_VALUE"""),706.6954535953523)</f>
        <v>706.6954536</v>
      </c>
      <c r="J36" s="40">
        <f>IFERROR(__xludf.DUMMYFUNCTION("""COMPUTED_VALUE"""),160.5948659844279)</f>
        <v>160.594866</v>
      </c>
      <c r="K36" s="40">
        <f>IFERROR(__xludf.DUMMYFUNCTION("""COMPUTED_VALUE"""),546.1005876109244)</f>
        <v>546.1005876</v>
      </c>
      <c r="L36" s="26">
        <f>IFERROR(__xludf.DUMMYFUNCTION("""COMPUTED_VALUE"""),37996.667248651735)</f>
        <v>37996.66725</v>
      </c>
      <c r="M36" s="39">
        <f>IFERROR(__xludf.DUMMYFUNCTION("""COMPUTED_VALUE"""),0.4749583406081467)</f>
        <v>0.4749583406</v>
      </c>
      <c r="N36" s="40">
        <f>IFERROR(__xludf.DUMMYFUNCTION("""COMPUTED_VALUE"""),4250.662681344837)</f>
        <v>4250.662681</v>
      </c>
      <c r="O36" s="40">
        <f>IFERROR(__xludf.DUMMYFUNCTION("""COMPUTED_VALUE"""),12003.332751348267)</f>
        <v>12003.33275</v>
      </c>
      <c r="P36" s="2"/>
      <c r="Q36" s="13">
        <v>23.0</v>
      </c>
      <c r="R36" s="17">
        <f t="shared" si="2"/>
        <v>43830</v>
      </c>
      <c r="S36" s="26">
        <f t="shared" si="3"/>
        <v>38542.76784</v>
      </c>
      <c r="T36" s="40">
        <f t="shared" si="4"/>
        <v>706.6954536</v>
      </c>
      <c r="U36" s="40">
        <f t="shared" si="5"/>
        <v>160.594866</v>
      </c>
      <c r="V36" s="40">
        <f t="shared" si="6"/>
        <v>546.1005876</v>
      </c>
      <c r="W36" s="26">
        <f t="shared" si="7"/>
        <v>37996.66725</v>
      </c>
      <c r="X36" s="39">
        <f t="shared" si="8"/>
        <v>0.4749583406</v>
      </c>
      <c r="Y36" s="40">
        <f t="shared" ref="Y36:Z36" si="30">U36+Y35</f>
        <v>4250.662681</v>
      </c>
      <c r="Z36" s="40">
        <f t="shared" si="30"/>
        <v>12003.33275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>
      <c r="A37" s="2"/>
      <c r="B37" s="2"/>
      <c r="C37" s="2"/>
      <c r="D37" s="2"/>
      <c r="E37" s="2"/>
      <c r="F37" s="13">
        <f>IFERROR(__xludf.DUMMYFUNCTION("""COMPUTED_VALUE"""),24.0)</f>
        <v>24</v>
      </c>
      <c r="G37" s="17">
        <f>IFERROR(__xludf.DUMMYFUNCTION("""COMPUTED_VALUE"""),43845.0)</f>
        <v>43845</v>
      </c>
      <c r="H37" s="26">
        <f>IFERROR(__xludf.DUMMYFUNCTION("""COMPUTED_VALUE"""),37996.667248651735)</f>
        <v>37996.66725</v>
      </c>
      <c r="I37" s="40">
        <f>IFERROR(__xludf.DUMMYFUNCTION("""COMPUTED_VALUE"""),706.6954535953523)</f>
        <v>706.6954536</v>
      </c>
      <c r="J37" s="40">
        <f>IFERROR(__xludf.DUMMYFUNCTION("""COMPUTED_VALUE"""),158.31944686938246)</f>
        <v>158.3194469</v>
      </c>
      <c r="K37" s="40">
        <f>IFERROR(__xludf.DUMMYFUNCTION("""COMPUTED_VALUE"""),548.37600672597)</f>
        <v>548.3760067</v>
      </c>
      <c r="L37" s="26">
        <f>IFERROR(__xludf.DUMMYFUNCTION("""COMPUTED_VALUE"""),37448.29124192576)</f>
        <v>37448.29124</v>
      </c>
      <c r="M37" s="39">
        <f>IFERROR(__xludf.DUMMYFUNCTION("""COMPUTED_VALUE"""),0.46810364052407205)</f>
        <v>0.4681036405</v>
      </c>
      <c r="N37" s="40">
        <f>IFERROR(__xludf.DUMMYFUNCTION("""COMPUTED_VALUE"""),4408.98212821422)</f>
        <v>4408.982128</v>
      </c>
      <c r="O37" s="40">
        <f>IFERROR(__xludf.DUMMYFUNCTION("""COMPUTED_VALUE"""),12551.708758074237)</f>
        <v>12551.70876</v>
      </c>
      <c r="P37" s="2"/>
      <c r="Q37" s="13">
        <v>24.0</v>
      </c>
      <c r="R37" s="17">
        <f t="shared" si="2"/>
        <v>43845</v>
      </c>
      <c r="S37" s="26">
        <f t="shared" si="3"/>
        <v>37996.66725</v>
      </c>
      <c r="T37" s="40">
        <f t="shared" si="4"/>
        <v>706.6954536</v>
      </c>
      <c r="U37" s="40">
        <f t="shared" si="5"/>
        <v>158.3194469</v>
      </c>
      <c r="V37" s="40">
        <f t="shared" si="6"/>
        <v>548.3760067</v>
      </c>
      <c r="W37" s="26">
        <f t="shared" si="7"/>
        <v>37448.29124</v>
      </c>
      <c r="X37" s="39">
        <f t="shared" si="8"/>
        <v>0.4681036405</v>
      </c>
      <c r="Y37" s="40">
        <f t="shared" ref="Y37:Z37" si="31">U37+Y36</f>
        <v>4408.982128</v>
      </c>
      <c r="Z37" s="40">
        <f t="shared" si="31"/>
        <v>12551.70876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>
      <c r="A38" s="2"/>
      <c r="B38" s="2"/>
      <c r="C38" s="2"/>
      <c r="D38" s="2"/>
      <c r="E38" s="2"/>
      <c r="F38" s="13">
        <f>IFERROR(__xludf.DUMMYFUNCTION("""COMPUTED_VALUE"""),25.0)</f>
        <v>25</v>
      </c>
      <c r="G38" s="17">
        <f>IFERROR(__xludf.DUMMYFUNCTION("""COMPUTED_VALUE"""),43861.0)</f>
        <v>43861</v>
      </c>
      <c r="H38" s="26">
        <f>IFERROR(__xludf.DUMMYFUNCTION("""COMPUTED_VALUE"""),37448.29124192576)</f>
        <v>37448.29124</v>
      </c>
      <c r="I38" s="40">
        <f>IFERROR(__xludf.DUMMYFUNCTION("""COMPUTED_VALUE"""),706.6954535953523)</f>
        <v>706.6954536</v>
      </c>
      <c r="J38" s="40">
        <f>IFERROR(__xludf.DUMMYFUNCTION("""COMPUTED_VALUE"""),156.03454684135755)</f>
        <v>156.0345468</v>
      </c>
      <c r="K38" s="40">
        <f>IFERROR(__xludf.DUMMYFUNCTION("""COMPUTED_VALUE"""),550.6609067539949)</f>
        <v>550.6609068</v>
      </c>
      <c r="L38" s="26">
        <f>IFERROR(__xludf.DUMMYFUNCTION("""COMPUTED_VALUE"""),36897.630335171765)</f>
        <v>36897.63034</v>
      </c>
      <c r="M38" s="39">
        <f>IFERROR(__xludf.DUMMYFUNCTION("""COMPUTED_VALUE"""),0.4612203791896471)</f>
        <v>0.4612203792</v>
      </c>
      <c r="N38" s="40">
        <f>IFERROR(__xludf.DUMMYFUNCTION("""COMPUTED_VALUE"""),4565.016675055578)</f>
        <v>4565.016675</v>
      </c>
      <c r="O38" s="40">
        <f>IFERROR(__xludf.DUMMYFUNCTION("""COMPUTED_VALUE"""),13102.369664828233)</f>
        <v>13102.36966</v>
      </c>
      <c r="P38" s="2"/>
      <c r="Q38" s="13">
        <v>25.0</v>
      </c>
      <c r="R38" s="17">
        <f t="shared" si="2"/>
        <v>43861</v>
      </c>
      <c r="S38" s="26">
        <f t="shared" si="3"/>
        <v>37448.29124</v>
      </c>
      <c r="T38" s="40">
        <f t="shared" si="4"/>
        <v>706.6954536</v>
      </c>
      <c r="U38" s="40">
        <f t="shared" si="5"/>
        <v>156.0345468</v>
      </c>
      <c r="V38" s="40">
        <f t="shared" si="6"/>
        <v>550.6609068</v>
      </c>
      <c r="W38" s="26">
        <f t="shared" si="7"/>
        <v>36897.63034</v>
      </c>
      <c r="X38" s="39">
        <f t="shared" si="8"/>
        <v>0.4612203792</v>
      </c>
      <c r="Y38" s="40">
        <f t="shared" ref="Y38:Z38" si="32">U38+Y37</f>
        <v>4565.016675</v>
      </c>
      <c r="Z38" s="40">
        <f t="shared" si="32"/>
        <v>13102.36966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>
      <c r="A39" s="2"/>
      <c r="B39" s="2"/>
      <c r="C39" s="2"/>
      <c r="D39" s="2"/>
      <c r="E39" s="2"/>
      <c r="F39" s="13">
        <f>IFERROR(__xludf.DUMMYFUNCTION("""COMPUTED_VALUE"""),26.0)</f>
        <v>26</v>
      </c>
      <c r="G39" s="17">
        <f>IFERROR(__xludf.DUMMYFUNCTION("""COMPUTED_VALUE"""),43876.0)</f>
        <v>43876</v>
      </c>
      <c r="H39" s="26">
        <f>IFERROR(__xludf.DUMMYFUNCTION("""COMPUTED_VALUE"""),36897.630335171765)</f>
        <v>36897.63034</v>
      </c>
      <c r="I39" s="40">
        <f>IFERROR(__xludf.DUMMYFUNCTION("""COMPUTED_VALUE"""),706.6954535953523)</f>
        <v>706.6954536</v>
      </c>
      <c r="J39" s="40">
        <f>IFERROR(__xludf.DUMMYFUNCTION("""COMPUTED_VALUE"""),153.74012639654921)</f>
        <v>153.7401264</v>
      </c>
      <c r="K39" s="40">
        <f>IFERROR(__xludf.DUMMYFUNCTION("""COMPUTED_VALUE"""),552.9553271988032)</f>
        <v>552.9553272</v>
      </c>
      <c r="L39" s="26">
        <f>IFERROR(__xludf.DUMMYFUNCTION("""COMPUTED_VALUE"""),36344.67500797296)</f>
        <v>36344.67501</v>
      </c>
      <c r="M39" s="39">
        <f>IFERROR(__xludf.DUMMYFUNCTION("""COMPUTED_VALUE"""),0.454308437599662)</f>
        <v>0.4543084376</v>
      </c>
      <c r="N39" s="40">
        <f>IFERROR(__xludf.DUMMYFUNCTION("""COMPUTED_VALUE"""),4718.756801452128)</f>
        <v>4718.756801</v>
      </c>
      <c r="O39" s="40">
        <f>IFERROR(__xludf.DUMMYFUNCTION("""COMPUTED_VALUE"""),13655.324992027035)</f>
        <v>13655.32499</v>
      </c>
      <c r="P39" s="2"/>
      <c r="Q39" s="13">
        <v>26.0</v>
      </c>
      <c r="R39" s="17">
        <f t="shared" si="2"/>
        <v>43876</v>
      </c>
      <c r="S39" s="26">
        <f t="shared" si="3"/>
        <v>36897.63034</v>
      </c>
      <c r="T39" s="40">
        <f t="shared" si="4"/>
        <v>706.6954536</v>
      </c>
      <c r="U39" s="40">
        <f t="shared" si="5"/>
        <v>153.7401264</v>
      </c>
      <c r="V39" s="40">
        <f t="shared" si="6"/>
        <v>552.9553272</v>
      </c>
      <c r="W39" s="26">
        <f t="shared" si="7"/>
        <v>36344.67501</v>
      </c>
      <c r="X39" s="39">
        <f t="shared" si="8"/>
        <v>0.4543084376</v>
      </c>
      <c r="Y39" s="40">
        <f t="shared" ref="Y39:Z39" si="33">U39+Y38</f>
        <v>4718.756801</v>
      </c>
      <c r="Z39" s="40">
        <f t="shared" si="33"/>
        <v>13655.32499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>
      <c r="A40" s="2"/>
      <c r="B40" s="2"/>
      <c r="C40" s="2"/>
      <c r="D40" s="2"/>
      <c r="E40" s="2"/>
      <c r="F40" s="13">
        <f>IFERROR(__xludf.DUMMYFUNCTION("""COMPUTED_VALUE"""),27.0)</f>
        <v>27</v>
      </c>
      <c r="G40" s="17">
        <f>IFERROR(__xludf.DUMMYFUNCTION("""COMPUTED_VALUE"""),43890.0)</f>
        <v>43890</v>
      </c>
      <c r="H40" s="26">
        <f>IFERROR(__xludf.DUMMYFUNCTION("""COMPUTED_VALUE"""),36344.67500797296)</f>
        <v>36344.67501</v>
      </c>
      <c r="I40" s="40">
        <f>IFERROR(__xludf.DUMMYFUNCTION("""COMPUTED_VALUE"""),706.6954535953523)</f>
        <v>706.6954536</v>
      </c>
      <c r="J40" s="40">
        <f>IFERROR(__xludf.DUMMYFUNCTION("""COMPUTED_VALUE"""),151.43614586655426)</f>
        <v>151.4361459</v>
      </c>
      <c r="K40" s="40">
        <f>IFERROR(__xludf.DUMMYFUNCTION("""COMPUTED_VALUE"""),555.2593077287981)</f>
        <v>555.2593077</v>
      </c>
      <c r="L40" s="26">
        <f>IFERROR(__xludf.DUMMYFUNCTION("""COMPUTED_VALUE"""),35789.415700244164)</f>
        <v>35789.4157</v>
      </c>
      <c r="M40" s="39">
        <f>IFERROR(__xludf.DUMMYFUNCTION("""COMPUTED_VALUE"""),0.44736769625305206)</f>
        <v>0.4473676963</v>
      </c>
      <c r="N40" s="40">
        <f>IFERROR(__xludf.DUMMYFUNCTION("""COMPUTED_VALUE"""),4870.192947318682)</f>
        <v>4870.192947</v>
      </c>
      <c r="O40" s="40">
        <f>IFERROR(__xludf.DUMMYFUNCTION("""COMPUTED_VALUE"""),14210.584299755834)</f>
        <v>14210.5843</v>
      </c>
      <c r="P40" s="2"/>
      <c r="Q40" s="13">
        <v>27.0</v>
      </c>
      <c r="R40" s="17">
        <f t="shared" si="2"/>
        <v>43890</v>
      </c>
      <c r="S40" s="26">
        <f t="shared" si="3"/>
        <v>36344.67501</v>
      </c>
      <c r="T40" s="40">
        <f t="shared" si="4"/>
        <v>706.6954536</v>
      </c>
      <c r="U40" s="40">
        <f t="shared" si="5"/>
        <v>151.4361459</v>
      </c>
      <c r="V40" s="40">
        <f t="shared" si="6"/>
        <v>555.2593077</v>
      </c>
      <c r="W40" s="26">
        <f t="shared" si="7"/>
        <v>35789.4157</v>
      </c>
      <c r="X40" s="39">
        <f t="shared" si="8"/>
        <v>0.4473676963</v>
      </c>
      <c r="Y40" s="40">
        <f t="shared" ref="Y40:Z40" si="34">U40+Y39</f>
        <v>4870.192947</v>
      </c>
      <c r="Z40" s="40">
        <f t="shared" si="34"/>
        <v>14210.5843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>
      <c r="A41" s="2"/>
      <c r="B41" s="2"/>
      <c r="C41" s="2"/>
      <c r="D41" s="2"/>
      <c r="E41" s="2"/>
      <c r="F41" s="13">
        <f>IFERROR(__xludf.DUMMYFUNCTION("""COMPUTED_VALUE"""),28.0)</f>
        <v>28</v>
      </c>
      <c r="G41" s="17">
        <f>IFERROR(__xludf.DUMMYFUNCTION("""COMPUTED_VALUE"""),43905.0)</f>
        <v>43905</v>
      </c>
      <c r="H41" s="26">
        <f>IFERROR(__xludf.DUMMYFUNCTION("""COMPUTED_VALUE"""),35789.415700244164)</f>
        <v>35789.4157</v>
      </c>
      <c r="I41" s="40">
        <f>IFERROR(__xludf.DUMMYFUNCTION("""COMPUTED_VALUE"""),706.6954535953523)</f>
        <v>706.6954536</v>
      </c>
      <c r="J41" s="40">
        <f>IFERROR(__xludf.DUMMYFUNCTION("""COMPUTED_VALUE"""),149.12256541768429)</f>
        <v>149.1225654</v>
      </c>
      <c r="K41" s="40">
        <f>IFERROR(__xludf.DUMMYFUNCTION("""COMPUTED_VALUE"""),557.5728881776682)</f>
        <v>557.5728882</v>
      </c>
      <c r="L41" s="26">
        <f>IFERROR(__xludf.DUMMYFUNCTION("""COMPUTED_VALUE"""),35231.8428120665)</f>
        <v>35231.84281</v>
      </c>
      <c r="M41" s="39">
        <f>IFERROR(__xludf.DUMMYFUNCTION("""COMPUTED_VALUE"""),0.4403980351508312)</f>
        <v>0.4403980352</v>
      </c>
      <c r="N41" s="40">
        <f>IFERROR(__xludf.DUMMYFUNCTION("""COMPUTED_VALUE"""),5019.315512736366)</f>
        <v>5019.315513</v>
      </c>
      <c r="O41" s="40">
        <f>IFERROR(__xludf.DUMMYFUNCTION("""COMPUTED_VALUE"""),14768.157187933502)</f>
        <v>14768.15719</v>
      </c>
      <c r="P41" s="2"/>
      <c r="Q41" s="13">
        <v>28.0</v>
      </c>
      <c r="R41" s="17">
        <f t="shared" si="2"/>
        <v>43905</v>
      </c>
      <c r="S41" s="26">
        <f t="shared" si="3"/>
        <v>35789.4157</v>
      </c>
      <c r="T41" s="40">
        <f t="shared" si="4"/>
        <v>706.6954536</v>
      </c>
      <c r="U41" s="40">
        <f t="shared" si="5"/>
        <v>149.1225654</v>
      </c>
      <c r="V41" s="40">
        <f t="shared" si="6"/>
        <v>557.5728882</v>
      </c>
      <c r="W41" s="26">
        <f t="shared" si="7"/>
        <v>35231.84281</v>
      </c>
      <c r="X41" s="39">
        <f t="shared" si="8"/>
        <v>0.4403980352</v>
      </c>
      <c r="Y41" s="40">
        <f t="shared" ref="Y41:Z41" si="35">U41+Y40</f>
        <v>5019.315513</v>
      </c>
      <c r="Z41" s="40">
        <f t="shared" si="35"/>
        <v>14768.15719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>
      <c r="A42" s="2"/>
      <c r="B42" s="2"/>
      <c r="C42" s="2"/>
      <c r="D42" s="2"/>
      <c r="E42" s="2"/>
      <c r="F42" s="13">
        <f>IFERROR(__xludf.DUMMYFUNCTION("""COMPUTED_VALUE"""),29.0)</f>
        <v>29</v>
      </c>
      <c r="G42" s="17">
        <f>IFERROR(__xludf.DUMMYFUNCTION("""COMPUTED_VALUE"""),43921.0)</f>
        <v>43921</v>
      </c>
      <c r="H42" s="26">
        <f>IFERROR(__xludf.DUMMYFUNCTION("""COMPUTED_VALUE"""),35231.8428120665)</f>
        <v>35231.84281</v>
      </c>
      <c r="I42" s="40">
        <f>IFERROR(__xludf.DUMMYFUNCTION("""COMPUTED_VALUE"""),706.6954535953523)</f>
        <v>706.6954536</v>
      </c>
      <c r="J42" s="40">
        <f>IFERROR(__xludf.DUMMYFUNCTION("""COMPUTED_VALUE"""),146.79934505027728)</f>
        <v>146.7993451</v>
      </c>
      <c r="K42" s="40">
        <f>IFERROR(__xludf.DUMMYFUNCTION("""COMPUTED_VALUE"""),559.8961085450751)</f>
        <v>559.8961085</v>
      </c>
      <c r="L42" s="26">
        <f>IFERROR(__xludf.DUMMYFUNCTION("""COMPUTED_VALUE"""),34671.946703521426)</f>
        <v>34671.9467</v>
      </c>
      <c r="M42" s="39">
        <f>IFERROR(__xludf.DUMMYFUNCTION("""COMPUTED_VALUE"""),0.4333993337940178)</f>
        <v>0.4333993338</v>
      </c>
      <c r="N42" s="40">
        <f>IFERROR(__xludf.DUMMYFUNCTION("""COMPUTED_VALUE"""),5166.114857786643)</f>
        <v>5166.114858</v>
      </c>
      <c r="O42" s="40">
        <f>IFERROR(__xludf.DUMMYFUNCTION("""COMPUTED_VALUE"""),15328.053296478578)</f>
        <v>15328.0533</v>
      </c>
      <c r="P42" s="2"/>
      <c r="Q42" s="13">
        <v>29.0</v>
      </c>
      <c r="R42" s="17">
        <f t="shared" si="2"/>
        <v>43921</v>
      </c>
      <c r="S42" s="26">
        <f t="shared" si="3"/>
        <v>35231.84281</v>
      </c>
      <c r="T42" s="40">
        <f t="shared" si="4"/>
        <v>706.6954536</v>
      </c>
      <c r="U42" s="40">
        <f t="shared" si="5"/>
        <v>146.7993451</v>
      </c>
      <c r="V42" s="40">
        <f t="shared" si="6"/>
        <v>559.8961085</v>
      </c>
      <c r="W42" s="26">
        <f t="shared" si="7"/>
        <v>34671.9467</v>
      </c>
      <c r="X42" s="39">
        <f t="shared" si="8"/>
        <v>0.4333993338</v>
      </c>
      <c r="Y42" s="40">
        <f t="shared" ref="Y42:Z42" si="36">U42+Y41</f>
        <v>5166.114858</v>
      </c>
      <c r="Z42" s="40">
        <f t="shared" si="36"/>
        <v>15328.0533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>
      <c r="A43" s="2"/>
      <c r="B43" s="2"/>
      <c r="C43" s="2"/>
      <c r="D43" s="2"/>
      <c r="E43" s="2"/>
      <c r="F43" s="13">
        <f>IFERROR(__xludf.DUMMYFUNCTION("""COMPUTED_VALUE"""),30.0)</f>
        <v>30</v>
      </c>
      <c r="G43" s="17">
        <f>IFERROR(__xludf.DUMMYFUNCTION("""COMPUTED_VALUE"""),43936.0)</f>
        <v>43936</v>
      </c>
      <c r="H43" s="26">
        <f>IFERROR(__xludf.DUMMYFUNCTION("""COMPUTED_VALUE"""),34671.946703521426)</f>
        <v>34671.9467</v>
      </c>
      <c r="I43" s="40">
        <f>IFERROR(__xludf.DUMMYFUNCTION("""COMPUTED_VALUE"""),706.6954535953523)</f>
        <v>706.6954536</v>
      </c>
      <c r="J43" s="40">
        <f>IFERROR(__xludf.DUMMYFUNCTION("""COMPUTED_VALUE"""),144.46644459800618)</f>
        <v>144.4664446</v>
      </c>
      <c r="K43" s="40">
        <f>IFERROR(__xludf.DUMMYFUNCTION("""COMPUTED_VALUE"""),562.2290089973463)</f>
        <v>562.229009</v>
      </c>
      <c r="L43" s="26">
        <f>IFERROR(__xludf.DUMMYFUNCTION("""COMPUTED_VALUE"""),34109.71769452408)</f>
        <v>34109.71769</v>
      </c>
      <c r="M43" s="39">
        <f>IFERROR(__xludf.DUMMYFUNCTION("""COMPUTED_VALUE"""),0.426371471181551)</f>
        <v>0.4263714712</v>
      </c>
      <c r="N43" s="40">
        <f>IFERROR(__xludf.DUMMYFUNCTION("""COMPUTED_VALUE"""),5310.5813023846495)</f>
        <v>5310.581302</v>
      </c>
      <c r="O43" s="40">
        <f>IFERROR(__xludf.DUMMYFUNCTION("""COMPUTED_VALUE"""),15890.282305475925)</f>
        <v>15890.28231</v>
      </c>
      <c r="P43" s="2"/>
      <c r="Q43" s="13">
        <v>30.0</v>
      </c>
      <c r="R43" s="17">
        <f t="shared" si="2"/>
        <v>43936</v>
      </c>
      <c r="S43" s="26">
        <f t="shared" si="3"/>
        <v>34671.9467</v>
      </c>
      <c r="T43" s="40">
        <f t="shared" si="4"/>
        <v>706.6954536</v>
      </c>
      <c r="U43" s="40">
        <f t="shared" si="5"/>
        <v>144.4664446</v>
      </c>
      <c r="V43" s="40">
        <f t="shared" si="6"/>
        <v>562.229009</v>
      </c>
      <c r="W43" s="26">
        <f t="shared" si="7"/>
        <v>34109.71769</v>
      </c>
      <c r="X43" s="39">
        <f t="shared" si="8"/>
        <v>0.4263714712</v>
      </c>
      <c r="Y43" s="40">
        <f t="shared" ref="Y43:Z43" si="37">U43+Y42</f>
        <v>5310.581302</v>
      </c>
      <c r="Z43" s="40">
        <f t="shared" si="37"/>
        <v>15890.28231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>
      <c r="A44" s="2"/>
      <c r="B44" s="2"/>
      <c r="C44" s="2"/>
      <c r="D44" s="2"/>
      <c r="E44" s="2"/>
      <c r="F44" s="13">
        <f>IFERROR(__xludf.DUMMYFUNCTION("""COMPUTED_VALUE"""),31.0)</f>
        <v>31</v>
      </c>
      <c r="G44" s="17">
        <f>IFERROR(__xludf.DUMMYFUNCTION("""COMPUTED_VALUE"""),43951.0)</f>
        <v>43951</v>
      </c>
      <c r="H44" s="26">
        <f>IFERROR(__xludf.DUMMYFUNCTION("""COMPUTED_VALUE"""),34109.71769452408)</f>
        <v>34109.71769</v>
      </c>
      <c r="I44" s="40">
        <f>IFERROR(__xludf.DUMMYFUNCTION("""COMPUTED_VALUE"""),706.6954535953523)</f>
        <v>706.6954536</v>
      </c>
      <c r="J44" s="40">
        <f>IFERROR(__xludf.DUMMYFUNCTION("""COMPUTED_VALUE"""),142.1238237271839)</f>
        <v>142.1238237</v>
      </c>
      <c r="K44" s="40">
        <f>IFERROR(__xludf.DUMMYFUNCTION("""COMPUTED_VALUE"""),564.5716298681684)</f>
        <v>564.5716299</v>
      </c>
      <c r="L44" s="26">
        <f>IFERROR(__xludf.DUMMYFUNCTION("""COMPUTED_VALUE"""),33545.14606465591)</f>
        <v>33545.14606</v>
      </c>
      <c r="M44" s="39">
        <f>IFERROR(__xludf.DUMMYFUNCTION("""COMPUTED_VALUE"""),0.41931432580819894)</f>
        <v>0.4193143258</v>
      </c>
      <c r="N44" s="40">
        <f>IFERROR(__xludf.DUMMYFUNCTION("""COMPUTED_VALUE"""),5452.705126111833)</f>
        <v>5452.705126</v>
      </c>
      <c r="O44" s="40">
        <f>IFERROR(__xludf.DUMMYFUNCTION("""COMPUTED_VALUE"""),16454.853935344094)</f>
        <v>16454.85394</v>
      </c>
      <c r="P44" s="2"/>
      <c r="Q44" s="13">
        <v>31.0</v>
      </c>
      <c r="R44" s="17">
        <f t="shared" si="2"/>
        <v>43951</v>
      </c>
      <c r="S44" s="26">
        <f t="shared" si="3"/>
        <v>34109.71769</v>
      </c>
      <c r="T44" s="40">
        <f t="shared" si="4"/>
        <v>706.6954536</v>
      </c>
      <c r="U44" s="40">
        <f t="shared" si="5"/>
        <v>142.1238237</v>
      </c>
      <c r="V44" s="40">
        <f t="shared" si="6"/>
        <v>564.5716299</v>
      </c>
      <c r="W44" s="26">
        <f t="shared" si="7"/>
        <v>33545.14606</v>
      </c>
      <c r="X44" s="39">
        <f t="shared" si="8"/>
        <v>0.4193143258</v>
      </c>
      <c r="Y44" s="40">
        <f t="shared" ref="Y44:Z44" si="38">U44+Y43</f>
        <v>5452.705126</v>
      </c>
      <c r="Z44" s="40">
        <f t="shared" si="38"/>
        <v>16454.85394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>
      <c r="A45" s="2"/>
      <c r="B45" s="2"/>
      <c r="C45" s="2"/>
      <c r="D45" s="2"/>
      <c r="E45" s="2"/>
      <c r="F45" s="13">
        <f>IFERROR(__xludf.DUMMYFUNCTION("""COMPUTED_VALUE"""),32.0)</f>
        <v>32</v>
      </c>
      <c r="G45" s="17">
        <f>IFERROR(__xludf.DUMMYFUNCTION("""COMPUTED_VALUE"""),43966.0)</f>
        <v>43966</v>
      </c>
      <c r="H45" s="26">
        <f>IFERROR(__xludf.DUMMYFUNCTION("""COMPUTED_VALUE"""),33545.14606465591)</f>
        <v>33545.14606</v>
      </c>
      <c r="I45" s="40">
        <f>IFERROR(__xludf.DUMMYFUNCTION("""COMPUTED_VALUE"""),706.6954535953523)</f>
        <v>706.6954536</v>
      </c>
      <c r="J45" s="40">
        <f>IFERROR(__xludf.DUMMYFUNCTION("""COMPUTED_VALUE"""),139.77144193606648)</f>
        <v>139.7714419</v>
      </c>
      <c r="K45" s="40">
        <f>IFERROR(__xludf.DUMMYFUNCTION("""COMPUTED_VALUE"""),566.924011659286)</f>
        <v>566.9240117</v>
      </c>
      <c r="L45" s="26">
        <f>IFERROR(__xludf.DUMMYFUNCTION("""COMPUTED_VALUE"""),32978.22205299663)</f>
        <v>32978.22205</v>
      </c>
      <c r="M45" s="39">
        <f>IFERROR(__xludf.DUMMYFUNCTION("""COMPUTED_VALUE"""),0.4122277756624579)</f>
        <v>0.4122277757</v>
      </c>
      <c r="N45" s="40">
        <f>IFERROR(__xludf.DUMMYFUNCTION("""COMPUTED_VALUE"""),5592.4765680478995)</f>
        <v>5592.476568</v>
      </c>
      <c r="O45" s="40">
        <f>IFERROR(__xludf.DUMMYFUNCTION("""COMPUTED_VALUE"""),17021.77794700338)</f>
        <v>17021.77795</v>
      </c>
      <c r="P45" s="2"/>
      <c r="Q45" s="13">
        <v>32.0</v>
      </c>
      <c r="R45" s="17">
        <f t="shared" si="2"/>
        <v>43966</v>
      </c>
      <c r="S45" s="26">
        <f t="shared" si="3"/>
        <v>33545.14606</v>
      </c>
      <c r="T45" s="40">
        <f t="shared" si="4"/>
        <v>706.6954536</v>
      </c>
      <c r="U45" s="40">
        <f t="shared" si="5"/>
        <v>139.7714419</v>
      </c>
      <c r="V45" s="40">
        <f t="shared" si="6"/>
        <v>566.9240117</v>
      </c>
      <c r="W45" s="26">
        <f t="shared" si="7"/>
        <v>32978.22205</v>
      </c>
      <c r="X45" s="39">
        <f t="shared" si="8"/>
        <v>0.4122277757</v>
      </c>
      <c r="Y45" s="40">
        <f t="shared" ref="Y45:Z45" si="39">U45+Y44</f>
        <v>5592.476568</v>
      </c>
      <c r="Z45" s="40">
        <f t="shared" si="39"/>
        <v>17021.77795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>
      <c r="A46" s="2"/>
      <c r="B46" s="2"/>
      <c r="C46" s="2"/>
      <c r="D46" s="2"/>
      <c r="E46" s="2"/>
      <c r="F46" s="13">
        <f>IFERROR(__xludf.DUMMYFUNCTION("""COMPUTED_VALUE"""),33.0)</f>
        <v>33</v>
      </c>
      <c r="G46" s="17">
        <f>IFERROR(__xludf.DUMMYFUNCTION("""COMPUTED_VALUE"""),43982.0)</f>
        <v>43982</v>
      </c>
      <c r="H46" s="26">
        <f>IFERROR(__xludf.DUMMYFUNCTION("""COMPUTED_VALUE"""),32978.22205299663)</f>
        <v>32978.22205</v>
      </c>
      <c r="I46" s="40">
        <f>IFERROR(__xludf.DUMMYFUNCTION("""COMPUTED_VALUE"""),706.6954535953523)</f>
        <v>706.6954536</v>
      </c>
      <c r="J46" s="40">
        <f>IFERROR(__xludf.DUMMYFUNCTION("""COMPUTED_VALUE"""),137.40925855415284)</f>
        <v>137.4092586</v>
      </c>
      <c r="K46" s="40">
        <f>IFERROR(__xludf.DUMMYFUNCTION("""COMPUTED_VALUE"""),569.2861950411996)</f>
        <v>569.286195</v>
      </c>
      <c r="L46" s="26">
        <f>IFERROR(__xludf.DUMMYFUNCTION("""COMPUTED_VALUE"""),32408.93585795543)</f>
        <v>32408.93586</v>
      </c>
      <c r="M46" s="39">
        <f>IFERROR(__xludf.DUMMYFUNCTION("""COMPUTED_VALUE"""),0.4051116982244429)</f>
        <v>0.4051116982</v>
      </c>
      <c r="N46" s="40">
        <f>IFERROR(__xludf.DUMMYFUNCTION("""COMPUTED_VALUE"""),5729.8858266020525)</f>
        <v>5729.885827</v>
      </c>
      <c r="O46" s="40">
        <f>IFERROR(__xludf.DUMMYFUNCTION("""COMPUTED_VALUE"""),17591.06414204458)</f>
        <v>17591.06414</v>
      </c>
      <c r="P46" s="2"/>
      <c r="Q46" s="13">
        <v>33.0</v>
      </c>
      <c r="R46" s="17">
        <f t="shared" si="2"/>
        <v>43982</v>
      </c>
      <c r="S46" s="26">
        <f t="shared" si="3"/>
        <v>32978.22205</v>
      </c>
      <c r="T46" s="40">
        <f t="shared" si="4"/>
        <v>706.6954536</v>
      </c>
      <c r="U46" s="40">
        <f t="shared" si="5"/>
        <v>137.4092586</v>
      </c>
      <c r="V46" s="40">
        <f t="shared" si="6"/>
        <v>569.286195</v>
      </c>
      <c r="W46" s="26">
        <f t="shared" si="7"/>
        <v>32408.93586</v>
      </c>
      <c r="X46" s="39">
        <f t="shared" si="8"/>
        <v>0.4051116982</v>
      </c>
      <c r="Y46" s="40">
        <f t="shared" ref="Y46:Z46" si="40">U46+Y45</f>
        <v>5729.885827</v>
      </c>
      <c r="Z46" s="40">
        <f t="shared" si="40"/>
        <v>17591.06414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>
      <c r="A47" s="2"/>
      <c r="B47" s="2"/>
      <c r="C47" s="2"/>
      <c r="D47" s="2"/>
      <c r="E47" s="2"/>
      <c r="F47" s="13">
        <f>IFERROR(__xludf.DUMMYFUNCTION("""COMPUTED_VALUE"""),34.0)</f>
        <v>34</v>
      </c>
      <c r="G47" s="17">
        <f>IFERROR(__xludf.DUMMYFUNCTION("""COMPUTED_VALUE"""),43997.0)</f>
        <v>43997</v>
      </c>
      <c r="H47" s="26">
        <f>IFERROR(__xludf.DUMMYFUNCTION("""COMPUTED_VALUE"""),32408.93585795543)</f>
        <v>32408.93586</v>
      </c>
      <c r="I47" s="40">
        <f>IFERROR(__xludf.DUMMYFUNCTION("""COMPUTED_VALUE"""),706.6954535953523)</f>
        <v>706.6954536</v>
      </c>
      <c r="J47" s="40">
        <f>IFERROR(__xludf.DUMMYFUNCTION("""COMPUTED_VALUE"""),135.03723274148123)</f>
        <v>135.0372327</v>
      </c>
      <c r="K47" s="40">
        <f>IFERROR(__xludf.DUMMYFUNCTION("""COMPUTED_VALUE"""),571.6582208538712)</f>
        <v>571.6582209</v>
      </c>
      <c r="L47" s="26">
        <f>IFERROR(__xludf.DUMMYFUNCTION("""COMPUTED_VALUE"""),31837.277637101557)</f>
        <v>31837.27764</v>
      </c>
      <c r="M47" s="39">
        <f>IFERROR(__xludf.DUMMYFUNCTION("""COMPUTED_VALUE"""),0.39796597046376947)</f>
        <v>0.3979659705</v>
      </c>
      <c r="N47" s="40">
        <f>IFERROR(__xludf.DUMMYFUNCTION("""COMPUTED_VALUE"""),5864.923059343534)</f>
        <v>5864.923059</v>
      </c>
      <c r="O47" s="40">
        <f>IFERROR(__xludf.DUMMYFUNCTION("""COMPUTED_VALUE"""),18162.72236289845)</f>
        <v>18162.72236</v>
      </c>
      <c r="P47" s="2"/>
      <c r="Q47" s="13">
        <v>34.0</v>
      </c>
      <c r="R47" s="17">
        <f t="shared" si="2"/>
        <v>43997</v>
      </c>
      <c r="S47" s="26">
        <f t="shared" si="3"/>
        <v>32408.93586</v>
      </c>
      <c r="T47" s="40">
        <f t="shared" si="4"/>
        <v>706.6954536</v>
      </c>
      <c r="U47" s="40">
        <f t="shared" si="5"/>
        <v>135.0372327</v>
      </c>
      <c r="V47" s="40">
        <f t="shared" si="6"/>
        <v>571.6582209</v>
      </c>
      <c r="W47" s="26">
        <f t="shared" si="7"/>
        <v>31837.27764</v>
      </c>
      <c r="X47" s="39">
        <f t="shared" si="8"/>
        <v>0.3979659705</v>
      </c>
      <c r="Y47" s="40">
        <f t="shared" ref="Y47:Z47" si="41">U47+Y46</f>
        <v>5864.923059</v>
      </c>
      <c r="Z47" s="40">
        <f t="shared" si="41"/>
        <v>18162.72236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>
      <c r="A48" s="2"/>
      <c r="B48" s="2"/>
      <c r="C48" s="2"/>
      <c r="D48" s="2"/>
      <c r="E48" s="2"/>
      <c r="F48" s="13">
        <f>IFERROR(__xludf.DUMMYFUNCTION("""COMPUTED_VALUE"""),35.0)</f>
        <v>35</v>
      </c>
      <c r="G48" s="17">
        <f>IFERROR(__xludf.DUMMYFUNCTION("""COMPUTED_VALUE"""),44012.0)</f>
        <v>44012</v>
      </c>
      <c r="H48" s="26">
        <f>IFERROR(__xludf.DUMMYFUNCTION("""COMPUTED_VALUE"""),31837.277637101557)</f>
        <v>31837.27764</v>
      </c>
      <c r="I48" s="40">
        <f>IFERROR(__xludf.DUMMYFUNCTION("""COMPUTED_VALUE"""),706.6954535953523)</f>
        <v>706.6954536</v>
      </c>
      <c r="J48" s="40">
        <f>IFERROR(__xludf.DUMMYFUNCTION("""COMPUTED_VALUE"""),132.65532348792337)</f>
        <v>132.6553235</v>
      </c>
      <c r="K48" s="40">
        <f>IFERROR(__xludf.DUMMYFUNCTION("""COMPUTED_VALUE"""),574.040130107429)</f>
        <v>574.0401301</v>
      </c>
      <c r="L48" s="26">
        <f>IFERROR(__xludf.DUMMYFUNCTION("""COMPUTED_VALUE"""),31263.237506994126)</f>
        <v>31263.23751</v>
      </c>
      <c r="M48" s="39">
        <f>IFERROR(__xludf.DUMMYFUNCTION("""COMPUTED_VALUE"""),0.3907904688374266)</f>
        <v>0.3907904688</v>
      </c>
      <c r="N48" s="40">
        <f>IFERROR(__xludf.DUMMYFUNCTION("""COMPUTED_VALUE"""),5997.578382831457)</f>
        <v>5997.578383</v>
      </c>
      <c r="O48" s="40">
        <f>IFERROR(__xludf.DUMMYFUNCTION("""COMPUTED_VALUE"""),18736.76249300588)</f>
        <v>18736.76249</v>
      </c>
      <c r="P48" s="2"/>
      <c r="Q48" s="13">
        <v>35.0</v>
      </c>
      <c r="R48" s="17">
        <f t="shared" si="2"/>
        <v>44012</v>
      </c>
      <c r="S48" s="26">
        <f t="shared" si="3"/>
        <v>31837.27764</v>
      </c>
      <c r="T48" s="40">
        <f t="shared" si="4"/>
        <v>706.6954536</v>
      </c>
      <c r="U48" s="40">
        <f t="shared" si="5"/>
        <v>132.6553235</v>
      </c>
      <c r="V48" s="40">
        <f t="shared" si="6"/>
        <v>574.0401301</v>
      </c>
      <c r="W48" s="26">
        <f t="shared" si="7"/>
        <v>31263.23751</v>
      </c>
      <c r="X48" s="39">
        <f t="shared" si="8"/>
        <v>0.3907904688</v>
      </c>
      <c r="Y48" s="40">
        <f t="shared" ref="Y48:Z48" si="42">U48+Y47</f>
        <v>5997.578383</v>
      </c>
      <c r="Z48" s="40">
        <f t="shared" si="42"/>
        <v>18736.76249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>
      <c r="A49" s="2"/>
      <c r="B49" s="2"/>
      <c r="C49" s="2"/>
      <c r="D49" s="2"/>
      <c r="E49" s="2"/>
      <c r="F49" s="13">
        <f>IFERROR(__xludf.DUMMYFUNCTION("""COMPUTED_VALUE"""),36.0)</f>
        <v>36</v>
      </c>
      <c r="G49" s="17">
        <f>IFERROR(__xludf.DUMMYFUNCTION("""COMPUTED_VALUE"""),44027.0)</f>
        <v>44027</v>
      </c>
      <c r="H49" s="26">
        <f>IFERROR(__xludf.DUMMYFUNCTION("""COMPUTED_VALUE"""),31263.237506994126)</f>
        <v>31263.23751</v>
      </c>
      <c r="I49" s="40">
        <f>IFERROR(__xludf.DUMMYFUNCTION("""COMPUTED_VALUE"""),706.6954535953523)</f>
        <v>706.6954536</v>
      </c>
      <c r="J49" s="40">
        <f>IFERROR(__xludf.DUMMYFUNCTION("""COMPUTED_VALUE"""),130.26348961247578)</f>
        <v>130.2634896</v>
      </c>
      <c r="K49" s="40">
        <f>IFERROR(__xludf.DUMMYFUNCTION("""COMPUTED_VALUE"""),576.4319639828766)</f>
        <v>576.431964</v>
      </c>
      <c r="L49" s="26">
        <f>IFERROR(__xludf.DUMMYFUNCTION("""COMPUTED_VALUE"""),30686.80554301125)</f>
        <v>30686.80554</v>
      </c>
      <c r="M49" s="39">
        <f>IFERROR(__xludf.DUMMYFUNCTION("""COMPUTED_VALUE"""),0.38358506928764063)</f>
        <v>0.3835850693</v>
      </c>
      <c r="N49" s="40">
        <f>IFERROR(__xludf.DUMMYFUNCTION("""COMPUTED_VALUE"""),6127.8418724439325)</f>
        <v>6127.841872</v>
      </c>
      <c r="O49" s="40">
        <f>IFERROR(__xludf.DUMMYFUNCTION("""COMPUTED_VALUE"""),19313.194456988756)</f>
        <v>19313.19446</v>
      </c>
      <c r="P49" s="2"/>
      <c r="Q49" s="13">
        <v>36.0</v>
      </c>
      <c r="R49" s="17">
        <f t="shared" si="2"/>
        <v>44027</v>
      </c>
      <c r="S49" s="26">
        <f t="shared" si="3"/>
        <v>31263.23751</v>
      </c>
      <c r="T49" s="40">
        <f t="shared" si="4"/>
        <v>706.6954536</v>
      </c>
      <c r="U49" s="40">
        <f t="shared" si="5"/>
        <v>130.2634896</v>
      </c>
      <c r="V49" s="40">
        <f t="shared" si="6"/>
        <v>576.431964</v>
      </c>
      <c r="W49" s="26">
        <f t="shared" si="7"/>
        <v>30686.80554</v>
      </c>
      <c r="X49" s="39">
        <f t="shared" si="8"/>
        <v>0.3835850693</v>
      </c>
      <c r="Y49" s="40">
        <f t="shared" ref="Y49:Z49" si="43">U49+Y48</f>
        <v>6127.841872</v>
      </c>
      <c r="Z49" s="40">
        <f t="shared" si="43"/>
        <v>19313.19446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>
      <c r="A50" s="2"/>
      <c r="B50" s="2"/>
      <c r="C50" s="2"/>
      <c r="D50" s="2"/>
      <c r="E50" s="2"/>
      <c r="F50" s="13">
        <f>IFERROR(__xludf.DUMMYFUNCTION("""COMPUTED_VALUE"""),37.0)</f>
        <v>37</v>
      </c>
      <c r="G50" s="17">
        <f>IFERROR(__xludf.DUMMYFUNCTION("""COMPUTED_VALUE"""),44043.0)</f>
        <v>44043</v>
      </c>
      <c r="H50" s="26">
        <f>IFERROR(__xludf.DUMMYFUNCTION("""COMPUTED_VALUE"""),30686.80554301125)</f>
        <v>30686.80554</v>
      </c>
      <c r="I50" s="40">
        <f>IFERROR(__xludf.DUMMYFUNCTION("""COMPUTED_VALUE"""),706.6954535953523)</f>
        <v>706.6954536</v>
      </c>
      <c r="J50" s="40">
        <f>IFERROR(__xludf.DUMMYFUNCTION("""COMPUTED_VALUE"""),127.86168976254709)</f>
        <v>127.8616898</v>
      </c>
      <c r="K50" s="40">
        <f>IFERROR(__xludf.DUMMYFUNCTION("""COMPUTED_VALUE"""),578.8337638328054)</f>
        <v>578.8337638</v>
      </c>
      <c r="L50" s="26">
        <f>IFERROR(__xludf.DUMMYFUNCTION("""COMPUTED_VALUE"""),30107.971779178446)</f>
        <v>30107.97178</v>
      </c>
      <c r="M50" s="39">
        <f>IFERROR(__xludf.DUMMYFUNCTION("""COMPUTED_VALUE"""),0.3763496472397306)</f>
        <v>0.3763496472</v>
      </c>
      <c r="N50" s="40">
        <f>IFERROR(__xludf.DUMMYFUNCTION("""COMPUTED_VALUE"""),6255.70356220648)</f>
        <v>6255.703562</v>
      </c>
      <c r="O50" s="40">
        <f>IFERROR(__xludf.DUMMYFUNCTION("""COMPUTED_VALUE"""),19892.02822082156)</f>
        <v>19892.02822</v>
      </c>
      <c r="P50" s="2"/>
      <c r="Q50" s="13">
        <v>37.0</v>
      </c>
      <c r="R50" s="17">
        <f t="shared" si="2"/>
        <v>44043</v>
      </c>
      <c r="S50" s="26">
        <f t="shared" si="3"/>
        <v>30686.80554</v>
      </c>
      <c r="T50" s="40">
        <f t="shared" si="4"/>
        <v>706.6954536</v>
      </c>
      <c r="U50" s="40">
        <f t="shared" si="5"/>
        <v>127.8616898</v>
      </c>
      <c r="V50" s="40">
        <f t="shared" si="6"/>
        <v>578.8337638</v>
      </c>
      <c r="W50" s="26">
        <f t="shared" si="7"/>
        <v>30107.97178</v>
      </c>
      <c r="X50" s="39">
        <f t="shared" si="8"/>
        <v>0.3763496472</v>
      </c>
      <c r="Y50" s="40">
        <f t="shared" ref="Y50:Z50" si="44">U50+Y49</f>
        <v>6255.703562</v>
      </c>
      <c r="Z50" s="40">
        <f t="shared" si="44"/>
        <v>19892.02822</v>
      </c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>
      <c r="A51" s="2"/>
      <c r="B51" s="2"/>
      <c r="C51" s="2"/>
      <c r="D51" s="2"/>
      <c r="E51" s="2"/>
      <c r="F51" s="13">
        <f>IFERROR(__xludf.DUMMYFUNCTION("""COMPUTED_VALUE"""),38.0)</f>
        <v>38</v>
      </c>
      <c r="G51" s="17">
        <f>IFERROR(__xludf.DUMMYFUNCTION("""COMPUTED_VALUE"""),44058.0)</f>
        <v>44058</v>
      </c>
      <c r="H51" s="26">
        <f>IFERROR(__xludf.DUMMYFUNCTION("""COMPUTED_VALUE"""),30107.971779178446)</f>
        <v>30107.97178</v>
      </c>
      <c r="I51" s="40">
        <f>IFERROR(__xludf.DUMMYFUNCTION("""COMPUTED_VALUE"""),706.6954535953523)</f>
        <v>706.6954536</v>
      </c>
      <c r="J51" s="40">
        <f>IFERROR(__xludf.DUMMYFUNCTION("""COMPUTED_VALUE"""),125.44988241324377)</f>
        <v>125.4498824</v>
      </c>
      <c r="K51" s="40">
        <f>IFERROR(__xludf.DUMMYFUNCTION("""COMPUTED_VALUE"""),581.2455711821087)</f>
        <v>581.2455712</v>
      </c>
      <c r="L51" s="26">
        <f>IFERROR(__xludf.DUMMYFUNCTION("""COMPUTED_VALUE"""),29526.726207996337)</f>
        <v>29526.72621</v>
      </c>
      <c r="M51" s="39">
        <f>IFERROR(__xludf.DUMMYFUNCTION("""COMPUTED_VALUE"""),0.3690840775999542)</f>
        <v>0.3690840776</v>
      </c>
      <c r="N51" s="40">
        <f>IFERROR(__xludf.DUMMYFUNCTION("""COMPUTED_VALUE"""),6381.153444619723)</f>
        <v>6381.153445</v>
      </c>
      <c r="O51" s="40">
        <f>IFERROR(__xludf.DUMMYFUNCTION("""COMPUTED_VALUE"""),20473.27379200367)</f>
        <v>20473.27379</v>
      </c>
      <c r="P51" s="2"/>
      <c r="Q51" s="13">
        <v>38.0</v>
      </c>
      <c r="R51" s="17">
        <f t="shared" si="2"/>
        <v>44058</v>
      </c>
      <c r="S51" s="26">
        <f t="shared" si="3"/>
        <v>30107.97178</v>
      </c>
      <c r="T51" s="40">
        <f t="shared" si="4"/>
        <v>706.6954536</v>
      </c>
      <c r="U51" s="40">
        <f t="shared" si="5"/>
        <v>125.4498824</v>
      </c>
      <c r="V51" s="40">
        <f t="shared" si="6"/>
        <v>581.2455712</v>
      </c>
      <c r="W51" s="26">
        <f t="shared" si="7"/>
        <v>29526.72621</v>
      </c>
      <c r="X51" s="39">
        <f t="shared" si="8"/>
        <v>0.3690840776</v>
      </c>
      <c r="Y51" s="40">
        <f t="shared" ref="Y51:Z51" si="45">U51+Y50</f>
        <v>6381.153445</v>
      </c>
      <c r="Z51" s="40">
        <f t="shared" si="45"/>
        <v>20473.27379</v>
      </c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>
      <c r="A52" s="2"/>
      <c r="B52" s="2"/>
      <c r="C52" s="2"/>
      <c r="D52" s="2"/>
      <c r="E52" s="2"/>
      <c r="F52" s="13">
        <f>IFERROR(__xludf.DUMMYFUNCTION("""COMPUTED_VALUE"""),39.0)</f>
        <v>39</v>
      </c>
      <c r="G52" s="17">
        <f>IFERROR(__xludf.DUMMYFUNCTION("""COMPUTED_VALUE"""),44074.0)</f>
        <v>44074</v>
      </c>
      <c r="H52" s="26">
        <f>IFERROR(__xludf.DUMMYFUNCTION("""COMPUTED_VALUE"""),29526.726207996337)</f>
        <v>29526.72621</v>
      </c>
      <c r="I52" s="40">
        <f>IFERROR(__xludf.DUMMYFUNCTION("""COMPUTED_VALUE"""),706.6954535953523)</f>
        <v>706.6954536</v>
      </c>
      <c r="J52" s="40">
        <f>IFERROR(__xludf.DUMMYFUNCTION("""COMPUTED_VALUE"""),123.02802586665169)</f>
        <v>123.0280259</v>
      </c>
      <c r="K52" s="40">
        <f>IFERROR(__xludf.DUMMYFUNCTION("""COMPUTED_VALUE"""),583.6674277287007)</f>
        <v>583.6674277</v>
      </c>
      <c r="L52" s="26">
        <f>IFERROR(__xludf.DUMMYFUNCTION("""COMPUTED_VALUE"""),28943.058780267635)</f>
        <v>28943.05878</v>
      </c>
      <c r="M52" s="39">
        <f>IFERROR(__xludf.DUMMYFUNCTION("""COMPUTED_VALUE"""),0.36178823475334543)</f>
        <v>0.3617882348</v>
      </c>
      <c r="N52" s="40">
        <f>IFERROR(__xludf.DUMMYFUNCTION("""COMPUTED_VALUE"""),6504.181470486375)</f>
        <v>6504.18147</v>
      </c>
      <c r="O52" s="40">
        <f>IFERROR(__xludf.DUMMYFUNCTION("""COMPUTED_VALUE"""),21056.941219732373)</f>
        <v>21056.94122</v>
      </c>
      <c r="P52" s="2"/>
      <c r="Q52" s="13">
        <v>39.0</v>
      </c>
      <c r="R52" s="17">
        <f t="shared" si="2"/>
        <v>44074</v>
      </c>
      <c r="S52" s="26">
        <f t="shared" si="3"/>
        <v>29526.72621</v>
      </c>
      <c r="T52" s="40">
        <f t="shared" si="4"/>
        <v>706.6954536</v>
      </c>
      <c r="U52" s="40">
        <f t="shared" si="5"/>
        <v>123.0280259</v>
      </c>
      <c r="V52" s="40">
        <f t="shared" si="6"/>
        <v>583.6674277</v>
      </c>
      <c r="W52" s="26">
        <f t="shared" si="7"/>
        <v>28943.05878</v>
      </c>
      <c r="X52" s="39">
        <f t="shared" si="8"/>
        <v>0.3617882348</v>
      </c>
      <c r="Y52" s="40">
        <f t="shared" ref="Y52:Z52" si="46">U52+Y51</f>
        <v>6504.18147</v>
      </c>
      <c r="Z52" s="40">
        <f t="shared" si="46"/>
        <v>21056.94122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>
      <c r="A53" s="2"/>
      <c r="B53" s="2"/>
      <c r="C53" s="2"/>
      <c r="D53" s="2"/>
      <c r="E53" s="2"/>
      <c r="F53" s="13">
        <f>IFERROR(__xludf.DUMMYFUNCTION("""COMPUTED_VALUE"""),40.0)</f>
        <v>40</v>
      </c>
      <c r="G53" s="17">
        <f>IFERROR(__xludf.DUMMYFUNCTION("""COMPUTED_VALUE"""),44089.0)</f>
        <v>44089</v>
      </c>
      <c r="H53" s="26">
        <f>IFERROR(__xludf.DUMMYFUNCTION("""COMPUTED_VALUE"""),28943.058780267635)</f>
        <v>28943.05878</v>
      </c>
      <c r="I53" s="40">
        <f>IFERROR(__xludf.DUMMYFUNCTION("""COMPUTED_VALUE"""),706.6954535953523)</f>
        <v>706.6954536</v>
      </c>
      <c r="J53" s="40">
        <f>IFERROR(__xludf.DUMMYFUNCTION("""COMPUTED_VALUE"""),120.59607825111547)</f>
        <v>120.5960783</v>
      </c>
      <c r="K53" s="40">
        <f>IFERROR(__xludf.DUMMYFUNCTION("""COMPUTED_VALUE"""),586.0993753442369)</f>
        <v>586.0993753</v>
      </c>
      <c r="L53" s="26">
        <f>IFERROR(__xludf.DUMMYFUNCTION("""COMPUTED_VALUE"""),28356.959404923397)</f>
        <v>28356.9594</v>
      </c>
      <c r="M53" s="39">
        <f>IFERROR(__xludf.DUMMYFUNCTION("""COMPUTED_VALUE"""),0.3544619925615425)</f>
        <v>0.3544619926</v>
      </c>
      <c r="N53" s="40">
        <f>IFERROR(__xludf.DUMMYFUNCTION("""COMPUTED_VALUE"""),6624.77754873749)</f>
        <v>6624.777549</v>
      </c>
      <c r="O53" s="40">
        <f>IFERROR(__xludf.DUMMYFUNCTION("""COMPUTED_VALUE"""),21643.04059507661)</f>
        <v>21643.0406</v>
      </c>
      <c r="P53" s="2"/>
      <c r="Q53" s="13">
        <v>40.0</v>
      </c>
      <c r="R53" s="17">
        <f t="shared" si="2"/>
        <v>44089</v>
      </c>
      <c r="S53" s="26">
        <f t="shared" si="3"/>
        <v>28943.05878</v>
      </c>
      <c r="T53" s="40">
        <f t="shared" si="4"/>
        <v>706.6954536</v>
      </c>
      <c r="U53" s="40">
        <f t="shared" si="5"/>
        <v>120.5960783</v>
      </c>
      <c r="V53" s="40">
        <f t="shared" si="6"/>
        <v>586.0993753</v>
      </c>
      <c r="W53" s="26">
        <f t="shared" si="7"/>
        <v>28356.9594</v>
      </c>
      <c r="X53" s="39">
        <f t="shared" si="8"/>
        <v>0.3544619926</v>
      </c>
      <c r="Y53" s="40">
        <f t="shared" ref="Y53:Z53" si="47">U53+Y52</f>
        <v>6624.777549</v>
      </c>
      <c r="Z53" s="40">
        <f t="shared" si="47"/>
        <v>21643.0406</v>
      </c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>
      <c r="A54" s="2"/>
      <c r="B54" s="2"/>
      <c r="C54" s="2"/>
      <c r="D54" s="2"/>
      <c r="E54" s="2"/>
      <c r="F54" s="13">
        <f>IFERROR(__xludf.DUMMYFUNCTION("""COMPUTED_VALUE"""),41.0)</f>
        <v>41</v>
      </c>
      <c r="G54" s="17">
        <f>IFERROR(__xludf.DUMMYFUNCTION("""COMPUTED_VALUE"""),44104.0)</f>
        <v>44104</v>
      </c>
      <c r="H54" s="26">
        <f>IFERROR(__xludf.DUMMYFUNCTION("""COMPUTED_VALUE"""),28356.959404923397)</f>
        <v>28356.9594</v>
      </c>
      <c r="I54" s="40">
        <f>IFERROR(__xludf.DUMMYFUNCTION("""COMPUTED_VALUE"""),706.6954535953523)</f>
        <v>706.6954536</v>
      </c>
      <c r="J54" s="40">
        <f>IFERROR(__xludf.DUMMYFUNCTION("""COMPUTED_VALUE"""),118.15399752051442)</f>
        <v>118.1539975</v>
      </c>
      <c r="K54" s="40">
        <f>IFERROR(__xludf.DUMMYFUNCTION("""COMPUTED_VALUE"""),588.541456074838)</f>
        <v>588.5414561</v>
      </c>
      <c r="L54" s="26">
        <f>IFERROR(__xludf.DUMMYFUNCTION("""COMPUTED_VALUE"""),27768.417948848557)</f>
        <v>27768.41795</v>
      </c>
      <c r="M54" s="39">
        <f>IFERROR(__xludf.DUMMYFUNCTION("""COMPUTED_VALUE"""),0.347105224360607)</f>
        <v>0.3471052244</v>
      </c>
      <c r="N54" s="40">
        <f>IFERROR(__xludf.DUMMYFUNCTION("""COMPUTED_VALUE"""),6742.931546258004)</f>
        <v>6742.931546</v>
      </c>
      <c r="O54" s="40">
        <f>IFERROR(__xludf.DUMMYFUNCTION("""COMPUTED_VALUE"""),22231.58205115145)</f>
        <v>22231.58205</v>
      </c>
      <c r="P54" s="2"/>
      <c r="Q54" s="13">
        <v>41.0</v>
      </c>
      <c r="R54" s="17">
        <f t="shared" si="2"/>
        <v>44104</v>
      </c>
      <c r="S54" s="26">
        <f t="shared" si="3"/>
        <v>28356.9594</v>
      </c>
      <c r="T54" s="40">
        <f t="shared" si="4"/>
        <v>706.6954536</v>
      </c>
      <c r="U54" s="40">
        <f t="shared" si="5"/>
        <v>118.1539975</v>
      </c>
      <c r="V54" s="40">
        <f t="shared" si="6"/>
        <v>588.5414561</v>
      </c>
      <c r="W54" s="26">
        <f t="shared" si="7"/>
        <v>27768.41795</v>
      </c>
      <c r="X54" s="39">
        <f t="shared" si="8"/>
        <v>0.3471052244</v>
      </c>
      <c r="Y54" s="40">
        <f t="shared" ref="Y54:Z54" si="48">U54+Y53</f>
        <v>6742.931546</v>
      </c>
      <c r="Z54" s="40">
        <f t="shared" si="48"/>
        <v>22231.58205</v>
      </c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>
      <c r="A55" s="2"/>
      <c r="B55" s="2"/>
      <c r="C55" s="2"/>
      <c r="D55" s="2"/>
      <c r="E55" s="2"/>
      <c r="F55" s="13">
        <f>IFERROR(__xludf.DUMMYFUNCTION("""COMPUTED_VALUE"""),42.0)</f>
        <v>42</v>
      </c>
      <c r="G55" s="17">
        <f>IFERROR(__xludf.DUMMYFUNCTION("""COMPUTED_VALUE"""),44119.0)</f>
        <v>44119</v>
      </c>
      <c r="H55" s="26">
        <f>IFERROR(__xludf.DUMMYFUNCTION("""COMPUTED_VALUE"""),27768.417948848557)</f>
        <v>27768.41795</v>
      </c>
      <c r="I55" s="40">
        <f>IFERROR(__xludf.DUMMYFUNCTION("""COMPUTED_VALUE"""),706.6954535953523)</f>
        <v>706.6954536</v>
      </c>
      <c r="J55" s="40">
        <f>IFERROR(__xludf.DUMMYFUNCTION("""COMPUTED_VALUE"""),115.70174145353599)</f>
        <v>115.7017415</v>
      </c>
      <c r="K55" s="40">
        <f>IFERROR(__xludf.DUMMYFUNCTION("""COMPUTED_VALUE"""),590.9937121418164)</f>
        <v>590.9937121</v>
      </c>
      <c r="L55" s="26">
        <f>IFERROR(__xludf.DUMMYFUNCTION("""COMPUTED_VALUE"""),27177.42423670674)</f>
        <v>27177.42424</v>
      </c>
      <c r="M55" s="39">
        <f>IFERROR(__xludf.DUMMYFUNCTION("""COMPUTED_VALUE"""),0.33971780295883425)</f>
        <v>0.339717803</v>
      </c>
      <c r="N55" s="40">
        <f>IFERROR(__xludf.DUMMYFUNCTION("""COMPUTED_VALUE"""),6858.63328771154)</f>
        <v>6858.633288</v>
      </c>
      <c r="O55" s="40">
        <f>IFERROR(__xludf.DUMMYFUNCTION("""COMPUTED_VALUE"""),22822.575763293265)</f>
        <v>22822.57576</v>
      </c>
      <c r="P55" s="2"/>
      <c r="Q55" s="13">
        <v>42.0</v>
      </c>
      <c r="R55" s="17">
        <f t="shared" si="2"/>
        <v>44119</v>
      </c>
      <c r="S55" s="26">
        <f t="shared" si="3"/>
        <v>27768.41795</v>
      </c>
      <c r="T55" s="40">
        <f t="shared" si="4"/>
        <v>706.6954536</v>
      </c>
      <c r="U55" s="40">
        <f t="shared" si="5"/>
        <v>115.7017415</v>
      </c>
      <c r="V55" s="40">
        <f t="shared" si="6"/>
        <v>590.9937121</v>
      </c>
      <c r="W55" s="26">
        <f t="shared" si="7"/>
        <v>27177.42424</v>
      </c>
      <c r="X55" s="39">
        <f t="shared" si="8"/>
        <v>0.339717803</v>
      </c>
      <c r="Y55" s="40">
        <f t="shared" ref="Y55:Z55" si="49">U55+Y54</f>
        <v>6858.633288</v>
      </c>
      <c r="Z55" s="40">
        <f t="shared" si="49"/>
        <v>22822.57576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>
      <c r="A56" s="2"/>
      <c r="B56" s="2"/>
      <c r="C56" s="2"/>
      <c r="D56" s="2"/>
      <c r="E56" s="2"/>
      <c r="F56" s="13">
        <f>IFERROR(__xludf.DUMMYFUNCTION("""COMPUTED_VALUE"""),43.0)</f>
        <v>43</v>
      </c>
      <c r="G56" s="17">
        <f>IFERROR(__xludf.DUMMYFUNCTION("""COMPUTED_VALUE"""),44135.0)</f>
        <v>44135</v>
      </c>
      <c r="H56" s="26">
        <f>IFERROR(__xludf.DUMMYFUNCTION("""COMPUTED_VALUE"""),27177.42423670674)</f>
        <v>27177.42424</v>
      </c>
      <c r="I56" s="40">
        <f>IFERROR(__xludf.DUMMYFUNCTION("""COMPUTED_VALUE"""),706.6954535953523)</f>
        <v>706.6954536</v>
      </c>
      <c r="J56" s="40">
        <f>IFERROR(__xludf.DUMMYFUNCTION("""COMPUTED_VALUE"""),113.23926765294513)</f>
        <v>113.2392677</v>
      </c>
      <c r="K56" s="40">
        <f>IFERROR(__xludf.DUMMYFUNCTION("""COMPUTED_VALUE"""),593.4561859424074)</f>
        <v>593.4561859</v>
      </c>
      <c r="L56" s="26">
        <f>IFERROR(__xludf.DUMMYFUNCTION("""COMPUTED_VALUE"""),26583.968050764335)</f>
        <v>26583.96805</v>
      </c>
      <c r="M56" s="39">
        <f>IFERROR(__xludf.DUMMYFUNCTION("""COMPUTED_VALUE"""),0.3322996006345542)</f>
        <v>0.3322996006</v>
      </c>
      <c r="N56" s="40">
        <f>IFERROR(__xludf.DUMMYFUNCTION("""COMPUTED_VALUE"""),6971.872555364485)</f>
        <v>6971.872555</v>
      </c>
      <c r="O56" s="40">
        <f>IFERROR(__xludf.DUMMYFUNCTION("""COMPUTED_VALUE"""),23416.031949235672)</f>
        <v>23416.03195</v>
      </c>
      <c r="P56" s="2"/>
      <c r="Q56" s="13">
        <v>43.0</v>
      </c>
      <c r="R56" s="17">
        <f t="shared" si="2"/>
        <v>44135</v>
      </c>
      <c r="S56" s="26">
        <f t="shared" si="3"/>
        <v>27177.42424</v>
      </c>
      <c r="T56" s="40">
        <f t="shared" si="4"/>
        <v>706.6954536</v>
      </c>
      <c r="U56" s="40">
        <f t="shared" si="5"/>
        <v>113.2392677</v>
      </c>
      <c r="V56" s="40">
        <f t="shared" si="6"/>
        <v>593.4561859</v>
      </c>
      <c r="W56" s="26">
        <f t="shared" si="7"/>
        <v>26583.96805</v>
      </c>
      <c r="X56" s="39">
        <f t="shared" si="8"/>
        <v>0.3322996006</v>
      </c>
      <c r="Y56" s="40">
        <f t="shared" ref="Y56:Z56" si="50">U56+Y55</f>
        <v>6971.872555</v>
      </c>
      <c r="Z56" s="40">
        <f t="shared" si="50"/>
        <v>23416.03195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>
      <c r="A57" s="2"/>
      <c r="B57" s="2"/>
      <c r="C57" s="2"/>
      <c r="D57" s="2"/>
      <c r="E57" s="2"/>
      <c r="F57" s="13">
        <f>IFERROR(__xludf.DUMMYFUNCTION("""COMPUTED_VALUE"""),44.0)</f>
        <v>44</v>
      </c>
      <c r="G57" s="17">
        <f>IFERROR(__xludf.DUMMYFUNCTION("""COMPUTED_VALUE"""),44150.0)</f>
        <v>44150</v>
      </c>
      <c r="H57" s="26">
        <f>IFERROR(__xludf.DUMMYFUNCTION("""COMPUTED_VALUE"""),26583.968050764335)</f>
        <v>26583.96805</v>
      </c>
      <c r="I57" s="40">
        <f>IFERROR(__xludf.DUMMYFUNCTION("""COMPUTED_VALUE"""),706.6954535953523)</f>
        <v>706.6954536</v>
      </c>
      <c r="J57" s="40">
        <f>IFERROR(__xludf.DUMMYFUNCTION("""COMPUTED_VALUE"""),110.76653354485175)</f>
        <v>110.7665335</v>
      </c>
      <c r="K57" s="40">
        <f>IFERROR(__xludf.DUMMYFUNCTION("""COMPUTED_VALUE"""),595.9289200505007)</f>
        <v>595.9289201</v>
      </c>
      <c r="L57" s="26">
        <f>IFERROR(__xludf.DUMMYFUNCTION("""COMPUTED_VALUE"""),25988.039130713834)</f>
        <v>25988.03913</v>
      </c>
      <c r="M57" s="39">
        <f>IFERROR(__xludf.DUMMYFUNCTION("""COMPUTED_VALUE"""),0.32485048913392295)</f>
        <v>0.3248504891</v>
      </c>
      <c r="N57" s="40">
        <f>IFERROR(__xludf.DUMMYFUNCTION("""COMPUTED_VALUE"""),7082.639088909337)</f>
        <v>7082.639089</v>
      </c>
      <c r="O57" s="40">
        <f>IFERROR(__xludf.DUMMYFUNCTION("""COMPUTED_VALUE"""),24011.960869286173)</f>
        <v>24011.96087</v>
      </c>
      <c r="P57" s="2"/>
      <c r="Q57" s="13">
        <v>44.0</v>
      </c>
      <c r="R57" s="17">
        <f t="shared" si="2"/>
        <v>44150</v>
      </c>
      <c r="S57" s="26">
        <f t="shared" si="3"/>
        <v>26583.96805</v>
      </c>
      <c r="T57" s="40">
        <f t="shared" si="4"/>
        <v>706.6954536</v>
      </c>
      <c r="U57" s="40">
        <f t="shared" si="5"/>
        <v>110.7665335</v>
      </c>
      <c r="V57" s="40">
        <f t="shared" si="6"/>
        <v>595.9289201</v>
      </c>
      <c r="W57" s="26">
        <f t="shared" si="7"/>
        <v>25988.03913</v>
      </c>
      <c r="X57" s="39">
        <f t="shared" si="8"/>
        <v>0.3248504891</v>
      </c>
      <c r="Y57" s="40">
        <f t="shared" ref="Y57:Z57" si="51">U57+Y56</f>
        <v>7082.639089</v>
      </c>
      <c r="Z57" s="40">
        <f t="shared" si="51"/>
        <v>24011.96087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>
      <c r="A58" s="2"/>
      <c r="B58" s="2"/>
      <c r="C58" s="2"/>
      <c r="D58" s="2"/>
      <c r="E58" s="2"/>
      <c r="F58" s="13">
        <f>IFERROR(__xludf.DUMMYFUNCTION("""COMPUTED_VALUE"""),45.0)</f>
        <v>45</v>
      </c>
      <c r="G58" s="17">
        <f>IFERROR(__xludf.DUMMYFUNCTION("""COMPUTED_VALUE"""),44165.0)</f>
        <v>44165</v>
      </c>
      <c r="H58" s="26">
        <f>IFERROR(__xludf.DUMMYFUNCTION("""COMPUTED_VALUE"""),25988.039130713834)</f>
        <v>25988.03913</v>
      </c>
      <c r="I58" s="40">
        <f>IFERROR(__xludf.DUMMYFUNCTION("""COMPUTED_VALUE"""),706.6954535953523)</f>
        <v>706.6954536</v>
      </c>
      <c r="J58" s="40">
        <f>IFERROR(__xludf.DUMMYFUNCTION("""COMPUTED_VALUE"""),108.28349637797461)</f>
        <v>108.2834964</v>
      </c>
      <c r="K58" s="40">
        <f>IFERROR(__xludf.DUMMYFUNCTION("""COMPUTED_VALUE"""),598.4119572173778)</f>
        <v>598.4119572</v>
      </c>
      <c r="L58" s="26">
        <f>IFERROR(__xludf.DUMMYFUNCTION("""COMPUTED_VALUE"""),25389.627173496458)</f>
        <v>25389.62717</v>
      </c>
      <c r="M58" s="39">
        <f>IFERROR(__xludf.DUMMYFUNCTION("""COMPUTED_VALUE"""),0.3173703396687057)</f>
        <v>0.3173703397</v>
      </c>
      <c r="N58" s="40">
        <f>IFERROR(__xludf.DUMMYFUNCTION("""COMPUTED_VALUE"""),7190.922585287311)</f>
        <v>7190.922585</v>
      </c>
      <c r="O58" s="40">
        <f>IFERROR(__xludf.DUMMYFUNCTION("""COMPUTED_VALUE"""),24610.37282650355)</f>
        <v>24610.37283</v>
      </c>
      <c r="P58" s="2"/>
      <c r="Q58" s="13">
        <v>45.0</v>
      </c>
      <c r="R58" s="17">
        <f t="shared" si="2"/>
        <v>44165</v>
      </c>
      <c r="S58" s="26">
        <f t="shared" si="3"/>
        <v>25988.03913</v>
      </c>
      <c r="T58" s="40">
        <f t="shared" si="4"/>
        <v>706.6954536</v>
      </c>
      <c r="U58" s="40">
        <f t="shared" si="5"/>
        <v>108.2834964</v>
      </c>
      <c r="V58" s="40">
        <f t="shared" si="6"/>
        <v>598.4119572</v>
      </c>
      <c r="W58" s="26">
        <f t="shared" si="7"/>
        <v>25389.62717</v>
      </c>
      <c r="X58" s="39">
        <f t="shared" si="8"/>
        <v>0.3173703397</v>
      </c>
      <c r="Y58" s="40">
        <f t="shared" ref="Y58:Z58" si="52">U58+Y57</f>
        <v>7190.922585</v>
      </c>
      <c r="Z58" s="40">
        <f t="shared" si="52"/>
        <v>24610.37283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>
      <c r="A59" s="2"/>
      <c r="B59" s="2"/>
      <c r="C59" s="2"/>
      <c r="D59" s="2"/>
      <c r="E59" s="2"/>
      <c r="F59" s="13">
        <f>IFERROR(__xludf.DUMMYFUNCTION("""COMPUTED_VALUE"""),46.0)</f>
        <v>46</v>
      </c>
      <c r="G59" s="17">
        <f>IFERROR(__xludf.DUMMYFUNCTION("""COMPUTED_VALUE"""),44180.0)</f>
        <v>44180</v>
      </c>
      <c r="H59" s="26">
        <f>IFERROR(__xludf.DUMMYFUNCTION("""COMPUTED_VALUE"""),25389.627173496458)</f>
        <v>25389.62717</v>
      </c>
      <c r="I59" s="40">
        <f>IFERROR(__xludf.DUMMYFUNCTION("""COMPUTED_VALUE"""),706.6954535953523)</f>
        <v>706.6954536</v>
      </c>
      <c r="J59" s="40">
        <f>IFERROR(__xludf.DUMMYFUNCTION("""COMPUTED_VALUE"""),105.79011322290222)</f>
        <v>105.7901132</v>
      </c>
      <c r="K59" s="40">
        <f>IFERROR(__xludf.DUMMYFUNCTION("""COMPUTED_VALUE"""),600.9053403724502)</f>
        <v>600.9053404</v>
      </c>
      <c r="L59" s="26">
        <f>IFERROR(__xludf.DUMMYFUNCTION("""COMPUTED_VALUE"""),24788.721833124007)</f>
        <v>24788.72183</v>
      </c>
      <c r="M59" s="39">
        <f>IFERROR(__xludf.DUMMYFUNCTION("""COMPUTED_VALUE"""),0.3098590229140501)</f>
        <v>0.3098590229</v>
      </c>
      <c r="N59" s="40">
        <f>IFERROR(__xludf.DUMMYFUNCTION("""COMPUTED_VALUE"""),7296.712698510214)</f>
        <v>7296.712699</v>
      </c>
      <c r="O59" s="40">
        <f>IFERROR(__xludf.DUMMYFUNCTION("""COMPUTED_VALUE"""),25211.278166876)</f>
        <v>25211.27817</v>
      </c>
      <c r="P59" s="2"/>
      <c r="Q59" s="13">
        <v>46.0</v>
      </c>
      <c r="R59" s="17">
        <f t="shared" si="2"/>
        <v>44180</v>
      </c>
      <c r="S59" s="26">
        <f t="shared" si="3"/>
        <v>25389.62717</v>
      </c>
      <c r="T59" s="40">
        <f t="shared" si="4"/>
        <v>706.6954536</v>
      </c>
      <c r="U59" s="40">
        <f t="shared" si="5"/>
        <v>105.7901132</v>
      </c>
      <c r="V59" s="40">
        <f t="shared" si="6"/>
        <v>600.9053404</v>
      </c>
      <c r="W59" s="26">
        <f t="shared" si="7"/>
        <v>24788.72183</v>
      </c>
      <c r="X59" s="39">
        <f t="shared" si="8"/>
        <v>0.3098590229</v>
      </c>
      <c r="Y59" s="40">
        <f t="shared" ref="Y59:Z59" si="53">U59+Y58</f>
        <v>7296.712699</v>
      </c>
      <c r="Z59" s="40">
        <f t="shared" si="53"/>
        <v>25211.27817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>
      <c r="A60" s="2"/>
      <c r="B60" s="2"/>
      <c r="C60" s="2"/>
      <c r="D60" s="2"/>
      <c r="E60" s="2"/>
      <c r="F60" s="13">
        <f>IFERROR(__xludf.DUMMYFUNCTION("""COMPUTED_VALUE"""),47.0)</f>
        <v>47</v>
      </c>
      <c r="G60" s="17">
        <f>IFERROR(__xludf.DUMMYFUNCTION("""COMPUTED_VALUE"""),44196.0)</f>
        <v>44196</v>
      </c>
      <c r="H60" s="26">
        <f>IFERROR(__xludf.DUMMYFUNCTION("""COMPUTED_VALUE"""),24788.721833124007)</f>
        <v>24788.72183</v>
      </c>
      <c r="I60" s="40">
        <f>IFERROR(__xludf.DUMMYFUNCTION("""COMPUTED_VALUE"""),706.6954535953523)</f>
        <v>706.6954536</v>
      </c>
      <c r="J60" s="40">
        <f>IFERROR(__xludf.DUMMYFUNCTION("""COMPUTED_VALUE"""),103.28634097135041)</f>
        <v>103.286341</v>
      </c>
      <c r="K60" s="40">
        <f>IFERROR(__xludf.DUMMYFUNCTION("""COMPUTED_VALUE"""),603.409112624002)</f>
        <v>603.4091126</v>
      </c>
      <c r="L60" s="26">
        <f>IFERROR(__xludf.DUMMYFUNCTION("""COMPUTED_VALUE"""),24185.312720500006)</f>
        <v>24185.31272</v>
      </c>
      <c r="M60" s="39">
        <f>IFERROR(__xludf.DUMMYFUNCTION("""COMPUTED_VALUE"""),0.30231640900625006)</f>
        <v>0.302316409</v>
      </c>
      <c r="N60" s="40">
        <f>IFERROR(__xludf.DUMMYFUNCTION("""COMPUTED_VALUE"""),7399.999039481564)</f>
        <v>7399.999039</v>
      </c>
      <c r="O60" s="40">
        <f>IFERROR(__xludf.DUMMYFUNCTION("""COMPUTED_VALUE"""),25814.6872795)</f>
        <v>25814.68728</v>
      </c>
      <c r="P60" s="2"/>
      <c r="Q60" s="13">
        <v>47.0</v>
      </c>
      <c r="R60" s="17">
        <f t="shared" si="2"/>
        <v>44196</v>
      </c>
      <c r="S60" s="26">
        <f t="shared" si="3"/>
        <v>24788.72183</v>
      </c>
      <c r="T60" s="40">
        <f t="shared" si="4"/>
        <v>706.6954536</v>
      </c>
      <c r="U60" s="40">
        <f t="shared" si="5"/>
        <v>103.286341</v>
      </c>
      <c r="V60" s="40">
        <f t="shared" si="6"/>
        <v>603.4091126</v>
      </c>
      <c r="W60" s="26">
        <f t="shared" si="7"/>
        <v>24185.31272</v>
      </c>
      <c r="X60" s="39">
        <f t="shared" si="8"/>
        <v>0.302316409</v>
      </c>
      <c r="Y60" s="40">
        <f t="shared" ref="Y60:Z60" si="54">U60+Y59</f>
        <v>7399.999039</v>
      </c>
      <c r="Z60" s="40">
        <f t="shared" si="54"/>
        <v>25814.68728</v>
      </c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>
      <c r="A61" s="2"/>
      <c r="B61" s="2"/>
      <c r="C61" s="2"/>
      <c r="D61" s="2"/>
      <c r="E61" s="2"/>
      <c r="F61" s="13">
        <f>IFERROR(__xludf.DUMMYFUNCTION("""COMPUTED_VALUE"""),48.0)</f>
        <v>48</v>
      </c>
      <c r="G61" s="17">
        <f>IFERROR(__xludf.DUMMYFUNCTION("""COMPUTED_VALUE"""),44211.0)</f>
        <v>44211</v>
      </c>
      <c r="H61" s="26">
        <f>IFERROR(__xludf.DUMMYFUNCTION("""COMPUTED_VALUE"""),24185.312720500006)</f>
        <v>24185.31272</v>
      </c>
      <c r="I61" s="40">
        <f>IFERROR(__xludf.DUMMYFUNCTION("""COMPUTED_VALUE"""),706.6954535953523)</f>
        <v>706.6954536</v>
      </c>
      <c r="J61" s="40">
        <f>IFERROR(__xludf.DUMMYFUNCTION("""COMPUTED_VALUE"""),100.77213633541709)</f>
        <v>100.7721363</v>
      </c>
      <c r="K61" s="40">
        <f>IFERROR(__xludf.DUMMYFUNCTION("""COMPUTED_VALUE"""),605.9233172599354)</f>
        <v>605.9233173</v>
      </c>
      <c r="L61" s="26">
        <f>IFERROR(__xludf.DUMMYFUNCTION("""COMPUTED_VALUE"""),23579.38940324007)</f>
        <v>23579.3894</v>
      </c>
      <c r="M61" s="39">
        <f>IFERROR(__xludf.DUMMYFUNCTION("""COMPUTED_VALUE"""),0.29474236754050087)</f>
        <v>0.2947423675</v>
      </c>
      <c r="N61" s="40">
        <f>IFERROR(__xludf.DUMMYFUNCTION("""COMPUTED_VALUE"""),7500.771175816981)</f>
        <v>7500.771176</v>
      </c>
      <c r="O61" s="40">
        <f>IFERROR(__xludf.DUMMYFUNCTION("""COMPUTED_VALUE"""),26420.610596759936)</f>
        <v>26420.6106</v>
      </c>
      <c r="P61" s="2"/>
      <c r="Q61" s="13">
        <v>48.0</v>
      </c>
      <c r="R61" s="17">
        <f t="shared" si="2"/>
        <v>44211</v>
      </c>
      <c r="S61" s="26">
        <f t="shared" si="3"/>
        <v>24185.31272</v>
      </c>
      <c r="T61" s="40">
        <f t="shared" si="4"/>
        <v>706.6954536</v>
      </c>
      <c r="U61" s="40">
        <f t="shared" si="5"/>
        <v>100.7721363</v>
      </c>
      <c r="V61" s="40">
        <f t="shared" si="6"/>
        <v>605.9233173</v>
      </c>
      <c r="W61" s="26">
        <f t="shared" si="7"/>
        <v>23579.3894</v>
      </c>
      <c r="X61" s="39">
        <f t="shared" si="8"/>
        <v>0.2947423675</v>
      </c>
      <c r="Y61" s="40">
        <f t="shared" ref="Y61:Z61" si="55">U61+Y60</f>
        <v>7500.771176</v>
      </c>
      <c r="Z61" s="40">
        <f t="shared" si="55"/>
        <v>26420.6106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>
      <c r="A62" s="2"/>
      <c r="B62" s="2"/>
      <c r="C62" s="2"/>
      <c r="D62" s="2"/>
      <c r="E62" s="2"/>
      <c r="F62" s="13">
        <f>IFERROR(__xludf.DUMMYFUNCTION("""COMPUTED_VALUE"""),49.0)</f>
        <v>49</v>
      </c>
      <c r="G62" s="17">
        <f>IFERROR(__xludf.DUMMYFUNCTION("""COMPUTED_VALUE"""),44227.0)</f>
        <v>44227</v>
      </c>
      <c r="H62" s="26">
        <f>IFERROR(__xludf.DUMMYFUNCTION("""COMPUTED_VALUE"""),23579.38940324007)</f>
        <v>23579.3894</v>
      </c>
      <c r="I62" s="40">
        <f>IFERROR(__xludf.DUMMYFUNCTION("""COMPUTED_VALUE"""),706.6954535953523)</f>
        <v>706.6954536</v>
      </c>
      <c r="J62" s="40">
        <f>IFERROR(__xludf.DUMMYFUNCTION("""COMPUTED_VALUE"""),98.24745584683401)</f>
        <v>98.24745585</v>
      </c>
      <c r="K62" s="40">
        <f>IFERROR(__xludf.DUMMYFUNCTION("""COMPUTED_VALUE"""),608.4479977485184)</f>
        <v>608.4479977</v>
      </c>
      <c r="L62" s="26">
        <f>IFERROR(__xludf.DUMMYFUNCTION("""COMPUTED_VALUE"""),22970.941405491554)</f>
        <v>22970.94141</v>
      </c>
      <c r="M62" s="39">
        <f>IFERROR(__xludf.DUMMYFUNCTION("""COMPUTED_VALUE"""),0.2871367675686444)</f>
        <v>0.2871367676</v>
      </c>
      <c r="N62" s="40">
        <f>IFERROR(__xludf.DUMMYFUNCTION("""COMPUTED_VALUE"""),7599.018631663815)</f>
        <v>7599.018632</v>
      </c>
      <c r="O62" s="40">
        <f>IFERROR(__xludf.DUMMYFUNCTION("""COMPUTED_VALUE"""),27029.058594508453)</f>
        <v>27029.05859</v>
      </c>
      <c r="P62" s="2"/>
      <c r="Q62" s="13">
        <v>49.0</v>
      </c>
      <c r="R62" s="17">
        <f t="shared" si="2"/>
        <v>44227</v>
      </c>
      <c r="S62" s="26">
        <f t="shared" si="3"/>
        <v>23579.3894</v>
      </c>
      <c r="T62" s="40">
        <f t="shared" si="4"/>
        <v>706.6954536</v>
      </c>
      <c r="U62" s="40">
        <f t="shared" si="5"/>
        <v>98.24745585</v>
      </c>
      <c r="V62" s="40">
        <f t="shared" si="6"/>
        <v>608.4479977</v>
      </c>
      <c r="W62" s="26">
        <f t="shared" si="7"/>
        <v>22970.94141</v>
      </c>
      <c r="X62" s="39">
        <f t="shared" si="8"/>
        <v>0.2871367676</v>
      </c>
      <c r="Y62" s="40">
        <f t="shared" ref="Y62:Z62" si="56">U62+Y61</f>
        <v>7599.018632</v>
      </c>
      <c r="Z62" s="40">
        <f t="shared" si="56"/>
        <v>27029.05859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>
      <c r="A63" s="2"/>
      <c r="B63" s="2"/>
      <c r="C63" s="2"/>
      <c r="D63" s="2"/>
      <c r="E63" s="2"/>
      <c r="F63" s="13">
        <f>IFERROR(__xludf.DUMMYFUNCTION("""COMPUTED_VALUE"""),50.0)</f>
        <v>50</v>
      </c>
      <c r="G63" s="17">
        <f>IFERROR(__xludf.DUMMYFUNCTION("""COMPUTED_VALUE"""),44242.0)</f>
        <v>44242</v>
      </c>
      <c r="H63" s="26">
        <f>IFERROR(__xludf.DUMMYFUNCTION("""COMPUTED_VALUE"""),22970.941405491554)</f>
        <v>22970.94141</v>
      </c>
      <c r="I63" s="40">
        <f>IFERROR(__xludf.DUMMYFUNCTION("""COMPUTED_VALUE"""),706.6954535953523)</f>
        <v>706.6954536</v>
      </c>
      <c r="J63" s="40">
        <f>IFERROR(__xludf.DUMMYFUNCTION("""COMPUTED_VALUE"""),95.71225585621517)</f>
        <v>95.71225586</v>
      </c>
      <c r="K63" s="40">
        <f>IFERROR(__xludf.DUMMYFUNCTION("""COMPUTED_VALUE"""),610.9831977391373)</f>
        <v>610.9831977</v>
      </c>
      <c r="L63" s="26">
        <f>IFERROR(__xludf.DUMMYFUNCTION("""COMPUTED_VALUE"""),22359.958207752417)</f>
        <v>22359.95821</v>
      </c>
      <c r="M63" s="39">
        <f>IFERROR(__xludf.DUMMYFUNCTION("""COMPUTED_VALUE"""),0.27949947759690524)</f>
        <v>0.2794994776</v>
      </c>
      <c r="N63" s="40">
        <f>IFERROR(__xludf.DUMMYFUNCTION("""COMPUTED_VALUE"""),7694.73088752003)</f>
        <v>7694.730888</v>
      </c>
      <c r="O63" s="40">
        <f>IFERROR(__xludf.DUMMYFUNCTION("""COMPUTED_VALUE"""),27640.04179224759)</f>
        <v>27640.04179</v>
      </c>
      <c r="P63" s="2"/>
      <c r="Q63" s="13">
        <v>50.0</v>
      </c>
      <c r="R63" s="17">
        <f t="shared" si="2"/>
        <v>44242</v>
      </c>
      <c r="S63" s="26">
        <f t="shared" si="3"/>
        <v>22970.94141</v>
      </c>
      <c r="T63" s="40">
        <f t="shared" si="4"/>
        <v>706.6954536</v>
      </c>
      <c r="U63" s="40">
        <f t="shared" si="5"/>
        <v>95.71225586</v>
      </c>
      <c r="V63" s="40">
        <f t="shared" si="6"/>
        <v>610.9831977</v>
      </c>
      <c r="W63" s="26">
        <f t="shared" si="7"/>
        <v>22359.95821</v>
      </c>
      <c r="X63" s="39">
        <f t="shared" si="8"/>
        <v>0.2794994776</v>
      </c>
      <c r="Y63" s="40">
        <f t="shared" ref="Y63:Z63" si="57">U63+Y62</f>
        <v>7694.730888</v>
      </c>
      <c r="Z63" s="40">
        <f t="shared" si="57"/>
        <v>27640.04179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>
      <c r="A64" s="2"/>
      <c r="B64" s="2"/>
      <c r="C64" s="2"/>
      <c r="D64" s="2"/>
      <c r="E64" s="2"/>
      <c r="F64" s="13">
        <f>IFERROR(__xludf.DUMMYFUNCTION("""COMPUTED_VALUE"""),51.0)</f>
        <v>51</v>
      </c>
      <c r="G64" s="17">
        <f>IFERROR(__xludf.DUMMYFUNCTION("""COMPUTED_VALUE"""),44255.0)</f>
        <v>44255</v>
      </c>
      <c r="H64" s="26">
        <f>IFERROR(__xludf.DUMMYFUNCTION("""COMPUTED_VALUE"""),22359.958207752417)</f>
        <v>22359.95821</v>
      </c>
      <c r="I64" s="40">
        <f>IFERROR(__xludf.DUMMYFUNCTION("""COMPUTED_VALUE"""),706.6954535953523)</f>
        <v>706.6954536</v>
      </c>
      <c r="J64" s="40">
        <f>IFERROR(__xludf.DUMMYFUNCTION("""COMPUTED_VALUE"""),93.16649253230216)</f>
        <v>93.16649253</v>
      </c>
      <c r="K64" s="40">
        <f>IFERROR(__xludf.DUMMYFUNCTION("""COMPUTED_VALUE"""),613.5289610630502)</f>
        <v>613.5289611</v>
      </c>
      <c r="L64" s="26">
        <f>IFERROR(__xludf.DUMMYFUNCTION("""COMPUTED_VALUE"""),21746.429246689368)</f>
        <v>21746.42925</v>
      </c>
      <c r="M64" s="39">
        <f>IFERROR(__xludf.DUMMYFUNCTION("""COMPUTED_VALUE"""),0.2718303655836171)</f>
        <v>0.2718303656</v>
      </c>
      <c r="N64" s="40">
        <f>IFERROR(__xludf.DUMMYFUNCTION("""COMPUTED_VALUE"""),7787.897380052332)</f>
        <v>7787.89738</v>
      </c>
      <c r="O64" s="40">
        <f>IFERROR(__xludf.DUMMYFUNCTION("""COMPUTED_VALUE"""),28253.57075331064)</f>
        <v>28253.57075</v>
      </c>
      <c r="P64" s="2"/>
      <c r="Q64" s="13">
        <v>51.0</v>
      </c>
      <c r="R64" s="17">
        <f t="shared" si="2"/>
        <v>44255</v>
      </c>
      <c r="S64" s="26">
        <f t="shared" si="3"/>
        <v>22359.95821</v>
      </c>
      <c r="T64" s="40">
        <f t="shared" si="4"/>
        <v>706.6954536</v>
      </c>
      <c r="U64" s="40">
        <f t="shared" si="5"/>
        <v>93.16649253</v>
      </c>
      <c r="V64" s="40">
        <f t="shared" si="6"/>
        <v>613.5289611</v>
      </c>
      <c r="W64" s="26">
        <f t="shared" si="7"/>
        <v>21746.42925</v>
      </c>
      <c r="X64" s="39">
        <f t="shared" si="8"/>
        <v>0.2718303656</v>
      </c>
      <c r="Y64" s="40">
        <f t="shared" ref="Y64:Z64" si="58">U64+Y63</f>
        <v>7787.89738</v>
      </c>
      <c r="Z64" s="40">
        <f t="shared" si="58"/>
        <v>28253.57075</v>
      </c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>
      <c r="A65" s="2"/>
      <c r="B65" s="2"/>
      <c r="C65" s="2"/>
      <c r="D65" s="2"/>
      <c r="E65" s="2"/>
      <c r="F65" s="13">
        <f>IFERROR(__xludf.DUMMYFUNCTION("""COMPUTED_VALUE"""),52.0)</f>
        <v>52</v>
      </c>
      <c r="G65" s="17">
        <f>IFERROR(__xludf.DUMMYFUNCTION("""COMPUTED_VALUE"""),44270.0)</f>
        <v>44270</v>
      </c>
      <c r="H65" s="26">
        <f>IFERROR(__xludf.DUMMYFUNCTION("""COMPUTED_VALUE"""),21746.429246689368)</f>
        <v>21746.42925</v>
      </c>
      <c r="I65" s="40">
        <f>IFERROR(__xludf.DUMMYFUNCTION("""COMPUTED_VALUE"""),706.6954535953523)</f>
        <v>706.6954536</v>
      </c>
      <c r="J65" s="40">
        <f>IFERROR(__xludf.DUMMYFUNCTION("""COMPUTED_VALUE"""),90.61012186120604)</f>
        <v>90.61012186</v>
      </c>
      <c r="K65" s="40">
        <f>IFERROR(__xludf.DUMMYFUNCTION("""COMPUTED_VALUE"""),616.0853317341463)</f>
        <v>616.0853317</v>
      </c>
      <c r="L65" s="26">
        <f>IFERROR(__xludf.DUMMYFUNCTION("""COMPUTED_VALUE"""),21130.34391495522)</f>
        <v>21130.34391</v>
      </c>
      <c r="M65" s="39">
        <f>IFERROR(__xludf.DUMMYFUNCTION("""COMPUTED_VALUE"""),0.26412929893694026)</f>
        <v>0.2641292989</v>
      </c>
      <c r="N65" s="40">
        <f>IFERROR(__xludf.DUMMYFUNCTION("""COMPUTED_VALUE"""),7878.507501913537)</f>
        <v>7878.507502</v>
      </c>
      <c r="O65" s="40">
        <f>IFERROR(__xludf.DUMMYFUNCTION("""COMPUTED_VALUE"""),28869.656085044786)</f>
        <v>28869.65609</v>
      </c>
      <c r="P65" s="2"/>
      <c r="Q65" s="13">
        <v>52.0</v>
      </c>
      <c r="R65" s="17">
        <f t="shared" si="2"/>
        <v>44270</v>
      </c>
      <c r="S65" s="26">
        <f t="shared" si="3"/>
        <v>21746.42925</v>
      </c>
      <c r="T65" s="40">
        <f t="shared" si="4"/>
        <v>706.6954536</v>
      </c>
      <c r="U65" s="40">
        <f t="shared" si="5"/>
        <v>90.61012186</v>
      </c>
      <c r="V65" s="40">
        <f t="shared" si="6"/>
        <v>616.0853317</v>
      </c>
      <c r="W65" s="26">
        <f t="shared" si="7"/>
        <v>21130.34391</v>
      </c>
      <c r="X65" s="39">
        <f t="shared" si="8"/>
        <v>0.2641292989</v>
      </c>
      <c r="Y65" s="40">
        <f t="shared" ref="Y65:Z65" si="59">U65+Y64</f>
        <v>7878.507502</v>
      </c>
      <c r="Z65" s="40">
        <f t="shared" si="59"/>
        <v>28869.65609</v>
      </c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>
      <c r="A66" s="2"/>
      <c r="B66" s="2"/>
      <c r="C66" s="2"/>
      <c r="D66" s="2"/>
      <c r="E66" s="2"/>
      <c r="F66" s="13">
        <f>IFERROR(__xludf.DUMMYFUNCTION("""COMPUTED_VALUE"""),53.0)</f>
        <v>53</v>
      </c>
      <c r="G66" s="17">
        <f>IFERROR(__xludf.DUMMYFUNCTION("""COMPUTED_VALUE"""),44286.0)</f>
        <v>44286</v>
      </c>
      <c r="H66" s="26">
        <f>IFERROR(__xludf.DUMMYFUNCTION("""COMPUTED_VALUE"""),21130.34391495522)</f>
        <v>21130.34391</v>
      </c>
      <c r="I66" s="40">
        <f>IFERROR(__xludf.DUMMYFUNCTION("""COMPUTED_VALUE"""),706.6954535953523)</f>
        <v>706.6954536</v>
      </c>
      <c r="J66" s="40">
        <f>IFERROR(__xludf.DUMMYFUNCTION("""COMPUTED_VALUE"""),88.0430996456472)</f>
        <v>88.04309965</v>
      </c>
      <c r="K66" s="40">
        <f>IFERROR(__xludf.DUMMYFUNCTION("""COMPUTED_VALUE"""),618.6523539497052)</f>
        <v>618.6523539</v>
      </c>
      <c r="L66" s="26">
        <f>IFERROR(__xludf.DUMMYFUNCTION("""COMPUTED_VALUE"""),20511.691561005515)</f>
        <v>20511.69156</v>
      </c>
      <c r="M66" s="39">
        <f>IFERROR(__xludf.DUMMYFUNCTION("""COMPUTED_VALUE"""),0.2563961445125689)</f>
        <v>0.2563961445</v>
      </c>
      <c r="N66" s="40">
        <f>IFERROR(__xludf.DUMMYFUNCTION("""COMPUTED_VALUE"""),7966.5506015591845)</f>
        <v>7966.550602</v>
      </c>
      <c r="O66" s="40">
        <f>IFERROR(__xludf.DUMMYFUNCTION("""COMPUTED_VALUE"""),29488.308438994492)</f>
        <v>29488.30844</v>
      </c>
      <c r="P66" s="2"/>
      <c r="Q66" s="13">
        <v>53.0</v>
      </c>
      <c r="R66" s="17">
        <f t="shared" si="2"/>
        <v>44286</v>
      </c>
      <c r="S66" s="26">
        <f t="shared" si="3"/>
        <v>21130.34391</v>
      </c>
      <c r="T66" s="40">
        <f t="shared" si="4"/>
        <v>706.6954536</v>
      </c>
      <c r="U66" s="40">
        <f t="shared" si="5"/>
        <v>88.04309965</v>
      </c>
      <c r="V66" s="40">
        <f t="shared" si="6"/>
        <v>618.6523539</v>
      </c>
      <c r="W66" s="26">
        <f t="shared" si="7"/>
        <v>20511.69156</v>
      </c>
      <c r="X66" s="39">
        <f t="shared" si="8"/>
        <v>0.2563961445</v>
      </c>
      <c r="Y66" s="40">
        <f t="shared" ref="Y66:Z66" si="60">U66+Y65</f>
        <v>7966.550602</v>
      </c>
      <c r="Z66" s="40">
        <f t="shared" si="60"/>
        <v>29488.30844</v>
      </c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>
      <c r="A67" s="2"/>
      <c r="B67" s="2"/>
      <c r="C67" s="2"/>
      <c r="D67" s="2"/>
      <c r="E67" s="2"/>
      <c r="F67" s="13">
        <f>IFERROR(__xludf.DUMMYFUNCTION("""COMPUTED_VALUE"""),54.0)</f>
        <v>54</v>
      </c>
      <c r="G67" s="17">
        <f>IFERROR(__xludf.DUMMYFUNCTION("""COMPUTED_VALUE"""),44301.0)</f>
        <v>44301</v>
      </c>
      <c r="H67" s="26">
        <f>IFERROR(__xludf.DUMMYFUNCTION("""COMPUTED_VALUE"""),20511.691561005515)</f>
        <v>20511.69156</v>
      </c>
      <c r="I67" s="40">
        <f>IFERROR(__xludf.DUMMYFUNCTION("""COMPUTED_VALUE"""),706.6954535953523)</f>
        <v>706.6954536</v>
      </c>
      <c r="J67" s="40">
        <f>IFERROR(__xludf.DUMMYFUNCTION("""COMPUTED_VALUE"""),85.46538150419006)</f>
        <v>85.4653815</v>
      </c>
      <c r="K67" s="40">
        <f>IFERROR(__xludf.DUMMYFUNCTION("""COMPUTED_VALUE"""),621.2300720911624)</f>
        <v>621.2300721</v>
      </c>
      <c r="L67" s="26">
        <f>IFERROR(__xludf.DUMMYFUNCTION("""COMPUTED_VALUE"""),19890.461488914352)</f>
        <v>19890.46149</v>
      </c>
      <c r="M67" s="39">
        <f>IFERROR(__xludf.DUMMYFUNCTION("""COMPUTED_VALUE"""),0.2486307686114294)</f>
        <v>0.2486307686</v>
      </c>
      <c r="N67" s="40">
        <f>IFERROR(__xludf.DUMMYFUNCTION("""COMPUTED_VALUE"""),8052.015983063375)</f>
        <v>8052.015983</v>
      </c>
      <c r="O67" s="40">
        <f>IFERROR(__xludf.DUMMYFUNCTION("""COMPUTED_VALUE"""),30109.538511085655)</f>
        <v>30109.53851</v>
      </c>
      <c r="P67" s="2"/>
      <c r="Q67" s="13">
        <v>54.0</v>
      </c>
      <c r="R67" s="17">
        <f t="shared" si="2"/>
        <v>44301</v>
      </c>
      <c r="S67" s="26">
        <f t="shared" si="3"/>
        <v>20511.69156</v>
      </c>
      <c r="T67" s="40">
        <f t="shared" si="4"/>
        <v>706.6954536</v>
      </c>
      <c r="U67" s="40">
        <f t="shared" si="5"/>
        <v>85.4653815</v>
      </c>
      <c r="V67" s="40">
        <f t="shared" si="6"/>
        <v>621.2300721</v>
      </c>
      <c r="W67" s="26">
        <f t="shared" si="7"/>
        <v>19890.46149</v>
      </c>
      <c r="X67" s="39">
        <f t="shared" si="8"/>
        <v>0.2486307686</v>
      </c>
      <c r="Y67" s="40">
        <f t="shared" ref="Y67:Z67" si="61">U67+Y66</f>
        <v>8052.015983</v>
      </c>
      <c r="Z67" s="40">
        <f t="shared" si="61"/>
        <v>30109.53851</v>
      </c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>
      <c r="A68" s="2"/>
      <c r="B68" s="2"/>
      <c r="C68" s="2"/>
      <c r="D68" s="2"/>
      <c r="E68" s="2"/>
      <c r="F68" s="13">
        <f>IFERROR(__xludf.DUMMYFUNCTION("""COMPUTED_VALUE"""),55.0)</f>
        <v>55</v>
      </c>
      <c r="G68" s="17">
        <f>IFERROR(__xludf.DUMMYFUNCTION("""COMPUTED_VALUE"""),44316.0)</f>
        <v>44316</v>
      </c>
      <c r="H68" s="26">
        <f>IFERROR(__xludf.DUMMYFUNCTION("""COMPUTED_VALUE"""),19890.461488914352)</f>
        <v>19890.46149</v>
      </c>
      <c r="I68" s="40">
        <f>IFERROR(__xludf.DUMMYFUNCTION("""COMPUTED_VALUE"""),706.6954535953523)</f>
        <v>706.6954536</v>
      </c>
      <c r="J68" s="40">
        <f>IFERROR(__xludf.DUMMYFUNCTION("""COMPUTED_VALUE"""),82.87692287047688)</f>
        <v>82.87692287</v>
      </c>
      <c r="K68" s="40">
        <f>IFERROR(__xludf.DUMMYFUNCTION("""COMPUTED_VALUE"""),623.8185307248755)</f>
        <v>623.8185307</v>
      </c>
      <c r="L68" s="26">
        <f>IFERROR(__xludf.DUMMYFUNCTION("""COMPUTED_VALUE"""),19266.642958189477)</f>
        <v>19266.64296</v>
      </c>
      <c r="M68" s="39">
        <f>IFERROR(__xludf.DUMMYFUNCTION("""COMPUTED_VALUE"""),0.24083303697736846)</f>
        <v>0.240833037</v>
      </c>
      <c r="N68" s="40">
        <f>IFERROR(__xludf.DUMMYFUNCTION("""COMPUTED_VALUE"""),8134.892905933852)</f>
        <v>8134.892906</v>
      </c>
      <c r="O68" s="40">
        <f>IFERROR(__xludf.DUMMYFUNCTION("""COMPUTED_VALUE"""),30733.35704181053)</f>
        <v>30733.35704</v>
      </c>
      <c r="P68" s="2"/>
      <c r="Q68" s="13">
        <v>55.0</v>
      </c>
      <c r="R68" s="17">
        <f t="shared" si="2"/>
        <v>44316</v>
      </c>
      <c r="S68" s="26">
        <f t="shared" si="3"/>
        <v>19890.46149</v>
      </c>
      <c r="T68" s="40">
        <f t="shared" si="4"/>
        <v>706.6954536</v>
      </c>
      <c r="U68" s="40">
        <f t="shared" si="5"/>
        <v>82.87692287</v>
      </c>
      <c r="V68" s="40">
        <f t="shared" si="6"/>
        <v>623.8185307</v>
      </c>
      <c r="W68" s="26">
        <f t="shared" si="7"/>
        <v>19266.64296</v>
      </c>
      <c r="X68" s="39">
        <f t="shared" si="8"/>
        <v>0.240833037</v>
      </c>
      <c r="Y68" s="40">
        <f t="shared" ref="Y68:Z68" si="62">U68+Y67</f>
        <v>8134.892906</v>
      </c>
      <c r="Z68" s="40">
        <f t="shared" si="62"/>
        <v>30733.35704</v>
      </c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>
      <c r="A69" s="2"/>
      <c r="B69" s="2"/>
      <c r="C69" s="2"/>
      <c r="D69" s="2"/>
      <c r="E69" s="2"/>
      <c r="F69" s="13">
        <f>IFERROR(__xludf.DUMMYFUNCTION("""COMPUTED_VALUE"""),56.0)</f>
        <v>56</v>
      </c>
      <c r="G69" s="17">
        <f>IFERROR(__xludf.DUMMYFUNCTION("""COMPUTED_VALUE"""),44331.0)</f>
        <v>44331</v>
      </c>
      <c r="H69" s="26">
        <f>IFERROR(__xludf.DUMMYFUNCTION("""COMPUTED_VALUE"""),19266.642958189477)</f>
        <v>19266.64296</v>
      </c>
      <c r="I69" s="40">
        <f>IFERROR(__xludf.DUMMYFUNCTION("""COMPUTED_VALUE"""),706.6954535953523)</f>
        <v>706.6954536</v>
      </c>
      <c r="J69" s="40">
        <f>IFERROR(__xludf.DUMMYFUNCTION("""COMPUTED_VALUE"""),80.27767899245663)</f>
        <v>80.27767899</v>
      </c>
      <c r="K69" s="40">
        <f>IFERROR(__xludf.DUMMYFUNCTION("""COMPUTED_VALUE"""),626.4177746028957)</f>
        <v>626.4177746</v>
      </c>
      <c r="L69" s="26">
        <f>IFERROR(__xludf.DUMMYFUNCTION("""COMPUTED_VALUE"""),18640.225183586583)</f>
        <v>18640.22518</v>
      </c>
      <c r="M69" s="39">
        <f>IFERROR(__xludf.DUMMYFUNCTION("""COMPUTED_VALUE"""),0.23300281479483229)</f>
        <v>0.2330028148</v>
      </c>
      <c r="N69" s="40">
        <f>IFERROR(__xludf.DUMMYFUNCTION("""COMPUTED_VALUE"""),8215.170584926309)</f>
        <v>8215.170585</v>
      </c>
      <c r="O69" s="40">
        <f>IFERROR(__xludf.DUMMYFUNCTION("""COMPUTED_VALUE"""),31359.774816413425)</f>
        <v>31359.77482</v>
      </c>
      <c r="P69" s="2"/>
      <c r="Q69" s="13">
        <v>56.0</v>
      </c>
      <c r="R69" s="17">
        <f t="shared" si="2"/>
        <v>44331</v>
      </c>
      <c r="S69" s="26">
        <f t="shared" si="3"/>
        <v>19266.64296</v>
      </c>
      <c r="T69" s="40">
        <f t="shared" si="4"/>
        <v>706.6954536</v>
      </c>
      <c r="U69" s="40">
        <f t="shared" si="5"/>
        <v>80.27767899</v>
      </c>
      <c r="V69" s="40">
        <f t="shared" si="6"/>
        <v>626.4177746</v>
      </c>
      <c r="W69" s="26">
        <f t="shared" si="7"/>
        <v>18640.22518</v>
      </c>
      <c r="X69" s="39">
        <f t="shared" si="8"/>
        <v>0.2330028148</v>
      </c>
      <c r="Y69" s="40">
        <f t="shared" ref="Y69:Z69" si="63">U69+Y68</f>
        <v>8215.170585</v>
      </c>
      <c r="Z69" s="40">
        <f t="shared" si="63"/>
        <v>31359.77482</v>
      </c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>
      <c r="A70" s="2"/>
      <c r="B70" s="2"/>
      <c r="C70" s="2"/>
      <c r="D70" s="2"/>
      <c r="E70" s="2"/>
      <c r="F70" s="13">
        <f>IFERROR(__xludf.DUMMYFUNCTION("""COMPUTED_VALUE"""),57.0)</f>
        <v>57</v>
      </c>
      <c r="G70" s="17">
        <f>IFERROR(__xludf.DUMMYFUNCTION("""COMPUTED_VALUE"""),44347.0)</f>
        <v>44347</v>
      </c>
      <c r="H70" s="26">
        <f>IFERROR(__xludf.DUMMYFUNCTION("""COMPUTED_VALUE"""),18640.225183586583)</f>
        <v>18640.22518</v>
      </c>
      <c r="I70" s="40">
        <f>IFERROR(__xludf.DUMMYFUNCTION("""COMPUTED_VALUE"""),706.6954535953523)</f>
        <v>706.6954536</v>
      </c>
      <c r="J70" s="40">
        <f>IFERROR(__xludf.DUMMYFUNCTION("""COMPUTED_VALUE"""),77.66760493161124)</f>
        <v>77.66760493</v>
      </c>
      <c r="K70" s="40">
        <f>IFERROR(__xludf.DUMMYFUNCTION("""COMPUTED_VALUE"""),629.0278486637412)</f>
        <v>629.0278487</v>
      </c>
      <c r="L70" s="26">
        <f>IFERROR(__xludf.DUMMYFUNCTION("""COMPUTED_VALUE"""),18011.197334922843)</f>
        <v>18011.19733</v>
      </c>
      <c r="M70" s="39">
        <f>IFERROR(__xludf.DUMMYFUNCTION("""COMPUTED_VALUE"""),0.22513996668653555)</f>
        <v>0.2251399667</v>
      </c>
      <c r="N70" s="40">
        <f>IFERROR(__xludf.DUMMYFUNCTION("""COMPUTED_VALUE"""),8292.838189857921)</f>
        <v>8292.83819</v>
      </c>
      <c r="O70" s="40">
        <f>IFERROR(__xludf.DUMMYFUNCTION("""COMPUTED_VALUE"""),31988.802665077164)</f>
        <v>31988.80267</v>
      </c>
      <c r="P70" s="2"/>
      <c r="Q70" s="13">
        <v>57.0</v>
      </c>
      <c r="R70" s="17">
        <f t="shared" si="2"/>
        <v>44347</v>
      </c>
      <c r="S70" s="26">
        <f t="shared" si="3"/>
        <v>18640.22518</v>
      </c>
      <c r="T70" s="40">
        <f t="shared" si="4"/>
        <v>706.6954536</v>
      </c>
      <c r="U70" s="40">
        <f t="shared" si="5"/>
        <v>77.66760493</v>
      </c>
      <c r="V70" s="40">
        <f t="shared" si="6"/>
        <v>629.0278487</v>
      </c>
      <c r="W70" s="26">
        <f t="shared" si="7"/>
        <v>18011.19733</v>
      </c>
      <c r="X70" s="39">
        <f t="shared" si="8"/>
        <v>0.2251399667</v>
      </c>
      <c r="Y70" s="40">
        <f t="shared" ref="Y70:Z70" si="64">U70+Y69</f>
        <v>8292.83819</v>
      </c>
      <c r="Z70" s="40">
        <f t="shared" si="64"/>
        <v>31988.80267</v>
      </c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>
      <c r="A71" s="2"/>
      <c r="B71" s="2"/>
      <c r="C71" s="2"/>
      <c r="D71" s="2"/>
      <c r="E71" s="2"/>
      <c r="F71" s="13">
        <f>IFERROR(__xludf.DUMMYFUNCTION("""COMPUTED_VALUE"""),58.0)</f>
        <v>58</v>
      </c>
      <c r="G71" s="17">
        <f>IFERROR(__xludf.DUMMYFUNCTION("""COMPUTED_VALUE"""),44362.0)</f>
        <v>44362</v>
      </c>
      <c r="H71" s="26">
        <f>IFERROR(__xludf.DUMMYFUNCTION("""COMPUTED_VALUE"""),18011.197334922843)</f>
        <v>18011.19733</v>
      </c>
      <c r="I71" s="40">
        <f>IFERROR(__xludf.DUMMYFUNCTION("""COMPUTED_VALUE"""),706.6954535953523)</f>
        <v>706.6954536</v>
      </c>
      <c r="J71" s="40">
        <f>IFERROR(__xludf.DUMMYFUNCTION("""COMPUTED_VALUE"""),75.04665556217897)</f>
        <v>75.04665556</v>
      </c>
      <c r="K71" s="40">
        <f>IFERROR(__xludf.DUMMYFUNCTION("""COMPUTED_VALUE"""),631.6487980331734)</f>
        <v>631.648798</v>
      </c>
      <c r="L71" s="26">
        <f>IFERROR(__xludf.DUMMYFUNCTION("""COMPUTED_VALUE"""),17379.54853688967)</f>
        <v>17379.54854</v>
      </c>
      <c r="M71" s="39">
        <f>IFERROR(__xludf.DUMMYFUNCTION("""COMPUTED_VALUE"""),0.21724435671112088)</f>
        <v>0.2172443567</v>
      </c>
      <c r="N71" s="40">
        <f>IFERROR(__xludf.DUMMYFUNCTION("""COMPUTED_VALUE"""),8367.8848454201)</f>
        <v>8367.884845</v>
      </c>
      <c r="O71" s="40">
        <f>IFERROR(__xludf.DUMMYFUNCTION("""COMPUTED_VALUE"""),32620.451463110337)</f>
        <v>32620.45146</v>
      </c>
      <c r="P71" s="2"/>
      <c r="Q71" s="13">
        <v>58.0</v>
      </c>
      <c r="R71" s="17">
        <f t="shared" si="2"/>
        <v>44362</v>
      </c>
      <c r="S71" s="26">
        <f t="shared" si="3"/>
        <v>18011.19733</v>
      </c>
      <c r="T71" s="40">
        <f t="shared" si="4"/>
        <v>706.6954536</v>
      </c>
      <c r="U71" s="40">
        <f t="shared" si="5"/>
        <v>75.04665556</v>
      </c>
      <c r="V71" s="40">
        <f t="shared" si="6"/>
        <v>631.648798</v>
      </c>
      <c r="W71" s="26">
        <f t="shared" si="7"/>
        <v>17379.54854</v>
      </c>
      <c r="X71" s="39">
        <f t="shared" si="8"/>
        <v>0.2172443567</v>
      </c>
      <c r="Y71" s="40">
        <f t="shared" ref="Y71:Z71" si="65">U71+Y70</f>
        <v>8367.884845</v>
      </c>
      <c r="Z71" s="40">
        <f t="shared" si="65"/>
        <v>32620.45146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>
      <c r="A72" s="2"/>
      <c r="B72" s="2"/>
      <c r="C72" s="2"/>
      <c r="D72" s="2"/>
      <c r="E72" s="2"/>
      <c r="F72" s="13">
        <f>IFERROR(__xludf.DUMMYFUNCTION("""COMPUTED_VALUE"""),59.0)</f>
        <v>59</v>
      </c>
      <c r="G72" s="17">
        <f>IFERROR(__xludf.DUMMYFUNCTION("""COMPUTED_VALUE"""),44377.0)</f>
        <v>44377</v>
      </c>
      <c r="H72" s="26">
        <f>IFERROR(__xludf.DUMMYFUNCTION("""COMPUTED_VALUE"""),17379.54853688967)</f>
        <v>17379.54854</v>
      </c>
      <c r="I72" s="40">
        <f>IFERROR(__xludf.DUMMYFUNCTION("""COMPUTED_VALUE"""),706.6954535953523)</f>
        <v>706.6954536</v>
      </c>
      <c r="J72" s="40">
        <f>IFERROR(__xludf.DUMMYFUNCTION("""COMPUTED_VALUE"""),72.41478557037412)</f>
        <v>72.41478557</v>
      </c>
      <c r="K72" s="40">
        <f>IFERROR(__xludf.DUMMYFUNCTION("""COMPUTED_VALUE"""),634.2806680249784)</f>
        <v>634.280668</v>
      </c>
      <c r="L72" s="26">
        <f>IFERROR(__xludf.DUMMYFUNCTION("""COMPUTED_VALUE"""),16745.267868864692)</f>
        <v>16745.26787</v>
      </c>
      <c r="M72" s="39">
        <f>IFERROR(__xludf.DUMMYFUNCTION("""COMPUTED_VALUE"""),0.20931584836080866)</f>
        <v>0.2093158484</v>
      </c>
      <c r="N72" s="40">
        <f>IFERROR(__xludf.DUMMYFUNCTION("""COMPUTED_VALUE"""),8440.299630990474)</f>
        <v>8440.299631</v>
      </c>
      <c r="O72" s="40">
        <f>IFERROR(__xludf.DUMMYFUNCTION("""COMPUTED_VALUE"""),33254.732131135315)</f>
        <v>33254.73213</v>
      </c>
      <c r="P72" s="2"/>
      <c r="Q72" s="13">
        <v>59.0</v>
      </c>
      <c r="R72" s="17">
        <f t="shared" si="2"/>
        <v>44377</v>
      </c>
      <c r="S72" s="26">
        <f t="shared" si="3"/>
        <v>17379.54854</v>
      </c>
      <c r="T72" s="40">
        <f t="shared" si="4"/>
        <v>706.6954536</v>
      </c>
      <c r="U72" s="40">
        <f t="shared" si="5"/>
        <v>72.41478557</v>
      </c>
      <c r="V72" s="40">
        <f t="shared" si="6"/>
        <v>634.280668</v>
      </c>
      <c r="W72" s="26">
        <f t="shared" si="7"/>
        <v>16745.26787</v>
      </c>
      <c r="X72" s="39">
        <f t="shared" si="8"/>
        <v>0.2093158484</v>
      </c>
      <c r="Y72" s="40">
        <f t="shared" ref="Y72:Z72" si="66">U72+Y71</f>
        <v>8440.299631</v>
      </c>
      <c r="Z72" s="40">
        <f t="shared" si="66"/>
        <v>33254.73213</v>
      </c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>
      <c r="A73" s="2"/>
      <c r="B73" s="2"/>
      <c r="C73" s="2"/>
      <c r="D73" s="2"/>
      <c r="E73" s="2"/>
      <c r="F73" s="13">
        <f>IFERROR(__xludf.DUMMYFUNCTION("""COMPUTED_VALUE"""),60.0)</f>
        <v>60</v>
      </c>
      <c r="G73" s="17">
        <f>IFERROR(__xludf.DUMMYFUNCTION("""COMPUTED_VALUE"""),44392.0)</f>
        <v>44392</v>
      </c>
      <c r="H73" s="26">
        <f>IFERROR(__xludf.DUMMYFUNCTION("""COMPUTED_VALUE"""),16745.267868864692)</f>
        <v>16745.26787</v>
      </c>
      <c r="I73" s="40">
        <f>IFERROR(__xludf.DUMMYFUNCTION("""COMPUTED_VALUE"""),706.6954535953523)</f>
        <v>706.6954536</v>
      </c>
      <c r="J73" s="40">
        <f>IFERROR(__xludf.DUMMYFUNCTION("""COMPUTED_VALUE"""),69.77194945360338)</f>
        <v>69.77194945</v>
      </c>
      <c r="K73" s="40">
        <f>IFERROR(__xludf.DUMMYFUNCTION("""COMPUTED_VALUE"""),636.9235041417489)</f>
        <v>636.9235041</v>
      </c>
      <c r="L73" s="26">
        <f>IFERROR(__xludf.DUMMYFUNCTION("""COMPUTED_VALUE"""),16108.344364722943)</f>
        <v>16108.34436</v>
      </c>
      <c r="M73" s="39">
        <f>IFERROR(__xludf.DUMMYFUNCTION("""COMPUTED_VALUE"""),0.2013543045590368)</f>
        <v>0.2013543046</v>
      </c>
      <c r="N73" s="40">
        <f>IFERROR(__xludf.DUMMYFUNCTION("""COMPUTED_VALUE"""),8510.071580444077)</f>
        <v>8510.07158</v>
      </c>
      <c r="O73" s="40">
        <f>IFERROR(__xludf.DUMMYFUNCTION("""COMPUTED_VALUE"""),33891.655635277064)</f>
        <v>33891.65564</v>
      </c>
      <c r="P73" s="2"/>
      <c r="Q73" s="13">
        <v>60.0</v>
      </c>
      <c r="R73" s="17">
        <f t="shared" si="2"/>
        <v>44392</v>
      </c>
      <c r="S73" s="26">
        <f t="shared" si="3"/>
        <v>16745.26787</v>
      </c>
      <c r="T73" s="40">
        <f t="shared" si="4"/>
        <v>706.6954536</v>
      </c>
      <c r="U73" s="40">
        <f t="shared" si="5"/>
        <v>69.77194945</v>
      </c>
      <c r="V73" s="40">
        <f t="shared" si="6"/>
        <v>636.9235041</v>
      </c>
      <c r="W73" s="26">
        <f t="shared" si="7"/>
        <v>16108.34436</v>
      </c>
      <c r="X73" s="39">
        <f t="shared" si="8"/>
        <v>0.2013543046</v>
      </c>
      <c r="Y73" s="40">
        <f t="shared" ref="Y73:Z73" si="67">U73+Y72</f>
        <v>8510.07158</v>
      </c>
      <c r="Z73" s="40">
        <f t="shared" si="67"/>
        <v>33891.65564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>
      <c r="A74" s="2"/>
      <c r="B74" s="2"/>
      <c r="C74" s="2"/>
      <c r="D74" s="2"/>
      <c r="E74" s="2"/>
      <c r="F74" s="13">
        <f>IFERROR(__xludf.DUMMYFUNCTION("""COMPUTED_VALUE"""),61.0)</f>
        <v>61</v>
      </c>
      <c r="G74" s="17">
        <f>IFERROR(__xludf.DUMMYFUNCTION("""COMPUTED_VALUE"""),44408.0)</f>
        <v>44408</v>
      </c>
      <c r="H74" s="26">
        <f>IFERROR(__xludf.DUMMYFUNCTION("""COMPUTED_VALUE"""),16108.344364722943)</f>
        <v>16108.34436</v>
      </c>
      <c r="I74" s="40">
        <f>IFERROR(__xludf.DUMMYFUNCTION("""COMPUTED_VALUE"""),706.6954535953523)</f>
        <v>706.6954536</v>
      </c>
      <c r="J74" s="40">
        <f>IFERROR(__xludf.DUMMYFUNCTION("""COMPUTED_VALUE"""),67.11810151967937)</f>
        <v>67.11810152</v>
      </c>
      <c r="K74" s="40">
        <f>IFERROR(__xludf.DUMMYFUNCTION("""COMPUTED_VALUE"""),639.5773520756729)</f>
        <v>639.5773521</v>
      </c>
      <c r="L74" s="26">
        <f>IFERROR(__xludf.DUMMYFUNCTION("""COMPUTED_VALUE"""),15468.76701264727)</f>
        <v>15468.76701</v>
      </c>
      <c r="M74" s="39">
        <f>IFERROR(__xludf.DUMMYFUNCTION("""COMPUTED_VALUE"""),0.19335958765809086)</f>
        <v>0.1933595877</v>
      </c>
      <c r="N74" s="40">
        <f>IFERROR(__xludf.DUMMYFUNCTION("""COMPUTED_VALUE"""),8577.189681963757)</f>
        <v>8577.189682</v>
      </c>
      <c r="O74" s="40">
        <f>IFERROR(__xludf.DUMMYFUNCTION("""COMPUTED_VALUE"""),34531.232987352734)</f>
        <v>34531.23299</v>
      </c>
      <c r="P74" s="2"/>
      <c r="Q74" s="13">
        <v>61.0</v>
      </c>
      <c r="R74" s="17">
        <f t="shared" si="2"/>
        <v>44408</v>
      </c>
      <c r="S74" s="26">
        <f t="shared" si="3"/>
        <v>16108.34436</v>
      </c>
      <c r="T74" s="40">
        <f t="shared" si="4"/>
        <v>706.6954536</v>
      </c>
      <c r="U74" s="40">
        <f t="shared" si="5"/>
        <v>67.11810152</v>
      </c>
      <c r="V74" s="40">
        <f t="shared" si="6"/>
        <v>639.5773521</v>
      </c>
      <c r="W74" s="26">
        <f t="shared" si="7"/>
        <v>15468.76701</v>
      </c>
      <c r="X74" s="39">
        <f t="shared" si="8"/>
        <v>0.1933595877</v>
      </c>
      <c r="Y74" s="40">
        <f t="shared" ref="Y74:Z74" si="68">U74+Y73</f>
        <v>8577.189682</v>
      </c>
      <c r="Z74" s="40">
        <f t="shared" si="68"/>
        <v>34531.23299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>
      <c r="A75" s="2"/>
      <c r="B75" s="2"/>
      <c r="C75" s="2"/>
      <c r="D75" s="2"/>
      <c r="E75" s="2"/>
      <c r="F75" s="13">
        <f>IFERROR(__xludf.DUMMYFUNCTION("""COMPUTED_VALUE"""),62.0)</f>
        <v>62</v>
      </c>
      <c r="G75" s="17">
        <f>IFERROR(__xludf.DUMMYFUNCTION("""COMPUTED_VALUE"""),44423.0)</f>
        <v>44423</v>
      </c>
      <c r="H75" s="26">
        <f>IFERROR(__xludf.DUMMYFUNCTION("""COMPUTED_VALUE"""),15468.76701264727)</f>
        <v>15468.76701</v>
      </c>
      <c r="I75" s="40">
        <f>IFERROR(__xludf.DUMMYFUNCTION("""COMPUTED_VALUE"""),706.6954535953523)</f>
        <v>706.6954536</v>
      </c>
      <c r="J75" s="40">
        <f>IFERROR(__xludf.DUMMYFUNCTION("""COMPUTED_VALUE"""),64.45319588603077)</f>
        <v>64.45319589</v>
      </c>
      <c r="K75" s="40">
        <f>IFERROR(__xludf.DUMMYFUNCTION("""COMPUTED_VALUE"""),642.2422577093216)</f>
        <v>642.2422577</v>
      </c>
      <c r="L75" s="26">
        <f>IFERROR(__xludf.DUMMYFUNCTION("""COMPUTED_VALUE"""),14826.524754937947)</f>
        <v>14826.52475</v>
      </c>
      <c r="M75" s="39">
        <f>IFERROR(__xludf.DUMMYFUNCTION("""COMPUTED_VALUE"""),0.18533155943672433)</f>
        <v>0.1853315594</v>
      </c>
      <c r="N75" s="40">
        <f>IFERROR(__xludf.DUMMYFUNCTION("""COMPUTED_VALUE"""),8641.642877849788)</f>
        <v>8641.642878</v>
      </c>
      <c r="O75" s="40">
        <f>IFERROR(__xludf.DUMMYFUNCTION("""COMPUTED_VALUE"""),35173.47524506206)</f>
        <v>35173.47525</v>
      </c>
      <c r="P75" s="2"/>
      <c r="Q75" s="13">
        <v>62.0</v>
      </c>
      <c r="R75" s="17">
        <f t="shared" si="2"/>
        <v>44423</v>
      </c>
      <c r="S75" s="26">
        <f t="shared" si="3"/>
        <v>15468.76701</v>
      </c>
      <c r="T75" s="40">
        <f t="shared" si="4"/>
        <v>706.6954536</v>
      </c>
      <c r="U75" s="40">
        <f t="shared" si="5"/>
        <v>64.45319589</v>
      </c>
      <c r="V75" s="40">
        <f t="shared" si="6"/>
        <v>642.2422577</v>
      </c>
      <c r="W75" s="26">
        <f t="shared" si="7"/>
        <v>14826.52475</v>
      </c>
      <c r="X75" s="39">
        <f t="shared" si="8"/>
        <v>0.1853315594</v>
      </c>
      <c r="Y75" s="40">
        <f t="shared" ref="Y75:Z75" si="69">U75+Y74</f>
        <v>8641.642878</v>
      </c>
      <c r="Z75" s="40">
        <f t="shared" si="69"/>
        <v>35173.47525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>
      <c r="A76" s="2"/>
      <c r="B76" s="2"/>
      <c r="C76" s="2"/>
      <c r="D76" s="2"/>
      <c r="E76" s="2"/>
      <c r="F76" s="13">
        <f>IFERROR(__xludf.DUMMYFUNCTION("""COMPUTED_VALUE"""),63.0)</f>
        <v>63</v>
      </c>
      <c r="G76" s="17">
        <f>IFERROR(__xludf.DUMMYFUNCTION("""COMPUTED_VALUE"""),44439.0)</f>
        <v>44439</v>
      </c>
      <c r="H76" s="26">
        <f>IFERROR(__xludf.DUMMYFUNCTION("""COMPUTED_VALUE"""),14826.524754937947)</f>
        <v>14826.52475</v>
      </c>
      <c r="I76" s="40">
        <f>IFERROR(__xludf.DUMMYFUNCTION("""COMPUTED_VALUE"""),706.6954535953523)</f>
        <v>706.6954536</v>
      </c>
      <c r="J76" s="40">
        <f>IFERROR(__xludf.DUMMYFUNCTION("""COMPUTED_VALUE"""),61.77718647890864)</f>
        <v>61.77718648</v>
      </c>
      <c r="K76" s="40">
        <f>IFERROR(__xludf.DUMMYFUNCTION("""COMPUTED_VALUE"""),644.9182671164438)</f>
        <v>644.9182671</v>
      </c>
      <c r="L76" s="26">
        <f>IFERROR(__xludf.DUMMYFUNCTION("""COMPUTED_VALUE"""),14181.606487821504)</f>
        <v>14181.60649</v>
      </c>
      <c r="M76" s="39">
        <f>IFERROR(__xludf.DUMMYFUNCTION("""COMPUTED_VALUE"""),0.1772700810977688)</f>
        <v>0.1772700811</v>
      </c>
      <c r="N76" s="40">
        <f>IFERROR(__xludf.DUMMYFUNCTION("""COMPUTED_VALUE"""),8703.420064328697)</f>
        <v>8703.420064</v>
      </c>
      <c r="O76" s="40">
        <f>IFERROR(__xludf.DUMMYFUNCTION("""COMPUTED_VALUE"""),35818.3935121785)</f>
        <v>35818.39351</v>
      </c>
      <c r="P76" s="2"/>
      <c r="Q76" s="13">
        <v>63.0</v>
      </c>
      <c r="R76" s="17">
        <f t="shared" si="2"/>
        <v>44439</v>
      </c>
      <c r="S76" s="26">
        <f t="shared" si="3"/>
        <v>14826.52475</v>
      </c>
      <c r="T76" s="40">
        <f t="shared" si="4"/>
        <v>706.6954536</v>
      </c>
      <c r="U76" s="40">
        <f t="shared" si="5"/>
        <v>61.77718648</v>
      </c>
      <c r="V76" s="40">
        <f t="shared" si="6"/>
        <v>644.9182671</v>
      </c>
      <c r="W76" s="26">
        <f t="shared" si="7"/>
        <v>14181.60649</v>
      </c>
      <c r="X76" s="39">
        <f t="shared" si="8"/>
        <v>0.1772700811</v>
      </c>
      <c r="Y76" s="40">
        <f t="shared" ref="Y76:Z76" si="70">U76+Y75</f>
        <v>8703.420064</v>
      </c>
      <c r="Z76" s="40">
        <f t="shared" si="70"/>
        <v>35818.39351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>
      <c r="A77" s="2"/>
      <c r="B77" s="2"/>
      <c r="C77" s="2"/>
      <c r="D77" s="2"/>
      <c r="E77" s="2"/>
      <c r="F77" s="13">
        <f>IFERROR(__xludf.DUMMYFUNCTION("""COMPUTED_VALUE"""),64.0)</f>
        <v>64</v>
      </c>
      <c r="G77" s="17">
        <f>IFERROR(__xludf.DUMMYFUNCTION("""COMPUTED_VALUE"""),44454.0)</f>
        <v>44454</v>
      </c>
      <c r="H77" s="26">
        <f>IFERROR(__xludf.DUMMYFUNCTION("""COMPUTED_VALUE"""),14181.606487821504)</f>
        <v>14181.60649</v>
      </c>
      <c r="I77" s="40">
        <f>IFERROR(__xludf.DUMMYFUNCTION("""COMPUTED_VALUE"""),706.6954535953523)</f>
        <v>706.6954536</v>
      </c>
      <c r="J77" s="40">
        <f>IFERROR(__xludf.DUMMYFUNCTION("""COMPUTED_VALUE"""),59.090027032590044)</f>
        <v>59.09002703</v>
      </c>
      <c r="K77" s="40">
        <f>IFERROR(__xludf.DUMMYFUNCTION("""COMPUTED_VALUE"""),647.6054265627623)</f>
        <v>647.6054266</v>
      </c>
      <c r="L77" s="26">
        <f>IFERROR(__xludf.DUMMYFUNCTION("""COMPUTED_VALUE"""),13534.001061258741)</f>
        <v>13534.00106</v>
      </c>
      <c r="M77" s="39">
        <f>IFERROR(__xludf.DUMMYFUNCTION("""COMPUTED_VALUE"""),0.16917501326573425)</f>
        <v>0.1691750133</v>
      </c>
      <c r="N77" s="40">
        <f>IFERROR(__xludf.DUMMYFUNCTION("""COMPUTED_VALUE"""),8762.510091361286)</f>
        <v>8762.510091</v>
      </c>
      <c r="O77" s="40">
        <f>IFERROR(__xludf.DUMMYFUNCTION("""COMPUTED_VALUE"""),36465.998938741264)</f>
        <v>36465.99894</v>
      </c>
      <c r="P77" s="2"/>
      <c r="Q77" s="13">
        <v>64.0</v>
      </c>
      <c r="R77" s="17">
        <f t="shared" si="2"/>
        <v>44454</v>
      </c>
      <c r="S77" s="26">
        <f t="shared" si="3"/>
        <v>14181.60649</v>
      </c>
      <c r="T77" s="40">
        <f t="shared" si="4"/>
        <v>706.6954536</v>
      </c>
      <c r="U77" s="40">
        <f t="shared" si="5"/>
        <v>59.09002703</v>
      </c>
      <c r="V77" s="40">
        <f t="shared" si="6"/>
        <v>647.6054266</v>
      </c>
      <c r="W77" s="26">
        <f t="shared" si="7"/>
        <v>13534.00106</v>
      </c>
      <c r="X77" s="39">
        <f t="shared" si="8"/>
        <v>0.1691750133</v>
      </c>
      <c r="Y77" s="40">
        <f t="shared" ref="Y77:Z77" si="71">U77+Y76</f>
        <v>8762.510091</v>
      </c>
      <c r="Z77" s="40">
        <f t="shared" si="71"/>
        <v>36465.99894</v>
      </c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>
      <c r="A78" s="2"/>
      <c r="B78" s="2"/>
      <c r="C78" s="2"/>
      <c r="D78" s="2"/>
      <c r="E78" s="2"/>
      <c r="F78" s="13">
        <f>IFERROR(__xludf.DUMMYFUNCTION("""COMPUTED_VALUE"""),65.0)</f>
        <v>65</v>
      </c>
      <c r="G78" s="17">
        <f>IFERROR(__xludf.DUMMYFUNCTION("""COMPUTED_VALUE"""),44469.0)</f>
        <v>44469</v>
      </c>
      <c r="H78" s="26">
        <f>IFERROR(__xludf.DUMMYFUNCTION("""COMPUTED_VALUE"""),13534.001061258741)</f>
        <v>13534.00106</v>
      </c>
      <c r="I78" s="40">
        <f>IFERROR(__xludf.DUMMYFUNCTION("""COMPUTED_VALUE"""),706.6954535953523)</f>
        <v>706.6954536</v>
      </c>
      <c r="J78" s="40">
        <f>IFERROR(__xludf.DUMMYFUNCTION("""COMPUTED_VALUE"""),56.39167108857857)</f>
        <v>56.39167109</v>
      </c>
      <c r="K78" s="40">
        <f>IFERROR(__xludf.DUMMYFUNCTION("""COMPUTED_VALUE"""),650.3037825067738)</f>
        <v>650.3037825</v>
      </c>
      <c r="L78" s="26">
        <f>IFERROR(__xludf.DUMMYFUNCTION("""COMPUTED_VALUE"""),12883.697278751968)</f>
        <v>12883.69728</v>
      </c>
      <c r="M78" s="39">
        <f>IFERROR(__xludf.DUMMYFUNCTION("""COMPUTED_VALUE"""),0.1610462159843996)</f>
        <v>0.161046216</v>
      </c>
      <c r="N78" s="40">
        <f>IFERROR(__xludf.DUMMYFUNCTION("""COMPUTED_VALUE"""),8818.901762449865)</f>
        <v>8818.901762</v>
      </c>
      <c r="O78" s="40">
        <f>IFERROR(__xludf.DUMMYFUNCTION("""COMPUTED_VALUE"""),37116.30272124804)</f>
        <v>37116.30272</v>
      </c>
      <c r="P78" s="2"/>
      <c r="Q78" s="13">
        <v>65.0</v>
      </c>
      <c r="R78" s="17">
        <f t="shared" si="2"/>
        <v>44469</v>
      </c>
      <c r="S78" s="26">
        <f t="shared" si="3"/>
        <v>13534.00106</v>
      </c>
      <c r="T78" s="40">
        <f t="shared" si="4"/>
        <v>706.6954536</v>
      </c>
      <c r="U78" s="40">
        <f t="shared" si="5"/>
        <v>56.39167109</v>
      </c>
      <c r="V78" s="40">
        <f t="shared" si="6"/>
        <v>650.3037825</v>
      </c>
      <c r="W78" s="26">
        <f t="shared" si="7"/>
        <v>12883.69728</v>
      </c>
      <c r="X78" s="39">
        <f t="shared" si="8"/>
        <v>0.161046216</v>
      </c>
      <c r="Y78" s="40">
        <f t="shared" ref="Y78:Z78" si="72">U78+Y77</f>
        <v>8818.901762</v>
      </c>
      <c r="Z78" s="40">
        <f t="shared" si="72"/>
        <v>37116.30272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>
      <c r="A79" s="2"/>
      <c r="B79" s="2"/>
      <c r="C79" s="2"/>
      <c r="D79" s="2"/>
      <c r="E79" s="2"/>
      <c r="F79" s="13">
        <f>IFERROR(__xludf.DUMMYFUNCTION("""COMPUTED_VALUE"""),66.0)</f>
        <v>66</v>
      </c>
      <c r="G79" s="17">
        <f>IFERROR(__xludf.DUMMYFUNCTION("""COMPUTED_VALUE"""),44484.0)</f>
        <v>44484</v>
      </c>
      <c r="H79" s="26">
        <f>IFERROR(__xludf.DUMMYFUNCTION("""COMPUTED_VALUE"""),12883.697278751968)</f>
        <v>12883.69728</v>
      </c>
      <c r="I79" s="40">
        <f>IFERROR(__xludf.DUMMYFUNCTION("""COMPUTED_VALUE"""),706.6954535953523)</f>
        <v>706.6954536</v>
      </c>
      <c r="J79" s="40">
        <f>IFERROR(__xludf.DUMMYFUNCTION("""COMPUTED_VALUE"""),53.68207199480042)</f>
        <v>53.68207199</v>
      </c>
      <c r="K79" s="40">
        <f>IFERROR(__xludf.DUMMYFUNCTION("""COMPUTED_VALUE"""),653.013381600552)</f>
        <v>653.0133816</v>
      </c>
      <c r="L79" s="26">
        <f>IFERROR(__xludf.DUMMYFUNCTION("""COMPUTED_VALUE"""),12230.683897151415)</f>
        <v>12230.6839</v>
      </c>
      <c r="M79" s="39">
        <f>IFERROR(__xludf.DUMMYFUNCTION("""COMPUTED_VALUE"""),0.1528835487143927)</f>
        <v>0.1528835487</v>
      </c>
      <c r="N79" s="40">
        <f>IFERROR(__xludf.DUMMYFUNCTION("""COMPUTED_VALUE"""),8872.583834444666)</f>
        <v>8872.583834</v>
      </c>
      <c r="O79" s="40">
        <f>IFERROR(__xludf.DUMMYFUNCTION("""COMPUTED_VALUE"""),37769.31610284859)</f>
        <v>37769.3161</v>
      </c>
      <c r="P79" s="2"/>
      <c r="Q79" s="13">
        <v>66.0</v>
      </c>
      <c r="R79" s="17">
        <f t="shared" si="2"/>
        <v>44484</v>
      </c>
      <c r="S79" s="26">
        <f t="shared" si="3"/>
        <v>12883.69728</v>
      </c>
      <c r="T79" s="40">
        <f t="shared" si="4"/>
        <v>706.6954536</v>
      </c>
      <c r="U79" s="40">
        <f t="shared" si="5"/>
        <v>53.68207199</v>
      </c>
      <c r="V79" s="40">
        <f t="shared" si="6"/>
        <v>653.0133816</v>
      </c>
      <c r="W79" s="26">
        <f t="shared" si="7"/>
        <v>12230.6839</v>
      </c>
      <c r="X79" s="39">
        <f t="shared" si="8"/>
        <v>0.1528835487</v>
      </c>
      <c r="Y79" s="40">
        <f t="shared" ref="Y79:Z79" si="73">U79+Y78</f>
        <v>8872.583834</v>
      </c>
      <c r="Z79" s="40">
        <f t="shared" si="73"/>
        <v>37769.3161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>
      <c r="A80" s="2"/>
      <c r="B80" s="2"/>
      <c r="C80" s="2"/>
      <c r="D80" s="2"/>
      <c r="E80" s="2"/>
      <c r="F80" s="13">
        <f>IFERROR(__xludf.DUMMYFUNCTION("""COMPUTED_VALUE"""),67.0)</f>
        <v>67</v>
      </c>
      <c r="G80" s="17">
        <f>IFERROR(__xludf.DUMMYFUNCTION("""COMPUTED_VALUE"""),44500.0)</f>
        <v>44500</v>
      </c>
      <c r="H80" s="26">
        <f>IFERROR(__xludf.DUMMYFUNCTION("""COMPUTED_VALUE"""),12230.683897151415)</f>
        <v>12230.6839</v>
      </c>
      <c r="I80" s="40">
        <f>IFERROR(__xludf.DUMMYFUNCTION("""COMPUTED_VALUE"""),706.6954535953523)</f>
        <v>706.6954536</v>
      </c>
      <c r="J80" s="40">
        <f>IFERROR(__xludf.DUMMYFUNCTION("""COMPUTED_VALUE"""),50.9611829047981)</f>
        <v>50.9611829</v>
      </c>
      <c r="K80" s="40">
        <f>IFERROR(__xludf.DUMMYFUNCTION("""COMPUTED_VALUE"""),655.7342706905542)</f>
        <v>655.7342707</v>
      </c>
      <c r="L80" s="26">
        <f>IFERROR(__xludf.DUMMYFUNCTION("""COMPUTED_VALUE"""),11574.94962646086)</f>
        <v>11574.94963</v>
      </c>
      <c r="M80" s="39">
        <f>IFERROR(__xludf.DUMMYFUNCTION("""COMPUTED_VALUE"""),0.14468687033076075)</f>
        <v>0.1446868703</v>
      </c>
      <c r="N80" s="40">
        <f>IFERROR(__xludf.DUMMYFUNCTION("""COMPUTED_VALUE"""),8923.545017349465)</f>
        <v>8923.545017</v>
      </c>
      <c r="O80" s="40">
        <f>IFERROR(__xludf.DUMMYFUNCTION("""COMPUTED_VALUE"""),38425.05037353915)</f>
        <v>38425.05037</v>
      </c>
      <c r="P80" s="2"/>
      <c r="Q80" s="13">
        <v>67.0</v>
      </c>
      <c r="R80" s="17">
        <f t="shared" si="2"/>
        <v>44500</v>
      </c>
      <c r="S80" s="26">
        <f t="shared" si="3"/>
        <v>12230.6839</v>
      </c>
      <c r="T80" s="40">
        <f t="shared" si="4"/>
        <v>706.6954536</v>
      </c>
      <c r="U80" s="40">
        <f t="shared" si="5"/>
        <v>50.9611829</v>
      </c>
      <c r="V80" s="40">
        <f t="shared" si="6"/>
        <v>655.7342707</v>
      </c>
      <c r="W80" s="26">
        <f t="shared" si="7"/>
        <v>11574.94963</v>
      </c>
      <c r="X80" s="39">
        <f t="shared" si="8"/>
        <v>0.1446868703</v>
      </c>
      <c r="Y80" s="40">
        <f t="shared" ref="Y80:Z80" si="74">U80+Y79</f>
        <v>8923.545017</v>
      </c>
      <c r="Z80" s="40">
        <f t="shared" si="74"/>
        <v>38425.05037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>
      <c r="A81" s="2"/>
      <c r="B81" s="2"/>
      <c r="C81" s="2"/>
      <c r="D81" s="2"/>
      <c r="E81" s="2"/>
      <c r="F81" s="13">
        <f>IFERROR(__xludf.DUMMYFUNCTION("""COMPUTED_VALUE"""),68.0)</f>
        <v>68</v>
      </c>
      <c r="G81" s="17">
        <f>IFERROR(__xludf.DUMMYFUNCTION("""COMPUTED_VALUE"""),44515.0)</f>
        <v>44515</v>
      </c>
      <c r="H81" s="26">
        <f>IFERROR(__xludf.DUMMYFUNCTION("""COMPUTED_VALUE"""),11574.94962646086)</f>
        <v>11574.94963</v>
      </c>
      <c r="I81" s="40">
        <f>IFERROR(__xludf.DUMMYFUNCTION("""COMPUTED_VALUE"""),706.6954535953523)</f>
        <v>706.6954536</v>
      </c>
      <c r="J81" s="40">
        <f>IFERROR(__xludf.DUMMYFUNCTION("""COMPUTED_VALUE"""),48.22895677692074)</f>
        <v>48.22895678</v>
      </c>
      <c r="K81" s="40">
        <f>IFERROR(__xludf.DUMMYFUNCTION("""COMPUTED_VALUE"""),658.4664968184317)</f>
        <v>658.4664968</v>
      </c>
      <c r="L81" s="26">
        <f>IFERROR(__xludf.DUMMYFUNCTION("""COMPUTED_VALUE"""),10916.483129642429)</f>
        <v>10916.48313</v>
      </c>
      <c r="M81" s="39">
        <f>IFERROR(__xludf.DUMMYFUNCTION("""COMPUTED_VALUE"""),0.13645603912053036)</f>
        <v>0.1364560391</v>
      </c>
      <c r="N81" s="40">
        <f>IFERROR(__xludf.DUMMYFUNCTION("""COMPUTED_VALUE"""),8971.773974126385)</f>
        <v>8971.773974</v>
      </c>
      <c r="O81" s="40">
        <f>IFERROR(__xludf.DUMMYFUNCTION("""COMPUTED_VALUE"""),39083.51687035758)</f>
        <v>39083.51687</v>
      </c>
      <c r="P81" s="2"/>
      <c r="Q81" s="13">
        <v>68.0</v>
      </c>
      <c r="R81" s="17">
        <f t="shared" si="2"/>
        <v>44515</v>
      </c>
      <c r="S81" s="26">
        <f t="shared" si="3"/>
        <v>11574.94963</v>
      </c>
      <c r="T81" s="40">
        <f t="shared" si="4"/>
        <v>706.6954536</v>
      </c>
      <c r="U81" s="40">
        <f t="shared" si="5"/>
        <v>48.22895678</v>
      </c>
      <c r="V81" s="40">
        <f t="shared" si="6"/>
        <v>658.4664968</v>
      </c>
      <c r="W81" s="26">
        <f t="shared" si="7"/>
        <v>10916.48313</v>
      </c>
      <c r="X81" s="39">
        <f t="shared" si="8"/>
        <v>0.1364560391</v>
      </c>
      <c r="Y81" s="40">
        <f t="shared" ref="Y81:Z81" si="75">U81+Y80</f>
        <v>8971.773974</v>
      </c>
      <c r="Z81" s="40">
        <f t="shared" si="75"/>
        <v>39083.51687</v>
      </c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>
      <c r="A82" s="2"/>
      <c r="B82" s="2"/>
      <c r="C82" s="2"/>
      <c r="D82" s="2"/>
      <c r="E82" s="2"/>
      <c r="F82" s="13">
        <f>IFERROR(__xludf.DUMMYFUNCTION("""COMPUTED_VALUE"""),69.0)</f>
        <v>69</v>
      </c>
      <c r="G82" s="17">
        <f>IFERROR(__xludf.DUMMYFUNCTION("""COMPUTED_VALUE"""),44530.0)</f>
        <v>44530</v>
      </c>
      <c r="H82" s="26">
        <f>IFERROR(__xludf.DUMMYFUNCTION("""COMPUTED_VALUE"""),10916.483129642429)</f>
        <v>10916.48313</v>
      </c>
      <c r="I82" s="40">
        <f>IFERROR(__xludf.DUMMYFUNCTION("""COMPUTED_VALUE"""),706.6954535953523)</f>
        <v>706.6954536</v>
      </c>
      <c r="J82" s="40">
        <f>IFERROR(__xludf.DUMMYFUNCTION("""COMPUTED_VALUE"""),45.48534637351071)</f>
        <v>45.48534637</v>
      </c>
      <c r="K82" s="40">
        <f>IFERROR(__xludf.DUMMYFUNCTION("""COMPUTED_VALUE"""),661.2101072218417)</f>
        <v>661.2101072</v>
      </c>
      <c r="L82" s="26">
        <f>IFERROR(__xludf.DUMMYFUNCTION("""COMPUTED_VALUE"""),10255.273022420588)</f>
        <v>10255.27302</v>
      </c>
      <c r="M82" s="39">
        <f>IFERROR(__xludf.DUMMYFUNCTION("""COMPUTED_VALUE"""),0.12819091278025735)</f>
        <v>0.1281909128</v>
      </c>
      <c r="N82" s="40">
        <f>IFERROR(__xludf.DUMMYFUNCTION("""COMPUTED_VALUE"""),9017.259320499896)</f>
        <v>9017.25932</v>
      </c>
      <c r="O82" s="40">
        <f>IFERROR(__xludf.DUMMYFUNCTION("""COMPUTED_VALUE"""),39744.72697757942)</f>
        <v>39744.72698</v>
      </c>
      <c r="P82" s="2"/>
      <c r="Q82" s="13">
        <v>69.0</v>
      </c>
      <c r="R82" s="17">
        <f t="shared" si="2"/>
        <v>44530</v>
      </c>
      <c r="S82" s="26">
        <f t="shared" si="3"/>
        <v>10916.48313</v>
      </c>
      <c r="T82" s="40">
        <f t="shared" si="4"/>
        <v>706.6954536</v>
      </c>
      <c r="U82" s="40">
        <f t="shared" si="5"/>
        <v>45.48534637</v>
      </c>
      <c r="V82" s="40">
        <f t="shared" si="6"/>
        <v>661.2101072</v>
      </c>
      <c r="W82" s="26">
        <f t="shared" si="7"/>
        <v>10255.27302</v>
      </c>
      <c r="X82" s="39">
        <f t="shared" si="8"/>
        <v>0.1281909128</v>
      </c>
      <c r="Y82" s="40">
        <f t="shared" ref="Y82:Z82" si="76">U82+Y81</f>
        <v>9017.25932</v>
      </c>
      <c r="Z82" s="40">
        <f t="shared" si="76"/>
        <v>39744.72698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>
      <c r="A83" s="2"/>
      <c r="B83" s="2"/>
      <c r="C83" s="2"/>
      <c r="D83" s="2"/>
      <c r="E83" s="2"/>
      <c r="F83" s="13">
        <f>IFERROR(__xludf.DUMMYFUNCTION("""COMPUTED_VALUE"""),70.0)</f>
        <v>70</v>
      </c>
      <c r="G83" s="17">
        <f>IFERROR(__xludf.DUMMYFUNCTION("""COMPUTED_VALUE"""),44545.0)</f>
        <v>44545</v>
      </c>
      <c r="H83" s="26">
        <f>IFERROR(__xludf.DUMMYFUNCTION("""COMPUTED_VALUE"""),10255.273022420588)</f>
        <v>10255.27302</v>
      </c>
      <c r="I83" s="40">
        <f>IFERROR(__xludf.DUMMYFUNCTION("""COMPUTED_VALUE"""),706.6954535953523)</f>
        <v>706.6954536</v>
      </c>
      <c r="J83" s="40">
        <f>IFERROR(__xludf.DUMMYFUNCTION("""COMPUTED_VALUE"""),42.730304260086335)</f>
        <v>42.73030426</v>
      </c>
      <c r="K83" s="40">
        <f>IFERROR(__xludf.DUMMYFUNCTION("""COMPUTED_VALUE"""),663.965149335266)</f>
        <v>663.9651493</v>
      </c>
      <c r="L83" s="26">
        <f>IFERROR(__xludf.DUMMYFUNCTION("""COMPUTED_VALUE"""),9591.307873085321)</f>
        <v>9591.307873</v>
      </c>
      <c r="M83" s="39">
        <f>IFERROR(__xludf.DUMMYFUNCTION("""COMPUTED_VALUE"""),0.11989134841356651)</f>
        <v>0.1198913484</v>
      </c>
      <c r="N83" s="40">
        <f>IFERROR(__xludf.DUMMYFUNCTION("""COMPUTED_VALUE"""),9059.989624759983)</f>
        <v>9059.989625</v>
      </c>
      <c r="O83" s="40">
        <f>IFERROR(__xludf.DUMMYFUNCTION("""COMPUTED_VALUE"""),40408.692126914684)</f>
        <v>40408.69213</v>
      </c>
      <c r="P83" s="2"/>
      <c r="Q83" s="13">
        <v>70.0</v>
      </c>
      <c r="R83" s="17">
        <f t="shared" si="2"/>
        <v>44545</v>
      </c>
      <c r="S83" s="26">
        <f t="shared" si="3"/>
        <v>10255.27302</v>
      </c>
      <c r="T83" s="40">
        <f t="shared" si="4"/>
        <v>706.6954536</v>
      </c>
      <c r="U83" s="40">
        <f t="shared" si="5"/>
        <v>42.73030426</v>
      </c>
      <c r="V83" s="40">
        <f t="shared" si="6"/>
        <v>663.9651493</v>
      </c>
      <c r="W83" s="26">
        <f t="shared" si="7"/>
        <v>9591.307873</v>
      </c>
      <c r="X83" s="39">
        <f t="shared" si="8"/>
        <v>0.1198913484</v>
      </c>
      <c r="Y83" s="40">
        <f t="shared" ref="Y83:Z83" si="77">U83+Y82</f>
        <v>9059.989625</v>
      </c>
      <c r="Z83" s="40">
        <f t="shared" si="77"/>
        <v>40408.69213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>
      <c r="A84" s="2"/>
      <c r="B84" s="2"/>
      <c r="C84" s="2"/>
      <c r="D84" s="2"/>
      <c r="E84" s="2"/>
      <c r="F84" s="13">
        <f>IFERROR(__xludf.DUMMYFUNCTION("""COMPUTED_VALUE"""),71.0)</f>
        <v>71</v>
      </c>
      <c r="G84" s="17">
        <f>IFERROR(__xludf.DUMMYFUNCTION("""COMPUTED_VALUE"""),44561.0)</f>
        <v>44561</v>
      </c>
      <c r="H84" s="26">
        <f>IFERROR(__xludf.DUMMYFUNCTION("""COMPUTED_VALUE"""),9591.307873085321)</f>
        <v>9591.307873</v>
      </c>
      <c r="I84" s="40">
        <f>IFERROR(__xludf.DUMMYFUNCTION("""COMPUTED_VALUE"""),706.6954535953523)</f>
        <v>706.6954536</v>
      </c>
      <c r="J84" s="40">
        <f>IFERROR(__xludf.DUMMYFUNCTION("""COMPUTED_VALUE"""),39.96378280452269)</f>
        <v>39.9637828</v>
      </c>
      <c r="K84" s="40">
        <f>IFERROR(__xludf.DUMMYFUNCTION("""COMPUTED_VALUE"""),666.7316707908298)</f>
        <v>666.7316708</v>
      </c>
      <c r="L84" s="26">
        <f>IFERROR(__xludf.DUMMYFUNCTION("""COMPUTED_VALUE"""),8924.576202294491)</f>
        <v>8924.576202</v>
      </c>
      <c r="M84" s="39">
        <f>IFERROR(__xludf.DUMMYFUNCTION("""COMPUTED_VALUE"""),0.11155720252868113)</f>
        <v>0.1115572025</v>
      </c>
      <c r="N84" s="40">
        <f>IFERROR(__xludf.DUMMYFUNCTION("""COMPUTED_VALUE"""),9099.953407564506)</f>
        <v>9099.953408</v>
      </c>
      <c r="O84" s="40">
        <f>IFERROR(__xludf.DUMMYFUNCTION("""COMPUTED_VALUE"""),41075.423797705516)</f>
        <v>41075.4238</v>
      </c>
      <c r="P84" s="2"/>
      <c r="Q84" s="13">
        <v>71.0</v>
      </c>
      <c r="R84" s="17">
        <f t="shared" si="2"/>
        <v>44561</v>
      </c>
      <c r="S84" s="26">
        <f t="shared" si="3"/>
        <v>9591.307873</v>
      </c>
      <c r="T84" s="40">
        <f t="shared" si="4"/>
        <v>706.6954536</v>
      </c>
      <c r="U84" s="40">
        <f t="shared" si="5"/>
        <v>39.9637828</v>
      </c>
      <c r="V84" s="40">
        <f t="shared" si="6"/>
        <v>666.7316708</v>
      </c>
      <c r="W84" s="26">
        <f t="shared" si="7"/>
        <v>8924.576202</v>
      </c>
      <c r="X84" s="39">
        <f t="shared" si="8"/>
        <v>0.1115572025</v>
      </c>
      <c r="Y84" s="40">
        <f t="shared" ref="Y84:Z84" si="78">U84+Y83</f>
        <v>9099.953408</v>
      </c>
      <c r="Z84" s="40">
        <f t="shared" si="78"/>
        <v>41075.4238</v>
      </c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>
      <c r="A85" s="2"/>
      <c r="B85" s="2"/>
      <c r="C85" s="2"/>
      <c r="D85" s="2"/>
      <c r="E85" s="2"/>
      <c r="F85" s="13">
        <f>IFERROR(__xludf.DUMMYFUNCTION("""COMPUTED_VALUE"""),72.0)</f>
        <v>72</v>
      </c>
      <c r="G85" s="17">
        <f>IFERROR(__xludf.DUMMYFUNCTION("""COMPUTED_VALUE"""),44576.0)</f>
        <v>44576</v>
      </c>
      <c r="H85" s="26">
        <f>IFERROR(__xludf.DUMMYFUNCTION("""COMPUTED_VALUE"""),8924.576202294491)</f>
        <v>8924.576202</v>
      </c>
      <c r="I85" s="40">
        <f>IFERROR(__xludf.DUMMYFUNCTION("""COMPUTED_VALUE"""),706.6954535953523)</f>
        <v>706.6954536</v>
      </c>
      <c r="J85" s="40">
        <f>IFERROR(__xludf.DUMMYFUNCTION("""COMPUTED_VALUE"""),37.18573417622767)</f>
        <v>37.18573418</v>
      </c>
      <c r="K85" s="40">
        <f>IFERROR(__xludf.DUMMYFUNCTION("""COMPUTED_VALUE"""),669.5097194191247)</f>
        <v>669.5097194</v>
      </c>
      <c r="L85" s="26">
        <f>IFERROR(__xludf.DUMMYFUNCTION("""COMPUTED_VALUE"""),8255.066482875367)</f>
        <v>8255.066483</v>
      </c>
      <c r="M85" s="39">
        <f>IFERROR(__xludf.DUMMYFUNCTION("""COMPUTED_VALUE"""),0.10318833103594209)</f>
        <v>0.103188331</v>
      </c>
      <c r="N85" s="40">
        <f>IFERROR(__xludf.DUMMYFUNCTION("""COMPUTED_VALUE"""),9137.139141740734)</f>
        <v>9137.139142</v>
      </c>
      <c r="O85" s="40">
        <f>IFERROR(__xludf.DUMMYFUNCTION("""COMPUTED_VALUE"""),41744.93351712464)</f>
        <v>41744.93352</v>
      </c>
      <c r="P85" s="2"/>
      <c r="Q85" s="13">
        <v>72.0</v>
      </c>
      <c r="R85" s="17">
        <f t="shared" si="2"/>
        <v>44576</v>
      </c>
      <c r="S85" s="26">
        <f t="shared" si="3"/>
        <v>8924.576202</v>
      </c>
      <c r="T85" s="40">
        <f t="shared" si="4"/>
        <v>706.6954536</v>
      </c>
      <c r="U85" s="40">
        <f t="shared" si="5"/>
        <v>37.18573418</v>
      </c>
      <c r="V85" s="40">
        <f t="shared" si="6"/>
        <v>669.5097194</v>
      </c>
      <c r="W85" s="26">
        <f t="shared" si="7"/>
        <v>8255.066483</v>
      </c>
      <c r="X85" s="39">
        <f t="shared" si="8"/>
        <v>0.103188331</v>
      </c>
      <c r="Y85" s="40">
        <f t="shared" ref="Y85:Z85" si="79">U85+Y84</f>
        <v>9137.139142</v>
      </c>
      <c r="Z85" s="40">
        <f t="shared" si="79"/>
        <v>41744.93352</v>
      </c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>
      <c r="A86" s="2"/>
      <c r="B86" s="2"/>
      <c r="C86" s="2"/>
      <c r="D86" s="2"/>
      <c r="E86" s="2"/>
      <c r="F86" s="13">
        <f>IFERROR(__xludf.DUMMYFUNCTION("""COMPUTED_VALUE"""),73.0)</f>
        <v>73</v>
      </c>
      <c r="G86" s="17">
        <f>IFERROR(__xludf.DUMMYFUNCTION("""COMPUTED_VALUE"""),44592.0)</f>
        <v>44592</v>
      </c>
      <c r="H86" s="26">
        <f>IFERROR(__xludf.DUMMYFUNCTION("""COMPUTED_VALUE"""),8255.066482875367)</f>
        <v>8255.066483</v>
      </c>
      <c r="I86" s="40">
        <f>IFERROR(__xludf.DUMMYFUNCTION("""COMPUTED_VALUE"""),706.6954535953523)</f>
        <v>706.6954536</v>
      </c>
      <c r="J86" s="40">
        <f>IFERROR(__xludf.DUMMYFUNCTION("""COMPUTED_VALUE"""),34.39611034531459)</f>
        <v>34.39611035</v>
      </c>
      <c r="K86" s="40">
        <f>IFERROR(__xludf.DUMMYFUNCTION("""COMPUTED_VALUE"""),672.2993432500379)</f>
        <v>672.2993433</v>
      </c>
      <c r="L86" s="26">
        <f>IFERROR(__xludf.DUMMYFUNCTION("""COMPUTED_VALUE"""),7582.767139625329)</f>
        <v>7582.76714</v>
      </c>
      <c r="M86" s="39">
        <f>IFERROR(__xludf.DUMMYFUNCTION("""COMPUTED_VALUE"""),0.09478458924531662)</f>
        <v>0.09478458925</v>
      </c>
      <c r="N86" s="40">
        <f>IFERROR(__xludf.DUMMYFUNCTION("""COMPUTED_VALUE"""),9171.535252086049)</f>
        <v>9171.535252</v>
      </c>
      <c r="O86" s="40">
        <f>IFERROR(__xludf.DUMMYFUNCTION("""COMPUTED_VALUE"""),42417.23286037468)</f>
        <v>42417.23286</v>
      </c>
      <c r="P86" s="2"/>
      <c r="Q86" s="13">
        <v>73.0</v>
      </c>
      <c r="R86" s="17">
        <f t="shared" si="2"/>
        <v>44592</v>
      </c>
      <c r="S86" s="26">
        <f t="shared" si="3"/>
        <v>8255.066483</v>
      </c>
      <c r="T86" s="40">
        <f t="shared" si="4"/>
        <v>706.6954536</v>
      </c>
      <c r="U86" s="40">
        <f t="shared" si="5"/>
        <v>34.39611035</v>
      </c>
      <c r="V86" s="40">
        <f t="shared" si="6"/>
        <v>672.2993433</v>
      </c>
      <c r="W86" s="26">
        <f t="shared" si="7"/>
        <v>7582.76714</v>
      </c>
      <c r="X86" s="39">
        <f t="shared" si="8"/>
        <v>0.09478458925</v>
      </c>
      <c r="Y86" s="40">
        <f t="shared" ref="Y86:Z86" si="80">U86+Y85</f>
        <v>9171.535252</v>
      </c>
      <c r="Z86" s="40">
        <f t="shared" si="80"/>
        <v>42417.23286</v>
      </c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>
      <c r="A87" s="2"/>
      <c r="B87" s="2"/>
      <c r="C87" s="2"/>
      <c r="D87" s="2"/>
      <c r="E87" s="2"/>
      <c r="F87" s="13">
        <f>IFERROR(__xludf.DUMMYFUNCTION("""COMPUTED_VALUE"""),74.0)</f>
        <v>74</v>
      </c>
      <c r="G87" s="17">
        <f>IFERROR(__xludf.DUMMYFUNCTION("""COMPUTED_VALUE"""),44607.0)</f>
        <v>44607</v>
      </c>
      <c r="H87" s="26">
        <f>IFERROR(__xludf.DUMMYFUNCTION("""COMPUTED_VALUE"""),7582.767139625329)</f>
        <v>7582.76714</v>
      </c>
      <c r="I87" s="40">
        <f>IFERROR(__xludf.DUMMYFUNCTION("""COMPUTED_VALUE"""),706.6954535953523)</f>
        <v>706.6954536</v>
      </c>
      <c r="J87" s="40">
        <f>IFERROR(__xludf.DUMMYFUNCTION("""COMPUTED_VALUE"""),31.59486308177276)</f>
        <v>31.59486308</v>
      </c>
      <c r="K87" s="40">
        <f>IFERROR(__xludf.DUMMYFUNCTION("""COMPUTED_VALUE"""),675.1005905135796)</f>
        <v>675.1005905</v>
      </c>
      <c r="L87" s="26">
        <f>IFERROR(__xludf.DUMMYFUNCTION("""COMPUTED_VALUE"""),6907.666549111749)</f>
        <v>6907.666549</v>
      </c>
      <c r="M87" s="39">
        <f>IFERROR(__xludf.DUMMYFUNCTION("""COMPUTED_VALUE"""),0.08634583186389687)</f>
        <v>0.08634583186</v>
      </c>
      <c r="N87" s="40">
        <f>IFERROR(__xludf.DUMMYFUNCTION("""COMPUTED_VALUE"""),9203.130115167822)</f>
        <v>9203.130115</v>
      </c>
      <c r="O87" s="40">
        <f>IFERROR(__xludf.DUMMYFUNCTION("""COMPUTED_VALUE"""),43092.33345088826)</f>
        <v>43092.33345</v>
      </c>
      <c r="P87" s="2"/>
      <c r="Q87" s="13">
        <v>74.0</v>
      </c>
      <c r="R87" s="17">
        <f t="shared" si="2"/>
        <v>44607</v>
      </c>
      <c r="S87" s="26">
        <f t="shared" si="3"/>
        <v>7582.76714</v>
      </c>
      <c r="T87" s="40">
        <f t="shared" si="4"/>
        <v>706.6954536</v>
      </c>
      <c r="U87" s="40">
        <f t="shared" si="5"/>
        <v>31.59486308</v>
      </c>
      <c r="V87" s="40">
        <f t="shared" si="6"/>
        <v>675.1005905</v>
      </c>
      <c r="W87" s="26">
        <f t="shared" si="7"/>
        <v>6907.666549</v>
      </c>
      <c r="X87" s="39">
        <f t="shared" si="8"/>
        <v>0.08634583186</v>
      </c>
      <c r="Y87" s="40">
        <f t="shared" ref="Y87:Z87" si="81">U87+Y86</f>
        <v>9203.130115</v>
      </c>
      <c r="Z87" s="40">
        <f t="shared" si="81"/>
        <v>43092.33345</v>
      </c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>
      <c r="A88" s="2"/>
      <c r="B88" s="2"/>
      <c r="C88" s="2"/>
      <c r="D88" s="2"/>
      <c r="E88" s="2"/>
      <c r="F88" s="13">
        <f>IFERROR(__xludf.DUMMYFUNCTION("""COMPUTED_VALUE"""),75.0)</f>
        <v>75</v>
      </c>
      <c r="G88" s="17">
        <f>IFERROR(__xludf.DUMMYFUNCTION("""COMPUTED_VALUE"""),44620.0)</f>
        <v>44620</v>
      </c>
      <c r="H88" s="26">
        <f>IFERROR(__xludf.DUMMYFUNCTION("""COMPUTED_VALUE"""),6907.666549111749)</f>
        <v>6907.666549</v>
      </c>
      <c r="I88" s="40">
        <f>IFERROR(__xludf.DUMMYFUNCTION("""COMPUTED_VALUE"""),706.6954535953523)</f>
        <v>706.6954536</v>
      </c>
      <c r="J88" s="40">
        <f>IFERROR(__xludf.DUMMYFUNCTION("""COMPUTED_VALUE"""),28.781943954632865)</f>
        <v>28.78194395</v>
      </c>
      <c r="K88" s="40">
        <f>IFERROR(__xludf.DUMMYFUNCTION("""COMPUTED_VALUE"""),677.9135096407196)</f>
        <v>677.9135096</v>
      </c>
      <c r="L88" s="26">
        <f>IFERROR(__xludf.DUMMYFUNCTION("""COMPUTED_VALUE"""),6229.753039471029)</f>
        <v>6229.753039</v>
      </c>
      <c r="M88" s="39">
        <f>IFERROR(__xludf.DUMMYFUNCTION("""COMPUTED_VALUE"""),0.07787191299338786)</f>
        <v>0.07787191299</v>
      </c>
      <c r="N88" s="40">
        <f>IFERROR(__xludf.DUMMYFUNCTION("""COMPUTED_VALUE"""),9231.912059122455)</f>
        <v>9231.912059</v>
      </c>
      <c r="O88" s="40">
        <f>IFERROR(__xludf.DUMMYFUNCTION("""COMPUTED_VALUE"""),43770.24696052898)</f>
        <v>43770.24696</v>
      </c>
      <c r="P88" s="2"/>
      <c r="Q88" s="13">
        <v>75.0</v>
      </c>
      <c r="R88" s="17">
        <f t="shared" si="2"/>
        <v>44620</v>
      </c>
      <c r="S88" s="26">
        <f t="shared" si="3"/>
        <v>6907.666549</v>
      </c>
      <c r="T88" s="40">
        <f t="shared" si="4"/>
        <v>706.6954536</v>
      </c>
      <c r="U88" s="40">
        <f t="shared" si="5"/>
        <v>28.78194395</v>
      </c>
      <c r="V88" s="40">
        <f t="shared" si="6"/>
        <v>677.9135096</v>
      </c>
      <c r="W88" s="26">
        <f t="shared" si="7"/>
        <v>6229.753039</v>
      </c>
      <c r="X88" s="39">
        <f t="shared" si="8"/>
        <v>0.07787191299</v>
      </c>
      <c r="Y88" s="40">
        <f t="shared" ref="Y88:Z88" si="82">U88+Y87</f>
        <v>9231.912059</v>
      </c>
      <c r="Z88" s="40">
        <f t="shared" si="82"/>
        <v>43770.24696</v>
      </c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>
      <c r="A89" s="2"/>
      <c r="B89" s="2"/>
      <c r="C89" s="2"/>
      <c r="D89" s="2"/>
      <c r="E89" s="2"/>
      <c r="F89" s="13">
        <f>IFERROR(__xludf.DUMMYFUNCTION("""COMPUTED_VALUE"""),76.0)</f>
        <v>76</v>
      </c>
      <c r="G89" s="17">
        <f>IFERROR(__xludf.DUMMYFUNCTION("""COMPUTED_VALUE"""),44635.0)</f>
        <v>44635</v>
      </c>
      <c r="H89" s="26">
        <f>IFERROR(__xludf.DUMMYFUNCTION("""COMPUTED_VALUE"""),6229.753039471029)</f>
        <v>6229.753039</v>
      </c>
      <c r="I89" s="40">
        <f>IFERROR(__xludf.DUMMYFUNCTION("""COMPUTED_VALUE"""),706.6954535953523)</f>
        <v>706.6954536</v>
      </c>
      <c r="J89" s="40">
        <f>IFERROR(__xludf.DUMMYFUNCTION("""COMPUTED_VALUE"""),25.957304331129876)</f>
        <v>25.95730433</v>
      </c>
      <c r="K89" s="40">
        <f>IFERROR(__xludf.DUMMYFUNCTION("""COMPUTED_VALUE"""),680.7381492642226)</f>
        <v>680.7381493</v>
      </c>
      <c r="L89" s="26">
        <f>IFERROR(__xludf.DUMMYFUNCTION("""COMPUTED_VALUE"""),5549.014890206807)</f>
        <v>5549.01489</v>
      </c>
      <c r="M89" s="39">
        <f>IFERROR(__xludf.DUMMYFUNCTION("""COMPUTED_VALUE"""),0.06936268612758509)</f>
        <v>0.06936268613</v>
      </c>
      <c r="N89" s="40">
        <f>IFERROR(__xludf.DUMMYFUNCTION("""COMPUTED_VALUE"""),9257.869363453585)</f>
        <v>9257.869363</v>
      </c>
      <c r="O89" s="40">
        <f>IFERROR(__xludf.DUMMYFUNCTION("""COMPUTED_VALUE"""),44450.985109793204)</f>
        <v>44450.98511</v>
      </c>
      <c r="P89" s="2"/>
      <c r="Q89" s="13">
        <v>76.0</v>
      </c>
      <c r="R89" s="17">
        <f t="shared" si="2"/>
        <v>44635</v>
      </c>
      <c r="S89" s="26">
        <f t="shared" si="3"/>
        <v>6229.753039</v>
      </c>
      <c r="T89" s="40">
        <f t="shared" si="4"/>
        <v>706.6954536</v>
      </c>
      <c r="U89" s="40">
        <f t="shared" si="5"/>
        <v>25.95730433</v>
      </c>
      <c r="V89" s="40">
        <f t="shared" si="6"/>
        <v>680.7381493</v>
      </c>
      <c r="W89" s="26">
        <f t="shared" si="7"/>
        <v>5549.01489</v>
      </c>
      <c r="X89" s="39">
        <f t="shared" si="8"/>
        <v>0.06936268613</v>
      </c>
      <c r="Y89" s="40">
        <f t="shared" ref="Y89:Z89" si="83">U89+Y88</f>
        <v>9257.869363</v>
      </c>
      <c r="Z89" s="40">
        <f t="shared" si="83"/>
        <v>44450.98511</v>
      </c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>
      <c r="A90" s="2"/>
      <c r="B90" s="2"/>
      <c r="C90" s="2"/>
      <c r="D90" s="2"/>
      <c r="E90" s="2"/>
      <c r="F90" s="13">
        <f>IFERROR(__xludf.DUMMYFUNCTION("""COMPUTED_VALUE"""),77.0)</f>
        <v>77</v>
      </c>
      <c r="G90" s="17">
        <f>IFERROR(__xludf.DUMMYFUNCTION("""COMPUTED_VALUE"""),44651.0)</f>
        <v>44651</v>
      </c>
      <c r="H90" s="26">
        <f>IFERROR(__xludf.DUMMYFUNCTION("""COMPUTED_VALUE"""),5549.014890206807)</f>
        <v>5549.01489</v>
      </c>
      <c r="I90" s="40">
        <f>IFERROR(__xludf.DUMMYFUNCTION("""COMPUTED_VALUE"""),706.6954535953523)</f>
        <v>706.6954536</v>
      </c>
      <c r="J90" s="40">
        <f>IFERROR(__xludf.DUMMYFUNCTION("""COMPUTED_VALUE"""),23.120895375862347)</f>
        <v>23.12089538</v>
      </c>
      <c r="K90" s="40">
        <f>IFERROR(__xludf.DUMMYFUNCTION("""COMPUTED_VALUE"""),683.57455821949)</f>
        <v>683.5745582</v>
      </c>
      <c r="L90" s="26">
        <f>IFERROR(__xludf.DUMMYFUNCTION("""COMPUTED_VALUE"""),4865.440331987316)</f>
        <v>4865.440332</v>
      </c>
      <c r="M90" s="39">
        <f>IFERROR(__xludf.DUMMYFUNCTION("""COMPUTED_VALUE"""),0.060818004149841454)</f>
        <v>0.06081800415</v>
      </c>
      <c r="N90" s="40">
        <f>IFERROR(__xludf.DUMMYFUNCTION("""COMPUTED_VALUE"""),9280.990258829446)</f>
        <v>9280.990259</v>
      </c>
      <c r="O90" s="40">
        <f>IFERROR(__xludf.DUMMYFUNCTION("""COMPUTED_VALUE"""),45134.55966801269)</f>
        <v>45134.55967</v>
      </c>
      <c r="P90" s="2"/>
      <c r="Q90" s="13">
        <v>77.0</v>
      </c>
      <c r="R90" s="17">
        <f t="shared" si="2"/>
        <v>44651</v>
      </c>
      <c r="S90" s="26">
        <f t="shared" si="3"/>
        <v>5549.01489</v>
      </c>
      <c r="T90" s="40">
        <f t="shared" si="4"/>
        <v>706.6954536</v>
      </c>
      <c r="U90" s="40">
        <f t="shared" si="5"/>
        <v>23.12089538</v>
      </c>
      <c r="V90" s="40">
        <f t="shared" si="6"/>
        <v>683.5745582</v>
      </c>
      <c r="W90" s="26">
        <f t="shared" si="7"/>
        <v>4865.440332</v>
      </c>
      <c r="X90" s="39">
        <f t="shared" si="8"/>
        <v>0.06081800415</v>
      </c>
      <c r="Y90" s="40">
        <f t="shared" ref="Y90:Z90" si="84">U90+Y89</f>
        <v>9280.990259</v>
      </c>
      <c r="Z90" s="40">
        <f t="shared" si="84"/>
        <v>45134.55967</v>
      </c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>
      <c r="A91" s="2"/>
      <c r="B91" s="2"/>
      <c r="C91" s="2"/>
      <c r="D91" s="2"/>
      <c r="E91" s="2"/>
      <c r="F91" s="13">
        <f>IFERROR(__xludf.DUMMYFUNCTION("""COMPUTED_VALUE"""),78.0)</f>
        <v>78</v>
      </c>
      <c r="G91" s="17">
        <f>IFERROR(__xludf.DUMMYFUNCTION("""COMPUTED_VALUE"""),44666.0)</f>
        <v>44666</v>
      </c>
      <c r="H91" s="26">
        <f>IFERROR(__xludf.DUMMYFUNCTION("""COMPUTED_VALUE"""),4865.440331987316)</f>
        <v>4865.440332</v>
      </c>
      <c r="I91" s="40">
        <f>IFERROR(__xludf.DUMMYFUNCTION("""COMPUTED_VALUE"""),706.6954535953523)</f>
        <v>706.6954536</v>
      </c>
      <c r="J91" s="40">
        <f>IFERROR(__xludf.DUMMYFUNCTION("""COMPUTED_VALUE"""),20.272668049947775)</f>
        <v>20.27266805</v>
      </c>
      <c r="K91" s="40">
        <f>IFERROR(__xludf.DUMMYFUNCTION("""COMPUTED_VALUE"""),686.4227855454045)</f>
        <v>686.4227855</v>
      </c>
      <c r="L91" s="26">
        <f>IFERROR(__xludf.DUMMYFUNCTION("""COMPUTED_VALUE"""),4179.017546441912)</f>
        <v>4179.017546</v>
      </c>
      <c r="M91" s="39">
        <f>IFERROR(__xludf.DUMMYFUNCTION("""COMPUTED_VALUE"""),0.052237719330523895)</f>
        <v>0.05223771933</v>
      </c>
      <c r="N91" s="40">
        <f>IFERROR(__xludf.DUMMYFUNCTION("""COMPUTED_VALUE"""),9301.262926879393)</f>
        <v>9301.262927</v>
      </c>
      <c r="O91" s="40">
        <f>IFERROR(__xludf.DUMMYFUNCTION("""COMPUTED_VALUE"""),45820.98245355809)</f>
        <v>45820.98245</v>
      </c>
      <c r="P91" s="2"/>
      <c r="Q91" s="13">
        <v>78.0</v>
      </c>
      <c r="R91" s="17">
        <f t="shared" si="2"/>
        <v>44666</v>
      </c>
      <c r="S91" s="26">
        <f t="shared" si="3"/>
        <v>4865.440332</v>
      </c>
      <c r="T91" s="40">
        <f t="shared" si="4"/>
        <v>706.6954536</v>
      </c>
      <c r="U91" s="40">
        <f t="shared" si="5"/>
        <v>20.27266805</v>
      </c>
      <c r="V91" s="40">
        <f t="shared" si="6"/>
        <v>686.4227855</v>
      </c>
      <c r="W91" s="26">
        <f t="shared" si="7"/>
        <v>4179.017546</v>
      </c>
      <c r="X91" s="39">
        <f t="shared" si="8"/>
        <v>0.05223771933</v>
      </c>
      <c r="Y91" s="40">
        <f t="shared" ref="Y91:Z91" si="85">U91+Y90</f>
        <v>9301.262927</v>
      </c>
      <c r="Z91" s="40">
        <f t="shared" si="85"/>
        <v>45820.98245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>
      <c r="A92" s="2"/>
      <c r="B92" s="2"/>
      <c r="C92" s="2"/>
      <c r="D92" s="2"/>
      <c r="E92" s="2"/>
      <c r="F92" s="13">
        <f>IFERROR(__xludf.DUMMYFUNCTION("""COMPUTED_VALUE"""),79.0)</f>
        <v>79</v>
      </c>
      <c r="G92" s="17">
        <f>IFERROR(__xludf.DUMMYFUNCTION("""COMPUTED_VALUE"""),44681.0)</f>
        <v>44681</v>
      </c>
      <c r="H92" s="26">
        <f>IFERROR(__xludf.DUMMYFUNCTION("""COMPUTED_VALUE"""),4179.017546441912)</f>
        <v>4179.017546</v>
      </c>
      <c r="I92" s="40">
        <f>IFERROR(__xludf.DUMMYFUNCTION("""COMPUTED_VALUE"""),706.6954535953523)</f>
        <v>706.6954536</v>
      </c>
      <c r="J92" s="40">
        <f>IFERROR(__xludf.DUMMYFUNCTION("""COMPUTED_VALUE"""),17.41257311017528)</f>
        <v>17.41257311</v>
      </c>
      <c r="K92" s="40">
        <f>IFERROR(__xludf.DUMMYFUNCTION("""COMPUTED_VALUE"""),689.2828804851771)</f>
        <v>689.2828805</v>
      </c>
      <c r="L92" s="26">
        <f>IFERROR(__xludf.DUMMYFUNCTION("""COMPUTED_VALUE"""),3489.7346659567347)</f>
        <v>3489.734666</v>
      </c>
      <c r="M92" s="39">
        <f>IFERROR(__xludf.DUMMYFUNCTION("""COMPUTED_VALUE"""),0.04362168332445918)</f>
        <v>0.04362168332</v>
      </c>
      <c r="N92" s="40">
        <f>IFERROR(__xludf.DUMMYFUNCTION("""COMPUTED_VALUE"""),9318.67549998957)</f>
        <v>9318.6755</v>
      </c>
      <c r="O92" s="40">
        <f>IFERROR(__xludf.DUMMYFUNCTION("""COMPUTED_VALUE"""),46510.265334043266)</f>
        <v>46510.26533</v>
      </c>
      <c r="P92" s="2"/>
      <c r="Q92" s="13">
        <v>79.0</v>
      </c>
      <c r="R92" s="17">
        <f t="shared" si="2"/>
        <v>44681</v>
      </c>
      <c r="S92" s="26">
        <f t="shared" si="3"/>
        <v>4179.017546</v>
      </c>
      <c r="T92" s="40">
        <f t="shared" si="4"/>
        <v>706.6954536</v>
      </c>
      <c r="U92" s="40">
        <f t="shared" si="5"/>
        <v>17.41257311</v>
      </c>
      <c r="V92" s="40">
        <f t="shared" si="6"/>
        <v>689.2828805</v>
      </c>
      <c r="W92" s="26">
        <f t="shared" si="7"/>
        <v>3489.734666</v>
      </c>
      <c r="X92" s="39">
        <f t="shared" si="8"/>
        <v>0.04362168332</v>
      </c>
      <c r="Y92" s="40">
        <f t="shared" ref="Y92:Z92" si="86">U92+Y91</f>
        <v>9318.6755</v>
      </c>
      <c r="Z92" s="40">
        <f t="shared" si="86"/>
        <v>46510.26533</v>
      </c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>
      <c r="A93" s="2"/>
      <c r="B93" s="2"/>
      <c r="C93" s="2"/>
      <c r="D93" s="2"/>
      <c r="E93" s="2"/>
      <c r="F93" s="13">
        <f>IFERROR(__xludf.DUMMYFUNCTION("""COMPUTED_VALUE"""),80.0)</f>
        <v>80</v>
      </c>
      <c r="G93" s="17">
        <f>IFERROR(__xludf.DUMMYFUNCTION("""COMPUTED_VALUE"""),44696.0)</f>
        <v>44696</v>
      </c>
      <c r="H93" s="26">
        <f>IFERROR(__xludf.DUMMYFUNCTION("""COMPUTED_VALUE"""),3489.7346659567347)</f>
        <v>3489.734666</v>
      </c>
      <c r="I93" s="40">
        <f>IFERROR(__xludf.DUMMYFUNCTION("""COMPUTED_VALUE"""),706.6954535953523)</f>
        <v>706.6954536</v>
      </c>
      <c r="J93" s="40">
        <f>IFERROR(__xludf.DUMMYFUNCTION("""COMPUTED_VALUE"""),14.540561108153756)</f>
        <v>14.54056111</v>
      </c>
      <c r="K93" s="40">
        <f>IFERROR(__xludf.DUMMYFUNCTION("""COMPUTED_VALUE"""),692.1548924871986)</f>
        <v>692.1548925</v>
      </c>
      <c r="L93" s="26">
        <f>IFERROR(__xludf.DUMMYFUNCTION("""COMPUTED_VALUE"""),2797.579773469536)</f>
        <v>2797.579773</v>
      </c>
      <c r="M93" s="39">
        <f>IFERROR(__xludf.DUMMYFUNCTION("""COMPUTED_VALUE"""),0.0349697471683692)</f>
        <v>0.03496974717</v>
      </c>
      <c r="N93" s="40">
        <f>IFERROR(__xludf.DUMMYFUNCTION("""COMPUTED_VALUE"""),9333.216061097723)</f>
        <v>9333.216061</v>
      </c>
      <c r="O93" s="40">
        <f>IFERROR(__xludf.DUMMYFUNCTION("""COMPUTED_VALUE"""),47202.42022653046)</f>
        <v>47202.42023</v>
      </c>
      <c r="P93" s="2"/>
      <c r="Q93" s="13">
        <v>80.0</v>
      </c>
      <c r="R93" s="17">
        <f t="shared" si="2"/>
        <v>44696</v>
      </c>
      <c r="S93" s="26">
        <f t="shared" si="3"/>
        <v>3489.734666</v>
      </c>
      <c r="T93" s="40">
        <f t="shared" si="4"/>
        <v>706.6954536</v>
      </c>
      <c r="U93" s="40">
        <f t="shared" si="5"/>
        <v>14.54056111</v>
      </c>
      <c r="V93" s="40">
        <f t="shared" si="6"/>
        <v>692.1548925</v>
      </c>
      <c r="W93" s="26">
        <f t="shared" si="7"/>
        <v>2797.579773</v>
      </c>
      <c r="X93" s="39">
        <f t="shared" si="8"/>
        <v>0.03496974717</v>
      </c>
      <c r="Y93" s="40">
        <f t="shared" ref="Y93:Z93" si="87">U93+Y92</f>
        <v>9333.216061</v>
      </c>
      <c r="Z93" s="40">
        <f t="shared" si="87"/>
        <v>47202.42023</v>
      </c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>
      <c r="A94" s="2"/>
      <c r="B94" s="2"/>
      <c r="C94" s="2"/>
      <c r="D94" s="2"/>
      <c r="E94" s="2"/>
      <c r="F94" s="13">
        <f>IFERROR(__xludf.DUMMYFUNCTION("""COMPUTED_VALUE"""),81.0)</f>
        <v>81</v>
      </c>
      <c r="G94" s="17">
        <f>IFERROR(__xludf.DUMMYFUNCTION("""COMPUTED_VALUE"""),44712.0)</f>
        <v>44712</v>
      </c>
      <c r="H94" s="26">
        <f>IFERROR(__xludf.DUMMYFUNCTION("""COMPUTED_VALUE"""),2797.579773469536)</f>
        <v>2797.579773</v>
      </c>
      <c r="I94" s="40">
        <f>IFERROR(__xludf.DUMMYFUNCTION("""COMPUTED_VALUE"""),706.6954535953523)</f>
        <v>706.6954536</v>
      </c>
      <c r="J94" s="40">
        <f>IFERROR(__xludf.DUMMYFUNCTION("""COMPUTED_VALUE"""),11.656582389457036)</f>
        <v>11.65658239</v>
      </c>
      <c r="K94" s="40">
        <f>IFERROR(__xludf.DUMMYFUNCTION("""COMPUTED_VALUE"""),695.0388712058954)</f>
        <v>695.0388712</v>
      </c>
      <c r="L94" s="26">
        <f>IFERROR(__xludf.DUMMYFUNCTION("""COMPUTED_VALUE"""),2102.540902263641)</f>
        <v>2102.540902</v>
      </c>
      <c r="M94" s="39">
        <f>IFERROR(__xludf.DUMMYFUNCTION("""COMPUTED_VALUE"""),0.026281761278295512)</f>
        <v>0.02628176128</v>
      </c>
      <c r="N94" s="40">
        <f>IFERROR(__xludf.DUMMYFUNCTION("""COMPUTED_VALUE"""),9344.872643487179)</f>
        <v>9344.872643</v>
      </c>
      <c r="O94" s="40">
        <f>IFERROR(__xludf.DUMMYFUNCTION("""COMPUTED_VALUE"""),47897.459097736355)</f>
        <v>47897.4591</v>
      </c>
      <c r="P94" s="2"/>
      <c r="Q94" s="13">
        <v>81.0</v>
      </c>
      <c r="R94" s="17">
        <f t="shared" si="2"/>
        <v>44712</v>
      </c>
      <c r="S94" s="26">
        <f t="shared" si="3"/>
        <v>2797.579773</v>
      </c>
      <c r="T94" s="40">
        <f t="shared" si="4"/>
        <v>706.6954536</v>
      </c>
      <c r="U94" s="40">
        <f t="shared" si="5"/>
        <v>11.65658239</v>
      </c>
      <c r="V94" s="40">
        <f t="shared" si="6"/>
        <v>695.0388712</v>
      </c>
      <c r="W94" s="26">
        <f t="shared" si="7"/>
        <v>2102.540902</v>
      </c>
      <c r="X94" s="39">
        <f t="shared" si="8"/>
        <v>0.02628176128</v>
      </c>
      <c r="Y94" s="40">
        <f t="shared" ref="Y94:Z94" si="88">U94+Y93</f>
        <v>9344.872643</v>
      </c>
      <c r="Z94" s="40">
        <f t="shared" si="88"/>
        <v>47897.4591</v>
      </c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>
      <c r="A95" s="2"/>
      <c r="B95" s="2"/>
      <c r="C95" s="2"/>
      <c r="D95" s="2"/>
      <c r="E95" s="2"/>
      <c r="F95" s="13">
        <f>IFERROR(__xludf.DUMMYFUNCTION("""COMPUTED_VALUE"""),82.0)</f>
        <v>82</v>
      </c>
      <c r="G95" s="17">
        <f>IFERROR(__xludf.DUMMYFUNCTION("""COMPUTED_VALUE"""),44727.0)</f>
        <v>44727</v>
      </c>
      <c r="H95" s="26">
        <f>IFERROR(__xludf.DUMMYFUNCTION("""COMPUTED_VALUE"""),2102.540902263641)</f>
        <v>2102.540902</v>
      </c>
      <c r="I95" s="40">
        <f>IFERROR(__xludf.DUMMYFUNCTION("""COMPUTED_VALUE"""),706.6954535953523)</f>
        <v>706.6954536</v>
      </c>
      <c r="J95" s="40">
        <f>IFERROR(__xludf.DUMMYFUNCTION("""COMPUTED_VALUE"""),8.760587092765839)</f>
        <v>8.760587093</v>
      </c>
      <c r="K95" s="40">
        <f>IFERROR(__xludf.DUMMYFUNCTION("""COMPUTED_VALUE"""),697.9348665025866)</f>
        <v>697.9348665</v>
      </c>
      <c r="L95" s="26">
        <f>IFERROR(__xludf.DUMMYFUNCTION("""COMPUTED_VALUE"""),1404.6060357610543)</f>
        <v>1404.606036</v>
      </c>
      <c r="M95" s="39">
        <f>IFERROR(__xludf.DUMMYFUNCTION("""COMPUTED_VALUE"""),0.01755757544701318)</f>
        <v>0.01755757545</v>
      </c>
      <c r="N95" s="40">
        <f>IFERROR(__xludf.DUMMYFUNCTION("""COMPUTED_VALUE"""),9353.633230579944)</f>
        <v>9353.633231</v>
      </c>
      <c r="O95" s="40">
        <f>IFERROR(__xludf.DUMMYFUNCTION("""COMPUTED_VALUE"""),48595.393964238945)</f>
        <v>48595.39396</v>
      </c>
      <c r="P95" s="2"/>
      <c r="Q95" s="13">
        <v>82.0</v>
      </c>
      <c r="R95" s="17">
        <f t="shared" si="2"/>
        <v>44727</v>
      </c>
      <c r="S95" s="26">
        <f t="shared" si="3"/>
        <v>2102.540902</v>
      </c>
      <c r="T95" s="40">
        <f t="shared" si="4"/>
        <v>706.6954536</v>
      </c>
      <c r="U95" s="40">
        <f t="shared" si="5"/>
        <v>8.760587093</v>
      </c>
      <c r="V95" s="40">
        <f t="shared" si="6"/>
        <v>697.9348665</v>
      </c>
      <c r="W95" s="26">
        <f t="shared" si="7"/>
        <v>1404.606036</v>
      </c>
      <c r="X95" s="39">
        <f t="shared" si="8"/>
        <v>0.01755757545</v>
      </c>
      <c r="Y95" s="40">
        <f t="shared" ref="Y95:Z95" si="89">U95+Y94</f>
        <v>9353.633231</v>
      </c>
      <c r="Z95" s="40">
        <f t="shared" si="89"/>
        <v>48595.39396</v>
      </c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>
      <c r="A96" s="2"/>
      <c r="B96" s="2"/>
      <c r="C96" s="2"/>
      <c r="D96" s="2"/>
      <c r="E96" s="2"/>
      <c r="F96" s="13">
        <f>IFERROR(__xludf.DUMMYFUNCTION("""COMPUTED_VALUE"""),83.0)</f>
        <v>83</v>
      </c>
      <c r="G96" s="17">
        <f>IFERROR(__xludf.DUMMYFUNCTION("""COMPUTED_VALUE"""),44742.0)</f>
        <v>44742</v>
      </c>
      <c r="H96" s="26">
        <f>IFERROR(__xludf.DUMMYFUNCTION("""COMPUTED_VALUE"""),1404.6060357610543)</f>
        <v>1404.606036</v>
      </c>
      <c r="I96" s="40">
        <f>IFERROR(__xludf.DUMMYFUNCTION("""COMPUTED_VALUE"""),706.6954535953523)</f>
        <v>706.6954536</v>
      </c>
      <c r="J96" s="40">
        <f>IFERROR(__xludf.DUMMYFUNCTION("""COMPUTED_VALUE"""),5.852525149005085)</f>
        <v>5.852525149</v>
      </c>
      <c r="K96" s="40">
        <f>IFERROR(__xludf.DUMMYFUNCTION("""COMPUTED_VALUE"""),700.8429284463473)</f>
        <v>700.8429284</v>
      </c>
      <c r="L96" s="26">
        <f>IFERROR(__xludf.DUMMYFUNCTION("""COMPUTED_VALUE"""),703.763107314707)</f>
        <v>703.7631073</v>
      </c>
      <c r="M96" s="39">
        <f>IFERROR(__xludf.DUMMYFUNCTION("""COMPUTED_VALUE"""),0.008797038841433838)</f>
        <v>0.008797038841</v>
      </c>
      <c r="N96" s="40">
        <f>IFERROR(__xludf.DUMMYFUNCTION("""COMPUTED_VALUE"""),9359.485755728949)</f>
        <v>9359.485756</v>
      </c>
      <c r="O96" s="40">
        <f>IFERROR(__xludf.DUMMYFUNCTION("""COMPUTED_VALUE"""),49296.236892685294)</f>
        <v>49296.23689</v>
      </c>
      <c r="P96" s="2"/>
      <c r="Q96" s="13">
        <v>83.0</v>
      </c>
      <c r="R96" s="17">
        <f t="shared" si="2"/>
        <v>44742</v>
      </c>
      <c r="S96" s="26">
        <f t="shared" si="3"/>
        <v>1404.606036</v>
      </c>
      <c r="T96" s="40">
        <f t="shared" si="4"/>
        <v>706.6954536</v>
      </c>
      <c r="U96" s="40">
        <f t="shared" si="5"/>
        <v>5.852525149</v>
      </c>
      <c r="V96" s="40">
        <f t="shared" si="6"/>
        <v>700.8429284</v>
      </c>
      <c r="W96" s="26">
        <f t="shared" si="7"/>
        <v>703.7631073</v>
      </c>
      <c r="X96" s="39">
        <f t="shared" si="8"/>
        <v>0.008797038841</v>
      </c>
      <c r="Y96" s="40">
        <f t="shared" ref="Y96:Z96" si="90">U96+Y95</f>
        <v>9359.485756</v>
      </c>
      <c r="Z96" s="40">
        <f t="shared" si="90"/>
        <v>49296.23689</v>
      </c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>
      <c r="A97" s="2"/>
      <c r="B97" s="2"/>
      <c r="C97" s="2"/>
      <c r="D97" s="2"/>
      <c r="E97" s="2"/>
      <c r="F97" s="13">
        <f>IFERROR(__xludf.DUMMYFUNCTION("""COMPUTED_VALUE"""),84.0)</f>
        <v>84</v>
      </c>
      <c r="G97" s="17">
        <f>IFERROR(__xludf.DUMMYFUNCTION("""COMPUTED_VALUE"""),44757.0)</f>
        <v>44757</v>
      </c>
      <c r="H97" s="26">
        <f>IFERROR(__xludf.DUMMYFUNCTION("""COMPUTED_VALUE"""),703.763107314707)</f>
        <v>703.7631073</v>
      </c>
      <c r="I97" s="40">
        <f>IFERROR(__xludf.DUMMYFUNCTION("""COMPUTED_VALUE"""),706.6954535953523)</f>
        <v>706.6954536</v>
      </c>
      <c r="J97" s="40">
        <f>IFERROR(__xludf.DUMMYFUNCTION("""COMPUTED_VALUE"""),2.9323462804786398)</f>
        <v>2.93234628</v>
      </c>
      <c r="K97" s="40">
        <f>IFERROR(__xludf.DUMMYFUNCTION("""COMPUTED_VALUE"""),703.7631073148739)</f>
        <v>703.7631073</v>
      </c>
      <c r="L97" s="26">
        <f>IFERROR(__xludf.DUMMYFUNCTION("""COMPUTED_VALUE"""),-1.6689227777533233E-10)</f>
        <v>-0.0000000001668922778</v>
      </c>
      <c r="M97" s="39">
        <f>IFERROR(__xludf.DUMMYFUNCTION("""COMPUTED_VALUE"""),-2.0861534721916543E-15)</f>
        <v>0</v>
      </c>
      <c r="N97" s="40">
        <f>IFERROR(__xludf.DUMMYFUNCTION("""COMPUTED_VALUE"""),9362.418102009427)</f>
        <v>9362.418102</v>
      </c>
      <c r="O97" s="40">
        <f>IFERROR(__xludf.DUMMYFUNCTION("""COMPUTED_VALUE"""),50000.00000000017)</f>
        <v>50000</v>
      </c>
      <c r="P97" s="2"/>
      <c r="Q97" s="13">
        <v>84.0</v>
      </c>
      <c r="R97" s="17">
        <f t="shared" si="2"/>
        <v>44757</v>
      </c>
      <c r="S97" s="26">
        <f t="shared" si="3"/>
        <v>703.7631073</v>
      </c>
      <c r="T97" s="40">
        <f t="shared" si="4"/>
        <v>706.6954536</v>
      </c>
      <c r="U97" s="40">
        <f t="shared" si="5"/>
        <v>2.93234628</v>
      </c>
      <c r="V97" s="40">
        <f t="shared" si="6"/>
        <v>703.7631073</v>
      </c>
      <c r="W97" s="26">
        <f t="shared" si="7"/>
        <v>-0.0000000001668922778</v>
      </c>
      <c r="X97" s="39">
        <f t="shared" si="8"/>
        <v>0</v>
      </c>
      <c r="Y97" s="40">
        <f t="shared" ref="Y97:Z97" si="91">U97+Y96</f>
        <v>9362.418102</v>
      </c>
      <c r="Z97" s="40">
        <f t="shared" si="91"/>
        <v>50000</v>
      </c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3">
        <v>85.0</v>
      </c>
      <c r="R98" s="17">
        <f t="shared" si="2"/>
        <v>44773</v>
      </c>
      <c r="S98" s="26">
        <f t="shared" si="3"/>
        <v>-0.0000000001668922778</v>
      </c>
      <c r="T98" s="40">
        <f t="shared" si="4"/>
        <v>706.6954536</v>
      </c>
      <c r="U98" s="41" t="str">
        <f t="shared" si="5"/>
        <v>#NUM!</v>
      </c>
      <c r="V98" s="41" t="str">
        <f t="shared" si="6"/>
        <v>#NUM!</v>
      </c>
      <c r="W98" s="41" t="str">
        <f t="shared" si="7"/>
        <v>#NUM!</v>
      </c>
      <c r="X98" s="42" t="str">
        <f t="shared" si="8"/>
        <v>#NUM!</v>
      </c>
      <c r="Y98" s="41" t="str">
        <f t="shared" ref="Y98:Z98" si="92">U98+Y97</f>
        <v>#NUM!</v>
      </c>
      <c r="Z98" s="41" t="str">
        <f t="shared" si="92"/>
        <v>#NUM!</v>
      </c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3">
        <v>86.0</v>
      </c>
      <c r="R99" s="17">
        <f t="shared" si="2"/>
        <v>44788</v>
      </c>
      <c r="S99" s="41" t="str">
        <f t="shared" si="3"/>
        <v>#NUM!</v>
      </c>
      <c r="T99" s="40">
        <f t="shared" si="4"/>
        <v>706.6954536</v>
      </c>
      <c r="U99" s="41" t="str">
        <f t="shared" si="5"/>
        <v>#NUM!</v>
      </c>
      <c r="V99" s="41" t="str">
        <f t="shared" si="6"/>
        <v>#NUM!</v>
      </c>
      <c r="W99" s="41" t="str">
        <f t="shared" si="7"/>
        <v>#NUM!</v>
      </c>
      <c r="X99" s="42" t="str">
        <f t="shared" si="8"/>
        <v>#NUM!</v>
      </c>
      <c r="Y99" s="41" t="str">
        <f t="shared" ref="Y99:Z99" si="93">U99+Y98</f>
        <v>#NUM!</v>
      </c>
      <c r="Z99" s="41" t="str">
        <f t="shared" si="93"/>
        <v>#NUM!</v>
      </c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3">
        <v>87.0</v>
      </c>
      <c r="R100" s="17">
        <f t="shared" si="2"/>
        <v>44804</v>
      </c>
      <c r="S100" s="41" t="str">
        <f t="shared" si="3"/>
        <v>#NUM!</v>
      </c>
      <c r="T100" s="40">
        <f t="shared" si="4"/>
        <v>706.6954536</v>
      </c>
      <c r="U100" s="41" t="str">
        <f t="shared" si="5"/>
        <v>#NUM!</v>
      </c>
      <c r="V100" s="41" t="str">
        <f t="shared" si="6"/>
        <v>#NUM!</v>
      </c>
      <c r="W100" s="41" t="str">
        <f t="shared" si="7"/>
        <v>#NUM!</v>
      </c>
      <c r="X100" s="42" t="str">
        <f t="shared" si="8"/>
        <v>#NUM!</v>
      </c>
      <c r="Y100" s="41" t="str">
        <f t="shared" ref="Y100:Z100" si="94">U100+Y99</f>
        <v>#NUM!</v>
      </c>
      <c r="Z100" s="41" t="str">
        <f t="shared" si="94"/>
        <v>#NUM!</v>
      </c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3">
        <v>88.0</v>
      </c>
      <c r="R101" s="17">
        <f t="shared" si="2"/>
        <v>44819</v>
      </c>
      <c r="S101" s="41" t="str">
        <f t="shared" si="3"/>
        <v>#NUM!</v>
      </c>
      <c r="T101" s="40">
        <f t="shared" si="4"/>
        <v>706.6954536</v>
      </c>
      <c r="U101" s="41" t="str">
        <f t="shared" si="5"/>
        <v>#NUM!</v>
      </c>
      <c r="V101" s="41" t="str">
        <f t="shared" si="6"/>
        <v>#NUM!</v>
      </c>
      <c r="W101" s="41" t="str">
        <f t="shared" si="7"/>
        <v>#NUM!</v>
      </c>
      <c r="X101" s="42" t="str">
        <f t="shared" si="8"/>
        <v>#NUM!</v>
      </c>
      <c r="Y101" s="41" t="str">
        <f t="shared" ref="Y101:Z101" si="95">U101+Y100</f>
        <v>#NUM!</v>
      </c>
      <c r="Z101" s="41" t="str">
        <f t="shared" si="95"/>
        <v>#NUM!</v>
      </c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3">
        <v>89.0</v>
      </c>
      <c r="R102" s="17">
        <f t="shared" si="2"/>
        <v>44834</v>
      </c>
      <c r="S102" s="41" t="str">
        <f t="shared" si="3"/>
        <v>#NUM!</v>
      </c>
      <c r="T102" s="40">
        <f t="shared" si="4"/>
        <v>706.6954536</v>
      </c>
      <c r="U102" s="41" t="str">
        <f t="shared" si="5"/>
        <v>#NUM!</v>
      </c>
      <c r="V102" s="41" t="str">
        <f t="shared" si="6"/>
        <v>#NUM!</v>
      </c>
      <c r="W102" s="41" t="str">
        <f t="shared" si="7"/>
        <v>#NUM!</v>
      </c>
      <c r="X102" s="42" t="str">
        <f t="shared" si="8"/>
        <v>#NUM!</v>
      </c>
      <c r="Y102" s="41" t="str">
        <f t="shared" ref="Y102:Z102" si="96">U102+Y101</f>
        <v>#NUM!</v>
      </c>
      <c r="Z102" s="41" t="str">
        <f t="shared" si="96"/>
        <v>#NUM!</v>
      </c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3">
        <v>90.0</v>
      </c>
      <c r="R103" s="17">
        <f t="shared" si="2"/>
        <v>44849</v>
      </c>
      <c r="S103" s="41" t="str">
        <f t="shared" si="3"/>
        <v>#NUM!</v>
      </c>
      <c r="T103" s="40">
        <f t="shared" si="4"/>
        <v>706.6954536</v>
      </c>
      <c r="U103" s="41" t="str">
        <f t="shared" si="5"/>
        <v>#NUM!</v>
      </c>
      <c r="V103" s="41" t="str">
        <f t="shared" si="6"/>
        <v>#NUM!</v>
      </c>
      <c r="W103" s="41" t="str">
        <f t="shared" si="7"/>
        <v>#NUM!</v>
      </c>
      <c r="X103" s="42" t="str">
        <f t="shared" si="8"/>
        <v>#NUM!</v>
      </c>
      <c r="Y103" s="41" t="str">
        <f t="shared" ref="Y103:Z103" si="97">U103+Y102</f>
        <v>#NUM!</v>
      </c>
      <c r="Z103" s="41" t="str">
        <f t="shared" si="97"/>
        <v>#NUM!</v>
      </c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3">
        <v>91.0</v>
      </c>
      <c r="R104" s="17">
        <f t="shared" si="2"/>
        <v>44865</v>
      </c>
      <c r="S104" s="41" t="str">
        <f t="shared" si="3"/>
        <v>#NUM!</v>
      </c>
      <c r="T104" s="40">
        <f t="shared" si="4"/>
        <v>706.6954536</v>
      </c>
      <c r="U104" s="41" t="str">
        <f t="shared" si="5"/>
        <v>#NUM!</v>
      </c>
      <c r="V104" s="41" t="str">
        <f t="shared" si="6"/>
        <v>#NUM!</v>
      </c>
      <c r="W104" s="41" t="str">
        <f t="shared" si="7"/>
        <v>#NUM!</v>
      </c>
      <c r="X104" s="42" t="str">
        <f t="shared" si="8"/>
        <v>#NUM!</v>
      </c>
      <c r="Y104" s="41" t="str">
        <f t="shared" ref="Y104:Z104" si="98">U104+Y103</f>
        <v>#NUM!</v>
      </c>
      <c r="Z104" s="41" t="str">
        <f t="shared" si="98"/>
        <v>#NUM!</v>
      </c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3">
        <v>92.0</v>
      </c>
      <c r="R105" s="17">
        <f t="shared" si="2"/>
        <v>44880</v>
      </c>
      <c r="S105" s="41" t="str">
        <f t="shared" si="3"/>
        <v>#NUM!</v>
      </c>
      <c r="T105" s="40">
        <f t="shared" si="4"/>
        <v>706.6954536</v>
      </c>
      <c r="U105" s="41" t="str">
        <f t="shared" si="5"/>
        <v>#NUM!</v>
      </c>
      <c r="V105" s="41" t="str">
        <f t="shared" si="6"/>
        <v>#NUM!</v>
      </c>
      <c r="W105" s="41" t="str">
        <f t="shared" si="7"/>
        <v>#NUM!</v>
      </c>
      <c r="X105" s="42" t="str">
        <f t="shared" si="8"/>
        <v>#NUM!</v>
      </c>
      <c r="Y105" s="41" t="str">
        <f t="shared" ref="Y105:Z105" si="99">U105+Y104</f>
        <v>#NUM!</v>
      </c>
      <c r="Z105" s="41" t="str">
        <f t="shared" si="99"/>
        <v>#NUM!</v>
      </c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3">
        <v>93.0</v>
      </c>
      <c r="R106" s="17">
        <f t="shared" si="2"/>
        <v>44895</v>
      </c>
      <c r="S106" s="41" t="str">
        <f t="shared" si="3"/>
        <v>#NUM!</v>
      </c>
      <c r="T106" s="40">
        <f t="shared" si="4"/>
        <v>706.6954536</v>
      </c>
      <c r="U106" s="41" t="str">
        <f t="shared" si="5"/>
        <v>#NUM!</v>
      </c>
      <c r="V106" s="41" t="str">
        <f t="shared" si="6"/>
        <v>#NUM!</v>
      </c>
      <c r="W106" s="41" t="str">
        <f t="shared" si="7"/>
        <v>#NUM!</v>
      </c>
      <c r="X106" s="42" t="str">
        <f t="shared" si="8"/>
        <v>#NUM!</v>
      </c>
      <c r="Y106" s="41" t="str">
        <f t="shared" ref="Y106:Z106" si="100">U106+Y105</f>
        <v>#NUM!</v>
      </c>
      <c r="Z106" s="41" t="str">
        <f t="shared" si="100"/>
        <v>#NUM!</v>
      </c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3">
        <v>94.0</v>
      </c>
      <c r="R107" s="17">
        <f t="shared" si="2"/>
        <v>44910</v>
      </c>
      <c r="S107" s="41" t="str">
        <f t="shared" si="3"/>
        <v>#NUM!</v>
      </c>
      <c r="T107" s="40">
        <f t="shared" si="4"/>
        <v>706.6954536</v>
      </c>
      <c r="U107" s="41" t="str">
        <f t="shared" si="5"/>
        <v>#NUM!</v>
      </c>
      <c r="V107" s="41" t="str">
        <f t="shared" si="6"/>
        <v>#NUM!</v>
      </c>
      <c r="W107" s="41" t="str">
        <f t="shared" si="7"/>
        <v>#NUM!</v>
      </c>
      <c r="X107" s="42" t="str">
        <f t="shared" si="8"/>
        <v>#NUM!</v>
      </c>
      <c r="Y107" s="41" t="str">
        <f t="shared" ref="Y107:Z107" si="101">U107+Y106</f>
        <v>#NUM!</v>
      </c>
      <c r="Z107" s="41" t="str">
        <f t="shared" si="101"/>
        <v>#NUM!</v>
      </c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3">
        <v>95.0</v>
      </c>
      <c r="R108" s="17">
        <f t="shared" si="2"/>
        <v>44926</v>
      </c>
      <c r="S108" s="41" t="str">
        <f t="shared" si="3"/>
        <v>#NUM!</v>
      </c>
      <c r="T108" s="40">
        <f t="shared" si="4"/>
        <v>706.6954536</v>
      </c>
      <c r="U108" s="41" t="str">
        <f t="shared" si="5"/>
        <v>#NUM!</v>
      </c>
      <c r="V108" s="41" t="str">
        <f t="shared" si="6"/>
        <v>#NUM!</v>
      </c>
      <c r="W108" s="41" t="str">
        <f t="shared" si="7"/>
        <v>#NUM!</v>
      </c>
      <c r="X108" s="42" t="str">
        <f t="shared" si="8"/>
        <v>#NUM!</v>
      </c>
      <c r="Y108" s="41" t="str">
        <f t="shared" ref="Y108:Z108" si="102">U108+Y107</f>
        <v>#NUM!</v>
      </c>
      <c r="Z108" s="41" t="str">
        <f t="shared" si="102"/>
        <v>#NUM!</v>
      </c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3">
        <v>96.0</v>
      </c>
      <c r="R109" s="17">
        <f t="shared" si="2"/>
        <v>44941</v>
      </c>
      <c r="S109" s="41" t="str">
        <f t="shared" si="3"/>
        <v>#NUM!</v>
      </c>
      <c r="T109" s="40">
        <f t="shared" si="4"/>
        <v>706.6954536</v>
      </c>
      <c r="U109" s="41" t="str">
        <f t="shared" si="5"/>
        <v>#NUM!</v>
      </c>
      <c r="V109" s="41" t="str">
        <f t="shared" si="6"/>
        <v>#NUM!</v>
      </c>
      <c r="W109" s="41" t="str">
        <f t="shared" si="7"/>
        <v>#NUM!</v>
      </c>
      <c r="X109" s="42" t="str">
        <f t="shared" si="8"/>
        <v>#NUM!</v>
      </c>
      <c r="Y109" s="41" t="str">
        <f t="shared" ref="Y109:Z109" si="103">U109+Y108</f>
        <v>#NUM!</v>
      </c>
      <c r="Z109" s="41" t="str">
        <f t="shared" si="103"/>
        <v>#NUM!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3">
        <v>97.0</v>
      </c>
      <c r="R110" s="17">
        <f t="shared" si="2"/>
        <v>44957</v>
      </c>
      <c r="S110" s="41" t="str">
        <f t="shared" si="3"/>
        <v>#NUM!</v>
      </c>
      <c r="T110" s="40">
        <f t="shared" si="4"/>
        <v>706.6954536</v>
      </c>
      <c r="U110" s="41" t="str">
        <f t="shared" si="5"/>
        <v>#NUM!</v>
      </c>
      <c r="V110" s="41" t="str">
        <f t="shared" si="6"/>
        <v>#NUM!</v>
      </c>
      <c r="W110" s="41" t="str">
        <f t="shared" si="7"/>
        <v>#NUM!</v>
      </c>
      <c r="X110" s="42" t="str">
        <f t="shared" si="8"/>
        <v>#NUM!</v>
      </c>
      <c r="Y110" s="41" t="str">
        <f t="shared" ref="Y110:Z110" si="104">U110+Y109</f>
        <v>#NUM!</v>
      </c>
      <c r="Z110" s="41" t="str">
        <f t="shared" si="104"/>
        <v>#NUM!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3">
        <v>98.0</v>
      </c>
      <c r="R111" s="17">
        <f t="shared" si="2"/>
        <v>44972</v>
      </c>
      <c r="S111" s="41" t="str">
        <f t="shared" si="3"/>
        <v>#NUM!</v>
      </c>
      <c r="T111" s="40">
        <f t="shared" si="4"/>
        <v>706.6954536</v>
      </c>
      <c r="U111" s="41" t="str">
        <f t="shared" si="5"/>
        <v>#NUM!</v>
      </c>
      <c r="V111" s="41" t="str">
        <f t="shared" si="6"/>
        <v>#NUM!</v>
      </c>
      <c r="W111" s="41" t="str">
        <f t="shared" si="7"/>
        <v>#NUM!</v>
      </c>
      <c r="X111" s="42" t="str">
        <f t="shared" si="8"/>
        <v>#NUM!</v>
      </c>
      <c r="Y111" s="41" t="str">
        <f t="shared" ref="Y111:Z111" si="105">U111+Y110</f>
        <v>#NUM!</v>
      </c>
      <c r="Z111" s="41" t="str">
        <f t="shared" si="105"/>
        <v>#NUM!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3">
        <v>99.0</v>
      </c>
      <c r="R112" s="17">
        <f t="shared" si="2"/>
        <v>44985</v>
      </c>
      <c r="S112" s="41" t="str">
        <f t="shared" si="3"/>
        <v>#NUM!</v>
      </c>
      <c r="T112" s="40">
        <f t="shared" si="4"/>
        <v>706.6954536</v>
      </c>
      <c r="U112" s="41" t="str">
        <f t="shared" si="5"/>
        <v>#NUM!</v>
      </c>
      <c r="V112" s="41" t="str">
        <f t="shared" si="6"/>
        <v>#NUM!</v>
      </c>
      <c r="W112" s="41" t="str">
        <f t="shared" si="7"/>
        <v>#NUM!</v>
      </c>
      <c r="X112" s="42" t="str">
        <f t="shared" si="8"/>
        <v>#NUM!</v>
      </c>
      <c r="Y112" s="41" t="str">
        <f t="shared" ref="Y112:Z112" si="106">U112+Y111</f>
        <v>#NUM!</v>
      </c>
      <c r="Z112" s="41" t="str">
        <f t="shared" si="106"/>
        <v>#NUM!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3">
        <v>100.0</v>
      </c>
      <c r="R113" s="17">
        <f t="shared" si="2"/>
        <v>45000</v>
      </c>
      <c r="S113" s="41" t="str">
        <f t="shared" si="3"/>
        <v>#NUM!</v>
      </c>
      <c r="T113" s="40">
        <f t="shared" si="4"/>
        <v>706.6954536</v>
      </c>
      <c r="U113" s="41" t="str">
        <f t="shared" si="5"/>
        <v>#NUM!</v>
      </c>
      <c r="V113" s="41" t="str">
        <f t="shared" si="6"/>
        <v>#NUM!</v>
      </c>
      <c r="W113" s="41" t="str">
        <f t="shared" si="7"/>
        <v>#NUM!</v>
      </c>
      <c r="X113" s="42" t="str">
        <f t="shared" si="8"/>
        <v>#NUM!</v>
      </c>
      <c r="Y113" s="41" t="str">
        <f t="shared" ref="Y113:Z113" si="107">U113+Y112</f>
        <v>#NUM!</v>
      </c>
      <c r="Z113" s="41" t="str">
        <f t="shared" si="107"/>
        <v>#NUM!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3">
        <v>101.0</v>
      </c>
      <c r="R114" s="17">
        <f t="shared" si="2"/>
        <v>45016</v>
      </c>
      <c r="S114" s="41" t="str">
        <f t="shared" si="3"/>
        <v>#NUM!</v>
      </c>
      <c r="T114" s="40">
        <f t="shared" si="4"/>
        <v>706.6954536</v>
      </c>
      <c r="U114" s="41" t="str">
        <f t="shared" si="5"/>
        <v>#NUM!</v>
      </c>
      <c r="V114" s="41" t="str">
        <f t="shared" si="6"/>
        <v>#NUM!</v>
      </c>
      <c r="W114" s="41" t="str">
        <f t="shared" si="7"/>
        <v>#NUM!</v>
      </c>
      <c r="X114" s="42" t="str">
        <f t="shared" si="8"/>
        <v>#NUM!</v>
      </c>
      <c r="Y114" s="41" t="str">
        <f t="shared" ref="Y114:Z114" si="108">U114+Y113</f>
        <v>#NUM!</v>
      </c>
      <c r="Z114" s="41" t="str">
        <f t="shared" si="108"/>
        <v>#NUM!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3">
        <v>102.0</v>
      </c>
      <c r="R115" s="17">
        <f t="shared" si="2"/>
        <v>45031</v>
      </c>
      <c r="S115" s="41" t="str">
        <f t="shared" si="3"/>
        <v>#NUM!</v>
      </c>
      <c r="T115" s="40">
        <f t="shared" si="4"/>
        <v>706.6954536</v>
      </c>
      <c r="U115" s="41" t="str">
        <f t="shared" si="5"/>
        <v>#NUM!</v>
      </c>
      <c r="V115" s="41" t="str">
        <f t="shared" si="6"/>
        <v>#NUM!</v>
      </c>
      <c r="W115" s="41" t="str">
        <f t="shared" si="7"/>
        <v>#NUM!</v>
      </c>
      <c r="X115" s="42" t="str">
        <f t="shared" si="8"/>
        <v>#NUM!</v>
      </c>
      <c r="Y115" s="41" t="str">
        <f t="shared" ref="Y115:Z115" si="109">U115+Y114</f>
        <v>#NUM!</v>
      </c>
      <c r="Z115" s="41" t="str">
        <f t="shared" si="109"/>
        <v>#NUM!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3">
        <v>103.0</v>
      </c>
      <c r="R116" s="17">
        <f t="shared" si="2"/>
        <v>45046</v>
      </c>
      <c r="S116" s="41" t="str">
        <f t="shared" si="3"/>
        <v>#NUM!</v>
      </c>
      <c r="T116" s="40">
        <f t="shared" si="4"/>
        <v>706.6954536</v>
      </c>
      <c r="U116" s="41" t="str">
        <f t="shared" si="5"/>
        <v>#NUM!</v>
      </c>
      <c r="V116" s="41" t="str">
        <f t="shared" si="6"/>
        <v>#NUM!</v>
      </c>
      <c r="W116" s="41" t="str">
        <f t="shared" si="7"/>
        <v>#NUM!</v>
      </c>
      <c r="X116" s="42" t="str">
        <f t="shared" si="8"/>
        <v>#NUM!</v>
      </c>
      <c r="Y116" s="41" t="str">
        <f t="shared" ref="Y116:Z116" si="110">U116+Y115</f>
        <v>#NUM!</v>
      </c>
      <c r="Z116" s="41" t="str">
        <f t="shared" si="110"/>
        <v>#NUM!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3">
        <v>104.0</v>
      </c>
      <c r="R117" s="17">
        <f t="shared" si="2"/>
        <v>45061</v>
      </c>
      <c r="S117" s="41" t="str">
        <f t="shared" si="3"/>
        <v>#NUM!</v>
      </c>
      <c r="T117" s="40">
        <f t="shared" si="4"/>
        <v>706.6954536</v>
      </c>
      <c r="U117" s="41" t="str">
        <f t="shared" si="5"/>
        <v>#NUM!</v>
      </c>
      <c r="V117" s="41" t="str">
        <f t="shared" si="6"/>
        <v>#NUM!</v>
      </c>
      <c r="W117" s="41" t="str">
        <f t="shared" si="7"/>
        <v>#NUM!</v>
      </c>
      <c r="X117" s="42" t="str">
        <f t="shared" si="8"/>
        <v>#NUM!</v>
      </c>
      <c r="Y117" s="41" t="str">
        <f t="shared" ref="Y117:Z117" si="111">U117+Y116</f>
        <v>#NUM!</v>
      </c>
      <c r="Z117" s="41" t="str">
        <f t="shared" si="111"/>
        <v>#NUM!</v>
      </c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3">
        <v>105.0</v>
      </c>
      <c r="R118" s="17">
        <f t="shared" si="2"/>
        <v>45077</v>
      </c>
      <c r="S118" s="41" t="str">
        <f t="shared" si="3"/>
        <v>#NUM!</v>
      </c>
      <c r="T118" s="40">
        <f t="shared" si="4"/>
        <v>706.6954536</v>
      </c>
      <c r="U118" s="41" t="str">
        <f t="shared" si="5"/>
        <v>#NUM!</v>
      </c>
      <c r="V118" s="41" t="str">
        <f t="shared" si="6"/>
        <v>#NUM!</v>
      </c>
      <c r="W118" s="41" t="str">
        <f t="shared" si="7"/>
        <v>#NUM!</v>
      </c>
      <c r="X118" s="42" t="str">
        <f t="shared" si="8"/>
        <v>#NUM!</v>
      </c>
      <c r="Y118" s="41" t="str">
        <f t="shared" ref="Y118:Z118" si="112">U118+Y117</f>
        <v>#NUM!</v>
      </c>
      <c r="Z118" s="41" t="str">
        <f t="shared" si="112"/>
        <v>#NUM!</v>
      </c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3">
        <v>106.0</v>
      </c>
      <c r="R119" s="17">
        <f t="shared" si="2"/>
        <v>45092</v>
      </c>
      <c r="S119" s="41" t="str">
        <f t="shared" si="3"/>
        <v>#NUM!</v>
      </c>
      <c r="T119" s="40">
        <f t="shared" si="4"/>
        <v>706.6954536</v>
      </c>
      <c r="U119" s="41" t="str">
        <f t="shared" si="5"/>
        <v>#NUM!</v>
      </c>
      <c r="V119" s="41" t="str">
        <f t="shared" si="6"/>
        <v>#NUM!</v>
      </c>
      <c r="W119" s="41" t="str">
        <f t="shared" si="7"/>
        <v>#NUM!</v>
      </c>
      <c r="X119" s="42" t="str">
        <f t="shared" si="8"/>
        <v>#NUM!</v>
      </c>
      <c r="Y119" s="41" t="str">
        <f t="shared" ref="Y119:Z119" si="113">U119+Y118</f>
        <v>#NUM!</v>
      </c>
      <c r="Z119" s="41" t="str">
        <f t="shared" si="113"/>
        <v>#NUM!</v>
      </c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3">
        <v>107.0</v>
      </c>
      <c r="R120" s="17">
        <f t="shared" si="2"/>
        <v>45107</v>
      </c>
      <c r="S120" s="41" t="str">
        <f t="shared" si="3"/>
        <v>#NUM!</v>
      </c>
      <c r="T120" s="40">
        <f t="shared" si="4"/>
        <v>706.6954536</v>
      </c>
      <c r="U120" s="41" t="str">
        <f t="shared" si="5"/>
        <v>#NUM!</v>
      </c>
      <c r="V120" s="41" t="str">
        <f t="shared" si="6"/>
        <v>#NUM!</v>
      </c>
      <c r="W120" s="41" t="str">
        <f t="shared" si="7"/>
        <v>#NUM!</v>
      </c>
      <c r="X120" s="42" t="str">
        <f t="shared" si="8"/>
        <v>#NUM!</v>
      </c>
      <c r="Y120" s="41" t="str">
        <f t="shared" ref="Y120:Z120" si="114">U120+Y119</f>
        <v>#NUM!</v>
      </c>
      <c r="Z120" s="41" t="str">
        <f t="shared" si="114"/>
        <v>#NUM!</v>
      </c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3">
        <v>108.0</v>
      </c>
      <c r="R121" s="17">
        <f t="shared" si="2"/>
        <v>45122</v>
      </c>
      <c r="S121" s="41" t="str">
        <f t="shared" si="3"/>
        <v>#NUM!</v>
      </c>
      <c r="T121" s="40">
        <f t="shared" si="4"/>
        <v>706.6954536</v>
      </c>
      <c r="U121" s="41" t="str">
        <f t="shared" si="5"/>
        <v>#NUM!</v>
      </c>
      <c r="V121" s="41" t="str">
        <f t="shared" si="6"/>
        <v>#NUM!</v>
      </c>
      <c r="W121" s="41" t="str">
        <f t="shared" si="7"/>
        <v>#NUM!</v>
      </c>
      <c r="X121" s="42" t="str">
        <f t="shared" si="8"/>
        <v>#NUM!</v>
      </c>
      <c r="Y121" s="41" t="str">
        <f t="shared" ref="Y121:Z121" si="115">U121+Y120</f>
        <v>#NUM!</v>
      </c>
      <c r="Z121" s="41" t="str">
        <f t="shared" si="115"/>
        <v>#NUM!</v>
      </c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3">
        <v>109.0</v>
      </c>
      <c r="R122" s="17">
        <f t="shared" si="2"/>
        <v>45138</v>
      </c>
      <c r="S122" s="41" t="str">
        <f t="shared" si="3"/>
        <v>#NUM!</v>
      </c>
      <c r="T122" s="40">
        <f t="shared" si="4"/>
        <v>706.6954536</v>
      </c>
      <c r="U122" s="41" t="str">
        <f t="shared" si="5"/>
        <v>#NUM!</v>
      </c>
      <c r="V122" s="41" t="str">
        <f t="shared" si="6"/>
        <v>#NUM!</v>
      </c>
      <c r="W122" s="41" t="str">
        <f t="shared" si="7"/>
        <v>#NUM!</v>
      </c>
      <c r="X122" s="42" t="str">
        <f t="shared" si="8"/>
        <v>#NUM!</v>
      </c>
      <c r="Y122" s="41" t="str">
        <f t="shared" ref="Y122:Z122" si="116">U122+Y121</f>
        <v>#NUM!</v>
      </c>
      <c r="Z122" s="41" t="str">
        <f t="shared" si="116"/>
        <v>#NUM!</v>
      </c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3">
        <v>110.0</v>
      </c>
      <c r="R123" s="17">
        <f t="shared" si="2"/>
        <v>45153</v>
      </c>
      <c r="S123" s="41" t="str">
        <f t="shared" si="3"/>
        <v>#NUM!</v>
      </c>
      <c r="T123" s="40">
        <f t="shared" si="4"/>
        <v>706.6954536</v>
      </c>
      <c r="U123" s="41" t="str">
        <f t="shared" si="5"/>
        <v>#NUM!</v>
      </c>
      <c r="V123" s="41" t="str">
        <f t="shared" si="6"/>
        <v>#NUM!</v>
      </c>
      <c r="W123" s="41" t="str">
        <f t="shared" si="7"/>
        <v>#NUM!</v>
      </c>
      <c r="X123" s="42" t="str">
        <f t="shared" si="8"/>
        <v>#NUM!</v>
      </c>
      <c r="Y123" s="41" t="str">
        <f t="shared" ref="Y123:Z123" si="117">U123+Y122</f>
        <v>#NUM!</v>
      </c>
      <c r="Z123" s="41" t="str">
        <f t="shared" si="117"/>
        <v>#NUM!</v>
      </c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3">
        <v>111.0</v>
      </c>
      <c r="R124" s="17">
        <f t="shared" si="2"/>
        <v>45169</v>
      </c>
      <c r="S124" s="41" t="str">
        <f t="shared" si="3"/>
        <v>#NUM!</v>
      </c>
      <c r="T124" s="40">
        <f t="shared" si="4"/>
        <v>706.6954536</v>
      </c>
      <c r="U124" s="41" t="str">
        <f t="shared" si="5"/>
        <v>#NUM!</v>
      </c>
      <c r="V124" s="41" t="str">
        <f t="shared" si="6"/>
        <v>#NUM!</v>
      </c>
      <c r="W124" s="41" t="str">
        <f t="shared" si="7"/>
        <v>#NUM!</v>
      </c>
      <c r="X124" s="42" t="str">
        <f t="shared" si="8"/>
        <v>#NUM!</v>
      </c>
      <c r="Y124" s="41" t="str">
        <f t="shared" ref="Y124:Z124" si="118">U124+Y123</f>
        <v>#NUM!</v>
      </c>
      <c r="Z124" s="41" t="str">
        <f t="shared" si="118"/>
        <v>#NUM!</v>
      </c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3">
        <v>112.0</v>
      </c>
      <c r="R125" s="17">
        <f t="shared" si="2"/>
        <v>45184</v>
      </c>
      <c r="S125" s="41" t="str">
        <f t="shared" si="3"/>
        <v>#NUM!</v>
      </c>
      <c r="T125" s="40">
        <f t="shared" si="4"/>
        <v>706.6954536</v>
      </c>
      <c r="U125" s="41" t="str">
        <f t="shared" si="5"/>
        <v>#NUM!</v>
      </c>
      <c r="V125" s="41" t="str">
        <f t="shared" si="6"/>
        <v>#NUM!</v>
      </c>
      <c r="W125" s="41" t="str">
        <f t="shared" si="7"/>
        <v>#NUM!</v>
      </c>
      <c r="X125" s="42" t="str">
        <f t="shared" si="8"/>
        <v>#NUM!</v>
      </c>
      <c r="Y125" s="41" t="str">
        <f t="shared" ref="Y125:Z125" si="119">U125+Y124</f>
        <v>#NUM!</v>
      </c>
      <c r="Z125" s="41" t="str">
        <f t="shared" si="119"/>
        <v>#NUM!</v>
      </c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3">
        <v>113.0</v>
      </c>
      <c r="R126" s="17">
        <f t="shared" si="2"/>
        <v>45199</v>
      </c>
      <c r="S126" s="41" t="str">
        <f t="shared" si="3"/>
        <v>#NUM!</v>
      </c>
      <c r="T126" s="40">
        <f t="shared" si="4"/>
        <v>706.6954536</v>
      </c>
      <c r="U126" s="41" t="str">
        <f t="shared" si="5"/>
        <v>#NUM!</v>
      </c>
      <c r="V126" s="41" t="str">
        <f t="shared" si="6"/>
        <v>#NUM!</v>
      </c>
      <c r="W126" s="41" t="str">
        <f t="shared" si="7"/>
        <v>#NUM!</v>
      </c>
      <c r="X126" s="42" t="str">
        <f t="shared" si="8"/>
        <v>#NUM!</v>
      </c>
      <c r="Y126" s="41" t="str">
        <f t="shared" ref="Y126:Z126" si="120">U126+Y125</f>
        <v>#NUM!</v>
      </c>
      <c r="Z126" s="41" t="str">
        <f t="shared" si="120"/>
        <v>#NUM!</v>
      </c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3">
        <v>114.0</v>
      </c>
      <c r="R127" s="17">
        <f t="shared" si="2"/>
        <v>45214</v>
      </c>
      <c r="S127" s="41" t="str">
        <f t="shared" si="3"/>
        <v>#NUM!</v>
      </c>
      <c r="T127" s="40">
        <f t="shared" si="4"/>
        <v>706.6954536</v>
      </c>
      <c r="U127" s="41" t="str">
        <f t="shared" si="5"/>
        <v>#NUM!</v>
      </c>
      <c r="V127" s="41" t="str">
        <f t="shared" si="6"/>
        <v>#NUM!</v>
      </c>
      <c r="W127" s="41" t="str">
        <f t="shared" si="7"/>
        <v>#NUM!</v>
      </c>
      <c r="X127" s="42" t="str">
        <f t="shared" si="8"/>
        <v>#NUM!</v>
      </c>
      <c r="Y127" s="41" t="str">
        <f t="shared" ref="Y127:Z127" si="121">U127+Y126</f>
        <v>#NUM!</v>
      </c>
      <c r="Z127" s="41" t="str">
        <f t="shared" si="121"/>
        <v>#NUM!</v>
      </c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3">
        <v>115.0</v>
      </c>
      <c r="R128" s="17">
        <f t="shared" si="2"/>
        <v>45230</v>
      </c>
      <c r="S128" s="41" t="str">
        <f t="shared" si="3"/>
        <v>#NUM!</v>
      </c>
      <c r="T128" s="40">
        <f t="shared" si="4"/>
        <v>706.6954536</v>
      </c>
      <c r="U128" s="41" t="str">
        <f t="shared" si="5"/>
        <v>#NUM!</v>
      </c>
      <c r="V128" s="41" t="str">
        <f t="shared" si="6"/>
        <v>#NUM!</v>
      </c>
      <c r="W128" s="41" t="str">
        <f t="shared" si="7"/>
        <v>#NUM!</v>
      </c>
      <c r="X128" s="42" t="str">
        <f t="shared" si="8"/>
        <v>#NUM!</v>
      </c>
      <c r="Y128" s="41" t="str">
        <f t="shared" ref="Y128:Z128" si="122">U128+Y127</f>
        <v>#NUM!</v>
      </c>
      <c r="Z128" s="41" t="str">
        <f t="shared" si="122"/>
        <v>#NUM!</v>
      </c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3">
        <v>116.0</v>
      </c>
      <c r="R129" s="17">
        <f t="shared" si="2"/>
        <v>45245</v>
      </c>
      <c r="S129" s="41" t="str">
        <f t="shared" si="3"/>
        <v>#NUM!</v>
      </c>
      <c r="T129" s="40">
        <f t="shared" si="4"/>
        <v>706.6954536</v>
      </c>
      <c r="U129" s="41" t="str">
        <f t="shared" si="5"/>
        <v>#NUM!</v>
      </c>
      <c r="V129" s="41" t="str">
        <f t="shared" si="6"/>
        <v>#NUM!</v>
      </c>
      <c r="W129" s="41" t="str">
        <f t="shared" si="7"/>
        <v>#NUM!</v>
      </c>
      <c r="X129" s="42" t="str">
        <f t="shared" si="8"/>
        <v>#NUM!</v>
      </c>
      <c r="Y129" s="41" t="str">
        <f t="shared" ref="Y129:Z129" si="123">U129+Y128</f>
        <v>#NUM!</v>
      </c>
      <c r="Z129" s="41" t="str">
        <f t="shared" si="123"/>
        <v>#NUM!</v>
      </c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3">
        <v>117.0</v>
      </c>
      <c r="R130" s="17">
        <f t="shared" si="2"/>
        <v>45260</v>
      </c>
      <c r="S130" s="41" t="str">
        <f t="shared" si="3"/>
        <v>#NUM!</v>
      </c>
      <c r="T130" s="40">
        <f t="shared" si="4"/>
        <v>706.6954536</v>
      </c>
      <c r="U130" s="41" t="str">
        <f t="shared" si="5"/>
        <v>#NUM!</v>
      </c>
      <c r="V130" s="41" t="str">
        <f t="shared" si="6"/>
        <v>#NUM!</v>
      </c>
      <c r="W130" s="41" t="str">
        <f t="shared" si="7"/>
        <v>#NUM!</v>
      </c>
      <c r="X130" s="42" t="str">
        <f t="shared" si="8"/>
        <v>#NUM!</v>
      </c>
      <c r="Y130" s="41" t="str">
        <f t="shared" ref="Y130:Z130" si="124">U130+Y129</f>
        <v>#NUM!</v>
      </c>
      <c r="Z130" s="41" t="str">
        <f t="shared" si="124"/>
        <v>#NUM!</v>
      </c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3">
        <v>118.0</v>
      </c>
      <c r="R131" s="17">
        <f t="shared" si="2"/>
        <v>45275</v>
      </c>
      <c r="S131" s="41" t="str">
        <f t="shared" si="3"/>
        <v>#NUM!</v>
      </c>
      <c r="T131" s="40">
        <f t="shared" si="4"/>
        <v>706.6954536</v>
      </c>
      <c r="U131" s="41" t="str">
        <f t="shared" si="5"/>
        <v>#NUM!</v>
      </c>
      <c r="V131" s="41" t="str">
        <f t="shared" si="6"/>
        <v>#NUM!</v>
      </c>
      <c r="W131" s="41" t="str">
        <f t="shared" si="7"/>
        <v>#NUM!</v>
      </c>
      <c r="X131" s="42" t="str">
        <f t="shared" si="8"/>
        <v>#NUM!</v>
      </c>
      <c r="Y131" s="41" t="str">
        <f t="shared" ref="Y131:Z131" si="125">U131+Y130</f>
        <v>#NUM!</v>
      </c>
      <c r="Z131" s="41" t="str">
        <f t="shared" si="125"/>
        <v>#NUM!</v>
      </c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3">
        <v>119.0</v>
      </c>
      <c r="R132" s="17">
        <f t="shared" si="2"/>
        <v>45291</v>
      </c>
      <c r="S132" s="41" t="str">
        <f t="shared" si="3"/>
        <v>#NUM!</v>
      </c>
      <c r="T132" s="40">
        <f t="shared" si="4"/>
        <v>706.6954536</v>
      </c>
      <c r="U132" s="41" t="str">
        <f t="shared" si="5"/>
        <v>#NUM!</v>
      </c>
      <c r="V132" s="41" t="str">
        <f t="shared" si="6"/>
        <v>#NUM!</v>
      </c>
      <c r="W132" s="41" t="str">
        <f t="shared" si="7"/>
        <v>#NUM!</v>
      </c>
      <c r="X132" s="42" t="str">
        <f t="shared" si="8"/>
        <v>#NUM!</v>
      </c>
      <c r="Y132" s="41" t="str">
        <f t="shared" ref="Y132:Z132" si="126">U132+Y131</f>
        <v>#NUM!</v>
      </c>
      <c r="Z132" s="41" t="str">
        <f t="shared" si="126"/>
        <v>#NUM!</v>
      </c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3">
        <v>120.0</v>
      </c>
      <c r="R133" s="17">
        <f t="shared" si="2"/>
        <v>45306</v>
      </c>
      <c r="S133" s="41" t="str">
        <f t="shared" si="3"/>
        <v>#NUM!</v>
      </c>
      <c r="T133" s="40">
        <f t="shared" si="4"/>
        <v>706.6954536</v>
      </c>
      <c r="U133" s="41" t="str">
        <f t="shared" si="5"/>
        <v>#NUM!</v>
      </c>
      <c r="V133" s="41" t="str">
        <f t="shared" si="6"/>
        <v>#NUM!</v>
      </c>
      <c r="W133" s="41" t="str">
        <f t="shared" si="7"/>
        <v>#NUM!</v>
      </c>
      <c r="X133" s="42" t="str">
        <f t="shared" si="8"/>
        <v>#NUM!</v>
      </c>
      <c r="Y133" s="41" t="str">
        <f t="shared" ref="Y133:Z133" si="127">U133+Y132</f>
        <v>#NUM!</v>
      </c>
      <c r="Z133" s="41" t="str">
        <f t="shared" si="127"/>
        <v>#NUM!</v>
      </c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3">
        <v>121.0</v>
      </c>
      <c r="R134" s="17">
        <f t="shared" si="2"/>
        <v>45322</v>
      </c>
      <c r="S134" s="41" t="str">
        <f t="shared" si="3"/>
        <v>#NUM!</v>
      </c>
      <c r="T134" s="40">
        <f t="shared" si="4"/>
        <v>706.6954536</v>
      </c>
      <c r="U134" s="41" t="str">
        <f t="shared" si="5"/>
        <v>#NUM!</v>
      </c>
      <c r="V134" s="41" t="str">
        <f t="shared" si="6"/>
        <v>#NUM!</v>
      </c>
      <c r="W134" s="41" t="str">
        <f t="shared" si="7"/>
        <v>#NUM!</v>
      </c>
      <c r="X134" s="42" t="str">
        <f t="shared" si="8"/>
        <v>#NUM!</v>
      </c>
      <c r="Y134" s="41" t="str">
        <f t="shared" ref="Y134:Z134" si="128">U134+Y133</f>
        <v>#NUM!</v>
      </c>
      <c r="Z134" s="41" t="str">
        <f t="shared" si="128"/>
        <v>#NUM!</v>
      </c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3">
        <v>122.0</v>
      </c>
      <c r="R135" s="17">
        <f t="shared" si="2"/>
        <v>45337</v>
      </c>
      <c r="S135" s="41" t="str">
        <f t="shared" si="3"/>
        <v>#NUM!</v>
      </c>
      <c r="T135" s="40">
        <f t="shared" si="4"/>
        <v>706.6954536</v>
      </c>
      <c r="U135" s="41" t="str">
        <f t="shared" si="5"/>
        <v>#NUM!</v>
      </c>
      <c r="V135" s="41" t="str">
        <f t="shared" si="6"/>
        <v>#NUM!</v>
      </c>
      <c r="W135" s="41" t="str">
        <f t="shared" si="7"/>
        <v>#NUM!</v>
      </c>
      <c r="X135" s="42" t="str">
        <f t="shared" si="8"/>
        <v>#NUM!</v>
      </c>
      <c r="Y135" s="41" t="str">
        <f t="shared" ref="Y135:Z135" si="129">U135+Y134</f>
        <v>#NUM!</v>
      </c>
      <c r="Z135" s="41" t="str">
        <f t="shared" si="129"/>
        <v>#NUM!</v>
      </c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3">
        <v>123.0</v>
      </c>
      <c r="R136" s="17">
        <f t="shared" si="2"/>
        <v>45351</v>
      </c>
      <c r="S136" s="41" t="str">
        <f t="shared" si="3"/>
        <v>#NUM!</v>
      </c>
      <c r="T136" s="40">
        <f t="shared" si="4"/>
        <v>706.6954536</v>
      </c>
      <c r="U136" s="41" t="str">
        <f t="shared" si="5"/>
        <v>#NUM!</v>
      </c>
      <c r="V136" s="41" t="str">
        <f t="shared" si="6"/>
        <v>#NUM!</v>
      </c>
      <c r="W136" s="41" t="str">
        <f t="shared" si="7"/>
        <v>#NUM!</v>
      </c>
      <c r="X136" s="42" t="str">
        <f t="shared" si="8"/>
        <v>#NUM!</v>
      </c>
      <c r="Y136" s="41" t="str">
        <f t="shared" ref="Y136:Z136" si="130">U136+Y135</f>
        <v>#NUM!</v>
      </c>
      <c r="Z136" s="41" t="str">
        <f t="shared" si="130"/>
        <v>#NUM!</v>
      </c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3">
        <v>124.0</v>
      </c>
      <c r="R137" s="17">
        <f t="shared" si="2"/>
        <v>45366</v>
      </c>
      <c r="S137" s="41" t="str">
        <f t="shared" si="3"/>
        <v>#NUM!</v>
      </c>
      <c r="T137" s="40">
        <f t="shared" si="4"/>
        <v>706.6954536</v>
      </c>
      <c r="U137" s="41" t="str">
        <f t="shared" si="5"/>
        <v>#NUM!</v>
      </c>
      <c r="V137" s="41" t="str">
        <f t="shared" si="6"/>
        <v>#NUM!</v>
      </c>
      <c r="W137" s="41" t="str">
        <f t="shared" si="7"/>
        <v>#NUM!</v>
      </c>
      <c r="X137" s="42" t="str">
        <f t="shared" si="8"/>
        <v>#NUM!</v>
      </c>
      <c r="Y137" s="41" t="str">
        <f t="shared" ref="Y137:Z137" si="131">U137+Y136</f>
        <v>#NUM!</v>
      </c>
      <c r="Z137" s="41" t="str">
        <f t="shared" si="131"/>
        <v>#NUM!</v>
      </c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3">
        <v>125.0</v>
      </c>
      <c r="R138" s="17">
        <f t="shared" si="2"/>
        <v>45382</v>
      </c>
      <c r="S138" s="41" t="str">
        <f t="shared" si="3"/>
        <v>#NUM!</v>
      </c>
      <c r="T138" s="40">
        <f t="shared" si="4"/>
        <v>706.6954536</v>
      </c>
      <c r="U138" s="41" t="str">
        <f t="shared" si="5"/>
        <v>#NUM!</v>
      </c>
      <c r="V138" s="41" t="str">
        <f t="shared" si="6"/>
        <v>#NUM!</v>
      </c>
      <c r="W138" s="41" t="str">
        <f t="shared" si="7"/>
        <v>#NUM!</v>
      </c>
      <c r="X138" s="42" t="str">
        <f t="shared" si="8"/>
        <v>#NUM!</v>
      </c>
      <c r="Y138" s="41" t="str">
        <f t="shared" ref="Y138:Z138" si="132">U138+Y137</f>
        <v>#NUM!</v>
      </c>
      <c r="Z138" s="41" t="str">
        <f t="shared" si="132"/>
        <v>#NUM!</v>
      </c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3">
        <v>126.0</v>
      </c>
      <c r="R139" s="17">
        <f t="shared" si="2"/>
        <v>45397</v>
      </c>
      <c r="S139" s="41" t="str">
        <f t="shared" si="3"/>
        <v>#NUM!</v>
      </c>
      <c r="T139" s="40">
        <f t="shared" si="4"/>
        <v>706.6954536</v>
      </c>
      <c r="U139" s="41" t="str">
        <f t="shared" si="5"/>
        <v>#NUM!</v>
      </c>
      <c r="V139" s="41" t="str">
        <f t="shared" si="6"/>
        <v>#NUM!</v>
      </c>
      <c r="W139" s="41" t="str">
        <f t="shared" si="7"/>
        <v>#NUM!</v>
      </c>
      <c r="X139" s="42" t="str">
        <f t="shared" si="8"/>
        <v>#NUM!</v>
      </c>
      <c r="Y139" s="41" t="str">
        <f t="shared" ref="Y139:Z139" si="133">U139+Y138</f>
        <v>#NUM!</v>
      </c>
      <c r="Z139" s="41" t="str">
        <f t="shared" si="133"/>
        <v>#NUM!</v>
      </c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3">
        <v>127.0</v>
      </c>
      <c r="R140" s="17">
        <f t="shared" si="2"/>
        <v>45412</v>
      </c>
      <c r="S140" s="41" t="str">
        <f t="shared" si="3"/>
        <v>#NUM!</v>
      </c>
      <c r="T140" s="40">
        <f t="shared" si="4"/>
        <v>706.6954536</v>
      </c>
      <c r="U140" s="41" t="str">
        <f t="shared" si="5"/>
        <v>#NUM!</v>
      </c>
      <c r="V140" s="41" t="str">
        <f t="shared" si="6"/>
        <v>#NUM!</v>
      </c>
      <c r="W140" s="41" t="str">
        <f t="shared" si="7"/>
        <v>#NUM!</v>
      </c>
      <c r="X140" s="42" t="str">
        <f t="shared" si="8"/>
        <v>#NUM!</v>
      </c>
      <c r="Y140" s="41" t="str">
        <f t="shared" ref="Y140:Z140" si="134">U140+Y139</f>
        <v>#NUM!</v>
      </c>
      <c r="Z140" s="41" t="str">
        <f t="shared" si="134"/>
        <v>#NUM!</v>
      </c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3">
        <v>128.0</v>
      </c>
      <c r="R141" s="17">
        <f t="shared" si="2"/>
        <v>45427</v>
      </c>
      <c r="S141" s="41" t="str">
        <f t="shared" si="3"/>
        <v>#NUM!</v>
      </c>
      <c r="T141" s="40">
        <f t="shared" si="4"/>
        <v>706.6954536</v>
      </c>
      <c r="U141" s="41" t="str">
        <f t="shared" si="5"/>
        <v>#NUM!</v>
      </c>
      <c r="V141" s="41" t="str">
        <f t="shared" si="6"/>
        <v>#NUM!</v>
      </c>
      <c r="W141" s="41" t="str">
        <f t="shared" si="7"/>
        <v>#NUM!</v>
      </c>
      <c r="X141" s="42" t="str">
        <f t="shared" si="8"/>
        <v>#NUM!</v>
      </c>
      <c r="Y141" s="41" t="str">
        <f t="shared" ref="Y141:Z141" si="135">U141+Y140</f>
        <v>#NUM!</v>
      </c>
      <c r="Z141" s="41" t="str">
        <f t="shared" si="135"/>
        <v>#NUM!</v>
      </c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3">
        <v>129.0</v>
      </c>
      <c r="R142" s="17">
        <f t="shared" si="2"/>
        <v>45443</v>
      </c>
      <c r="S142" s="41" t="str">
        <f t="shared" si="3"/>
        <v>#NUM!</v>
      </c>
      <c r="T142" s="40">
        <f t="shared" si="4"/>
        <v>706.6954536</v>
      </c>
      <c r="U142" s="41" t="str">
        <f t="shared" si="5"/>
        <v>#NUM!</v>
      </c>
      <c r="V142" s="41" t="str">
        <f t="shared" si="6"/>
        <v>#NUM!</v>
      </c>
      <c r="W142" s="41" t="str">
        <f t="shared" si="7"/>
        <v>#NUM!</v>
      </c>
      <c r="X142" s="42" t="str">
        <f t="shared" si="8"/>
        <v>#NUM!</v>
      </c>
      <c r="Y142" s="41" t="str">
        <f t="shared" ref="Y142:Z142" si="136">U142+Y141</f>
        <v>#NUM!</v>
      </c>
      <c r="Z142" s="41" t="str">
        <f t="shared" si="136"/>
        <v>#NUM!</v>
      </c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3">
        <v>130.0</v>
      </c>
      <c r="R143" s="17">
        <f t="shared" si="2"/>
        <v>45458</v>
      </c>
      <c r="S143" s="41" t="str">
        <f t="shared" si="3"/>
        <v>#NUM!</v>
      </c>
      <c r="T143" s="40">
        <f t="shared" si="4"/>
        <v>706.6954536</v>
      </c>
      <c r="U143" s="41" t="str">
        <f t="shared" si="5"/>
        <v>#NUM!</v>
      </c>
      <c r="V143" s="41" t="str">
        <f t="shared" si="6"/>
        <v>#NUM!</v>
      </c>
      <c r="W143" s="41" t="str">
        <f t="shared" si="7"/>
        <v>#NUM!</v>
      </c>
      <c r="X143" s="42" t="str">
        <f t="shared" si="8"/>
        <v>#NUM!</v>
      </c>
      <c r="Y143" s="41" t="str">
        <f t="shared" ref="Y143:Z143" si="137">U143+Y142</f>
        <v>#NUM!</v>
      </c>
      <c r="Z143" s="41" t="str">
        <f t="shared" si="137"/>
        <v>#NUM!</v>
      </c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3">
        <v>131.0</v>
      </c>
      <c r="R144" s="17">
        <f t="shared" si="2"/>
        <v>45473</v>
      </c>
      <c r="S144" s="41" t="str">
        <f t="shared" si="3"/>
        <v>#NUM!</v>
      </c>
      <c r="T144" s="40">
        <f t="shared" si="4"/>
        <v>706.6954536</v>
      </c>
      <c r="U144" s="41" t="str">
        <f t="shared" si="5"/>
        <v>#NUM!</v>
      </c>
      <c r="V144" s="41" t="str">
        <f t="shared" si="6"/>
        <v>#NUM!</v>
      </c>
      <c r="W144" s="41" t="str">
        <f t="shared" si="7"/>
        <v>#NUM!</v>
      </c>
      <c r="X144" s="42" t="str">
        <f t="shared" si="8"/>
        <v>#NUM!</v>
      </c>
      <c r="Y144" s="41" t="str">
        <f t="shared" ref="Y144:Z144" si="138">U144+Y143</f>
        <v>#NUM!</v>
      </c>
      <c r="Z144" s="41" t="str">
        <f t="shared" si="138"/>
        <v>#NUM!</v>
      </c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3">
        <v>132.0</v>
      </c>
      <c r="R145" s="17">
        <f t="shared" si="2"/>
        <v>45488</v>
      </c>
      <c r="S145" s="41" t="str">
        <f t="shared" si="3"/>
        <v>#NUM!</v>
      </c>
      <c r="T145" s="40">
        <f t="shared" si="4"/>
        <v>706.6954536</v>
      </c>
      <c r="U145" s="41" t="str">
        <f t="shared" si="5"/>
        <v>#NUM!</v>
      </c>
      <c r="V145" s="41" t="str">
        <f t="shared" si="6"/>
        <v>#NUM!</v>
      </c>
      <c r="W145" s="41" t="str">
        <f t="shared" si="7"/>
        <v>#NUM!</v>
      </c>
      <c r="X145" s="42" t="str">
        <f t="shared" si="8"/>
        <v>#NUM!</v>
      </c>
      <c r="Y145" s="41" t="str">
        <f t="shared" ref="Y145:Z145" si="139">U145+Y144</f>
        <v>#NUM!</v>
      </c>
      <c r="Z145" s="41" t="str">
        <f t="shared" si="139"/>
        <v>#NUM!</v>
      </c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3">
        <v>133.0</v>
      </c>
      <c r="R146" s="17">
        <f t="shared" si="2"/>
        <v>45504</v>
      </c>
      <c r="S146" s="41" t="str">
        <f t="shared" si="3"/>
        <v>#NUM!</v>
      </c>
      <c r="T146" s="40">
        <f t="shared" si="4"/>
        <v>706.6954536</v>
      </c>
      <c r="U146" s="41" t="str">
        <f t="shared" si="5"/>
        <v>#NUM!</v>
      </c>
      <c r="V146" s="41" t="str">
        <f t="shared" si="6"/>
        <v>#NUM!</v>
      </c>
      <c r="W146" s="41" t="str">
        <f t="shared" si="7"/>
        <v>#NUM!</v>
      </c>
      <c r="X146" s="42" t="str">
        <f t="shared" si="8"/>
        <v>#NUM!</v>
      </c>
      <c r="Y146" s="41" t="str">
        <f t="shared" ref="Y146:Z146" si="140">U146+Y145</f>
        <v>#NUM!</v>
      </c>
      <c r="Z146" s="41" t="str">
        <f t="shared" si="140"/>
        <v>#NUM!</v>
      </c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3">
        <v>134.0</v>
      </c>
      <c r="R147" s="17">
        <f t="shared" si="2"/>
        <v>45519</v>
      </c>
      <c r="S147" s="41" t="str">
        <f t="shared" si="3"/>
        <v>#NUM!</v>
      </c>
      <c r="T147" s="40">
        <f t="shared" si="4"/>
        <v>706.6954536</v>
      </c>
      <c r="U147" s="41" t="str">
        <f t="shared" si="5"/>
        <v>#NUM!</v>
      </c>
      <c r="V147" s="41" t="str">
        <f t="shared" si="6"/>
        <v>#NUM!</v>
      </c>
      <c r="W147" s="41" t="str">
        <f t="shared" si="7"/>
        <v>#NUM!</v>
      </c>
      <c r="X147" s="42" t="str">
        <f t="shared" si="8"/>
        <v>#NUM!</v>
      </c>
      <c r="Y147" s="41" t="str">
        <f t="shared" ref="Y147:Z147" si="141">U147+Y146</f>
        <v>#NUM!</v>
      </c>
      <c r="Z147" s="41" t="str">
        <f t="shared" si="141"/>
        <v>#NUM!</v>
      </c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3">
        <v>135.0</v>
      </c>
      <c r="R148" s="17">
        <f t="shared" si="2"/>
        <v>45535</v>
      </c>
      <c r="S148" s="41" t="str">
        <f t="shared" si="3"/>
        <v>#NUM!</v>
      </c>
      <c r="T148" s="40">
        <f t="shared" si="4"/>
        <v>706.6954536</v>
      </c>
      <c r="U148" s="41" t="str">
        <f t="shared" si="5"/>
        <v>#NUM!</v>
      </c>
      <c r="V148" s="41" t="str">
        <f t="shared" si="6"/>
        <v>#NUM!</v>
      </c>
      <c r="W148" s="41" t="str">
        <f t="shared" si="7"/>
        <v>#NUM!</v>
      </c>
      <c r="X148" s="42" t="str">
        <f t="shared" si="8"/>
        <v>#NUM!</v>
      </c>
      <c r="Y148" s="41" t="str">
        <f t="shared" ref="Y148:Z148" si="142">U148+Y147</f>
        <v>#NUM!</v>
      </c>
      <c r="Z148" s="41" t="str">
        <f t="shared" si="142"/>
        <v>#NUM!</v>
      </c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3">
        <v>136.0</v>
      </c>
      <c r="R149" s="17">
        <f t="shared" si="2"/>
        <v>45550</v>
      </c>
      <c r="S149" s="41" t="str">
        <f t="shared" si="3"/>
        <v>#NUM!</v>
      </c>
      <c r="T149" s="40">
        <f t="shared" si="4"/>
        <v>706.6954536</v>
      </c>
      <c r="U149" s="41" t="str">
        <f t="shared" si="5"/>
        <v>#NUM!</v>
      </c>
      <c r="V149" s="41" t="str">
        <f t="shared" si="6"/>
        <v>#NUM!</v>
      </c>
      <c r="W149" s="41" t="str">
        <f t="shared" si="7"/>
        <v>#NUM!</v>
      </c>
      <c r="X149" s="42" t="str">
        <f t="shared" si="8"/>
        <v>#NUM!</v>
      </c>
      <c r="Y149" s="41" t="str">
        <f t="shared" ref="Y149:Z149" si="143">U149+Y148</f>
        <v>#NUM!</v>
      </c>
      <c r="Z149" s="41" t="str">
        <f t="shared" si="143"/>
        <v>#NUM!</v>
      </c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3">
        <v>137.0</v>
      </c>
      <c r="R150" s="17">
        <f t="shared" si="2"/>
        <v>45565</v>
      </c>
      <c r="S150" s="41" t="str">
        <f t="shared" si="3"/>
        <v>#NUM!</v>
      </c>
      <c r="T150" s="40">
        <f t="shared" si="4"/>
        <v>706.6954536</v>
      </c>
      <c r="U150" s="41" t="str">
        <f t="shared" si="5"/>
        <v>#NUM!</v>
      </c>
      <c r="V150" s="41" t="str">
        <f t="shared" si="6"/>
        <v>#NUM!</v>
      </c>
      <c r="W150" s="41" t="str">
        <f t="shared" si="7"/>
        <v>#NUM!</v>
      </c>
      <c r="X150" s="42" t="str">
        <f t="shared" si="8"/>
        <v>#NUM!</v>
      </c>
      <c r="Y150" s="41" t="str">
        <f t="shared" ref="Y150:Z150" si="144">U150+Y149</f>
        <v>#NUM!</v>
      </c>
      <c r="Z150" s="41" t="str">
        <f t="shared" si="144"/>
        <v>#NUM!</v>
      </c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3">
        <v>138.0</v>
      </c>
      <c r="R151" s="17">
        <f t="shared" si="2"/>
        <v>45580</v>
      </c>
      <c r="S151" s="41" t="str">
        <f t="shared" si="3"/>
        <v>#NUM!</v>
      </c>
      <c r="T151" s="40">
        <f t="shared" si="4"/>
        <v>706.6954536</v>
      </c>
      <c r="U151" s="41" t="str">
        <f t="shared" si="5"/>
        <v>#NUM!</v>
      </c>
      <c r="V151" s="41" t="str">
        <f t="shared" si="6"/>
        <v>#NUM!</v>
      </c>
      <c r="W151" s="41" t="str">
        <f t="shared" si="7"/>
        <v>#NUM!</v>
      </c>
      <c r="X151" s="42" t="str">
        <f t="shared" si="8"/>
        <v>#NUM!</v>
      </c>
      <c r="Y151" s="41" t="str">
        <f t="shared" ref="Y151:Z151" si="145">U151+Y150</f>
        <v>#NUM!</v>
      </c>
      <c r="Z151" s="41" t="str">
        <f t="shared" si="145"/>
        <v>#NUM!</v>
      </c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3">
        <v>139.0</v>
      </c>
      <c r="R152" s="17">
        <f t="shared" si="2"/>
        <v>45596</v>
      </c>
      <c r="S152" s="41" t="str">
        <f t="shared" si="3"/>
        <v>#NUM!</v>
      </c>
      <c r="T152" s="40">
        <f t="shared" si="4"/>
        <v>706.6954536</v>
      </c>
      <c r="U152" s="41" t="str">
        <f t="shared" si="5"/>
        <v>#NUM!</v>
      </c>
      <c r="V152" s="41" t="str">
        <f t="shared" si="6"/>
        <v>#NUM!</v>
      </c>
      <c r="W152" s="41" t="str">
        <f t="shared" si="7"/>
        <v>#NUM!</v>
      </c>
      <c r="X152" s="42" t="str">
        <f t="shared" si="8"/>
        <v>#NUM!</v>
      </c>
      <c r="Y152" s="41" t="str">
        <f t="shared" ref="Y152:Z152" si="146">U152+Y151</f>
        <v>#NUM!</v>
      </c>
      <c r="Z152" s="41" t="str">
        <f t="shared" si="146"/>
        <v>#NUM!</v>
      </c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3">
        <v>140.0</v>
      </c>
      <c r="R153" s="17">
        <f t="shared" si="2"/>
        <v>45611</v>
      </c>
      <c r="S153" s="41" t="str">
        <f t="shared" si="3"/>
        <v>#NUM!</v>
      </c>
      <c r="T153" s="40">
        <f t="shared" si="4"/>
        <v>706.6954536</v>
      </c>
      <c r="U153" s="41" t="str">
        <f t="shared" si="5"/>
        <v>#NUM!</v>
      </c>
      <c r="V153" s="41" t="str">
        <f t="shared" si="6"/>
        <v>#NUM!</v>
      </c>
      <c r="W153" s="41" t="str">
        <f t="shared" si="7"/>
        <v>#NUM!</v>
      </c>
      <c r="X153" s="42" t="str">
        <f t="shared" si="8"/>
        <v>#NUM!</v>
      </c>
      <c r="Y153" s="41" t="str">
        <f t="shared" ref="Y153:Z153" si="147">U153+Y152</f>
        <v>#NUM!</v>
      </c>
      <c r="Z153" s="41" t="str">
        <f t="shared" si="147"/>
        <v>#NUM!</v>
      </c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3">
        <v>141.0</v>
      </c>
      <c r="R154" s="17">
        <f t="shared" si="2"/>
        <v>45626</v>
      </c>
      <c r="S154" s="41" t="str">
        <f t="shared" si="3"/>
        <v>#NUM!</v>
      </c>
      <c r="T154" s="40">
        <f t="shared" si="4"/>
        <v>706.6954536</v>
      </c>
      <c r="U154" s="41" t="str">
        <f t="shared" si="5"/>
        <v>#NUM!</v>
      </c>
      <c r="V154" s="41" t="str">
        <f t="shared" si="6"/>
        <v>#NUM!</v>
      </c>
      <c r="W154" s="41" t="str">
        <f t="shared" si="7"/>
        <v>#NUM!</v>
      </c>
      <c r="X154" s="42" t="str">
        <f t="shared" si="8"/>
        <v>#NUM!</v>
      </c>
      <c r="Y154" s="41" t="str">
        <f t="shared" ref="Y154:Z154" si="148">U154+Y153</f>
        <v>#NUM!</v>
      </c>
      <c r="Z154" s="41" t="str">
        <f t="shared" si="148"/>
        <v>#NUM!</v>
      </c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3">
        <v>142.0</v>
      </c>
      <c r="R155" s="17">
        <f t="shared" si="2"/>
        <v>45641</v>
      </c>
      <c r="S155" s="41" t="str">
        <f t="shared" si="3"/>
        <v>#NUM!</v>
      </c>
      <c r="T155" s="40">
        <f t="shared" si="4"/>
        <v>706.6954536</v>
      </c>
      <c r="U155" s="41" t="str">
        <f t="shared" si="5"/>
        <v>#NUM!</v>
      </c>
      <c r="V155" s="41" t="str">
        <f t="shared" si="6"/>
        <v>#NUM!</v>
      </c>
      <c r="W155" s="41" t="str">
        <f t="shared" si="7"/>
        <v>#NUM!</v>
      </c>
      <c r="X155" s="42" t="str">
        <f t="shared" si="8"/>
        <v>#NUM!</v>
      </c>
      <c r="Y155" s="41" t="str">
        <f t="shared" ref="Y155:Z155" si="149">U155+Y154</f>
        <v>#NUM!</v>
      </c>
      <c r="Z155" s="41" t="str">
        <f t="shared" si="149"/>
        <v>#NUM!</v>
      </c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3">
        <v>143.0</v>
      </c>
      <c r="R156" s="17">
        <f t="shared" si="2"/>
        <v>45657</v>
      </c>
      <c r="S156" s="41" t="str">
        <f t="shared" si="3"/>
        <v>#NUM!</v>
      </c>
      <c r="T156" s="40">
        <f t="shared" si="4"/>
        <v>706.6954536</v>
      </c>
      <c r="U156" s="41" t="str">
        <f t="shared" si="5"/>
        <v>#NUM!</v>
      </c>
      <c r="V156" s="41" t="str">
        <f t="shared" si="6"/>
        <v>#NUM!</v>
      </c>
      <c r="W156" s="41" t="str">
        <f t="shared" si="7"/>
        <v>#NUM!</v>
      </c>
      <c r="X156" s="42" t="str">
        <f t="shared" si="8"/>
        <v>#NUM!</v>
      </c>
      <c r="Y156" s="41" t="str">
        <f t="shared" ref="Y156:Z156" si="150">U156+Y155</f>
        <v>#NUM!</v>
      </c>
      <c r="Z156" s="41" t="str">
        <f t="shared" si="150"/>
        <v>#NUM!</v>
      </c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3">
        <v>144.0</v>
      </c>
      <c r="R157" s="17">
        <f t="shared" si="2"/>
        <v>45672</v>
      </c>
      <c r="S157" s="41" t="str">
        <f t="shared" si="3"/>
        <v>#NUM!</v>
      </c>
      <c r="T157" s="40">
        <f t="shared" si="4"/>
        <v>706.6954536</v>
      </c>
      <c r="U157" s="41" t="str">
        <f t="shared" si="5"/>
        <v>#NUM!</v>
      </c>
      <c r="V157" s="41" t="str">
        <f t="shared" si="6"/>
        <v>#NUM!</v>
      </c>
      <c r="W157" s="41" t="str">
        <f t="shared" si="7"/>
        <v>#NUM!</v>
      </c>
      <c r="X157" s="42" t="str">
        <f t="shared" si="8"/>
        <v>#NUM!</v>
      </c>
      <c r="Y157" s="41" t="str">
        <f t="shared" ref="Y157:Z157" si="151">U157+Y156</f>
        <v>#NUM!</v>
      </c>
      <c r="Z157" s="41" t="str">
        <f t="shared" si="151"/>
        <v>#NUM!</v>
      </c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3">
        <v>145.0</v>
      </c>
      <c r="R158" s="17">
        <f t="shared" si="2"/>
        <v>45688</v>
      </c>
      <c r="S158" s="41" t="str">
        <f t="shared" si="3"/>
        <v>#NUM!</v>
      </c>
      <c r="T158" s="40">
        <f t="shared" si="4"/>
        <v>706.6954536</v>
      </c>
      <c r="U158" s="41" t="str">
        <f t="shared" si="5"/>
        <v>#NUM!</v>
      </c>
      <c r="V158" s="41" t="str">
        <f t="shared" si="6"/>
        <v>#NUM!</v>
      </c>
      <c r="W158" s="41" t="str">
        <f t="shared" si="7"/>
        <v>#NUM!</v>
      </c>
      <c r="X158" s="42" t="str">
        <f t="shared" si="8"/>
        <v>#NUM!</v>
      </c>
      <c r="Y158" s="41" t="str">
        <f t="shared" ref="Y158:Z158" si="152">U158+Y157</f>
        <v>#NUM!</v>
      </c>
      <c r="Z158" s="41" t="str">
        <f t="shared" si="152"/>
        <v>#NUM!</v>
      </c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3">
        <v>146.0</v>
      </c>
      <c r="R159" s="17">
        <f t="shared" si="2"/>
        <v>45703</v>
      </c>
      <c r="S159" s="41" t="str">
        <f t="shared" si="3"/>
        <v>#NUM!</v>
      </c>
      <c r="T159" s="40">
        <f t="shared" si="4"/>
        <v>706.6954536</v>
      </c>
      <c r="U159" s="41" t="str">
        <f t="shared" si="5"/>
        <v>#NUM!</v>
      </c>
      <c r="V159" s="41" t="str">
        <f t="shared" si="6"/>
        <v>#NUM!</v>
      </c>
      <c r="W159" s="41" t="str">
        <f t="shared" si="7"/>
        <v>#NUM!</v>
      </c>
      <c r="X159" s="42" t="str">
        <f t="shared" si="8"/>
        <v>#NUM!</v>
      </c>
      <c r="Y159" s="41" t="str">
        <f t="shared" ref="Y159:Z159" si="153">U159+Y158</f>
        <v>#NUM!</v>
      </c>
      <c r="Z159" s="41" t="str">
        <f t="shared" si="153"/>
        <v>#NUM!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3">
        <v>147.0</v>
      </c>
      <c r="R160" s="17">
        <f t="shared" si="2"/>
        <v>45716</v>
      </c>
      <c r="S160" s="41" t="str">
        <f t="shared" si="3"/>
        <v>#NUM!</v>
      </c>
      <c r="T160" s="40">
        <f t="shared" si="4"/>
        <v>706.6954536</v>
      </c>
      <c r="U160" s="41" t="str">
        <f t="shared" si="5"/>
        <v>#NUM!</v>
      </c>
      <c r="V160" s="41" t="str">
        <f t="shared" si="6"/>
        <v>#NUM!</v>
      </c>
      <c r="W160" s="41" t="str">
        <f t="shared" si="7"/>
        <v>#NUM!</v>
      </c>
      <c r="X160" s="42" t="str">
        <f t="shared" si="8"/>
        <v>#NUM!</v>
      </c>
      <c r="Y160" s="41" t="str">
        <f t="shared" ref="Y160:Z160" si="154">U160+Y159</f>
        <v>#NUM!</v>
      </c>
      <c r="Z160" s="41" t="str">
        <f t="shared" si="154"/>
        <v>#NUM!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3">
        <v>148.0</v>
      </c>
      <c r="R161" s="17">
        <f t="shared" si="2"/>
        <v>45731</v>
      </c>
      <c r="S161" s="41" t="str">
        <f t="shared" si="3"/>
        <v>#NUM!</v>
      </c>
      <c r="T161" s="40">
        <f t="shared" si="4"/>
        <v>706.6954536</v>
      </c>
      <c r="U161" s="41" t="str">
        <f t="shared" si="5"/>
        <v>#NUM!</v>
      </c>
      <c r="V161" s="41" t="str">
        <f t="shared" si="6"/>
        <v>#NUM!</v>
      </c>
      <c r="W161" s="41" t="str">
        <f t="shared" si="7"/>
        <v>#NUM!</v>
      </c>
      <c r="X161" s="42" t="str">
        <f t="shared" si="8"/>
        <v>#NUM!</v>
      </c>
      <c r="Y161" s="41" t="str">
        <f t="shared" ref="Y161:Z161" si="155">U161+Y160</f>
        <v>#NUM!</v>
      </c>
      <c r="Z161" s="41" t="str">
        <f t="shared" si="155"/>
        <v>#NUM!</v>
      </c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3">
        <v>149.0</v>
      </c>
      <c r="R162" s="17">
        <f t="shared" si="2"/>
        <v>45747</v>
      </c>
      <c r="S162" s="41" t="str">
        <f t="shared" si="3"/>
        <v>#NUM!</v>
      </c>
      <c r="T162" s="40">
        <f t="shared" si="4"/>
        <v>706.6954536</v>
      </c>
      <c r="U162" s="41" t="str">
        <f t="shared" si="5"/>
        <v>#NUM!</v>
      </c>
      <c r="V162" s="41" t="str">
        <f t="shared" si="6"/>
        <v>#NUM!</v>
      </c>
      <c r="W162" s="41" t="str">
        <f t="shared" si="7"/>
        <v>#NUM!</v>
      </c>
      <c r="X162" s="42" t="str">
        <f t="shared" si="8"/>
        <v>#NUM!</v>
      </c>
      <c r="Y162" s="41" t="str">
        <f t="shared" ref="Y162:Z162" si="156">U162+Y161</f>
        <v>#NUM!</v>
      </c>
      <c r="Z162" s="41" t="str">
        <f t="shared" si="156"/>
        <v>#NUM!</v>
      </c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3">
        <v>150.0</v>
      </c>
      <c r="R163" s="17">
        <f t="shared" si="2"/>
        <v>45762</v>
      </c>
      <c r="S163" s="41" t="str">
        <f t="shared" si="3"/>
        <v>#NUM!</v>
      </c>
      <c r="T163" s="40">
        <f t="shared" si="4"/>
        <v>706.6954536</v>
      </c>
      <c r="U163" s="41" t="str">
        <f t="shared" si="5"/>
        <v>#NUM!</v>
      </c>
      <c r="V163" s="41" t="str">
        <f t="shared" si="6"/>
        <v>#NUM!</v>
      </c>
      <c r="W163" s="41" t="str">
        <f t="shared" si="7"/>
        <v>#NUM!</v>
      </c>
      <c r="X163" s="42" t="str">
        <f t="shared" si="8"/>
        <v>#NUM!</v>
      </c>
      <c r="Y163" s="41" t="str">
        <f t="shared" ref="Y163:Z163" si="157">U163+Y162</f>
        <v>#NUM!</v>
      </c>
      <c r="Z163" s="41" t="str">
        <f t="shared" si="157"/>
        <v>#NUM!</v>
      </c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3">
        <v>151.0</v>
      </c>
      <c r="R164" s="17">
        <f t="shared" si="2"/>
        <v>45777</v>
      </c>
      <c r="S164" s="41" t="str">
        <f t="shared" si="3"/>
        <v>#NUM!</v>
      </c>
      <c r="T164" s="40">
        <f t="shared" si="4"/>
        <v>706.6954536</v>
      </c>
      <c r="U164" s="41" t="str">
        <f t="shared" si="5"/>
        <v>#NUM!</v>
      </c>
      <c r="V164" s="41" t="str">
        <f t="shared" si="6"/>
        <v>#NUM!</v>
      </c>
      <c r="W164" s="41" t="str">
        <f t="shared" si="7"/>
        <v>#NUM!</v>
      </c>
      <c r="X164" s="42" t="str">
        <f t="shared" si="8"/>
        <v>#NUM!</v>
      </c>
      <c r="Y164" s="41" t="str">
        <f t="shared" ref="Y164:Z164" si="158">U164+Y163</f>
        <v>#NUM!</v>
      </c>
      <c r="Z164" s="41" t="str">
        <f t="shared" si="158"/>
        <v>#NUM!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3">
        <v>152.0</v>
      </c>
      <c r="R165" s="17">
        <f t="shared" si="2"/>
        <v>45792</v>
      </c>
      <c r="S165" s="41" t="str">
        <f t="shared" si="3"/>
        <v>#NUM!</v>
      </c>
      <c r="T165" s="40">
        <f t="shared" si="4"/>
        <v>706.6954536</v>
      </c>
      <c r="U165" s="41" t="str">
        <f t="shared" si="5"/>
        <v>#NUM!</v>
      </c>
      <c r="V165" s="41" t="str">
        <f t="shared" si="6"/>
        <v>#NUM!</v>
      </c>
      <c r="W165" s="41" t="str">
        <f t="shared" si="7"/>
        <v>#NUM!</v>
      </c>
      <c r="X165" s="42" t="str">
        <f t="shared" si="8"/>
        <v>#NUM!</v>
      </c>
      <c r="Y165" s="41" t="str">
        <f t="shared" ref="Y165:Z165" si="159">U165+Y164</f>
        <v>#NUM!</v>
      </c>
      <c r="Z165" s="41" t="str">
        <f t="shared" si="159"/>
        <v>#NUM!</v>
      </c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3">
        <v>153.0</v>
      </c>
      <c r="R166" s="17">
        <f t="shared" si="2"/>
        <v>45808</v>
      </c>
      <c r="S166" s="41" t="str">
        <f t="shared" si="3"/>
        <v>#NUM!</v>
      </c>
      <c r="T166" s="40">
        <f t="shared" si="4"/>
        <v>706.6954536</v>
      </c>
      <c r="U166" s="41" t="str">
        <f t="shared" si="5"/>
        <v>#NUM!</v>
      </c>
      <c r="V166" s="41" t="str">
        <f t="shared" si="6"/>
        <v>#NUM!</v>
      </c>
      <c r="W166" s="41" t="str">
        <f t="shared" si="7"/>
        <v>#NUM!</v>
      </c>
      <c r="X166" s="42" t="str">
        <f t="shared" si="8"/>
        <v>#NUM!</v>
      </c>
      <c r="Y166" s="41" t="str">
        <f t="shared" ref="Y166:Z166" si="160">U166+Y165</f>
        <v>#NUM!</v>
      </c>
      <c r="Z166" s="41" t="str">
        <f t="shared" si="160"/>
        <v>#NUM!</v>
      </c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3">
        <v>154.0</v>
      </c>
      <c r="R167" s="17">
        <f t="shared" si="2"/>
        <v>45823</v>
      </c>
      <c r="S167" s="41" t="str">
        <f t="shared" si="3"/>
        <v>#NUM!</v>
      </c>
      <c r="T167" s="40">
        <f t="shared" si="4"/>
        <v>706.6954536</v>
      </c>
      <c r="U167" s="41" t="str">
        <f t="shared" si="5"/>
        <v>#NUM!</v>
      </c>
      <c r="V167" s="41" t="str">
        <f t="shared" si="6"/>
        <v>#NUM!</v>
      </c>
      <c r="W167" s="41" t="str">
        <f t="shared" si="7"/>
        <v>#NUM!</v>
      </c>
      <c r="X167" s="42" t="str">
        <f t="shared" si="8"/>
        <v>#NUM!</v>
      </c>
      <c r="Y167" s="41" t="str">
        <f t="shared" ref="Y167:Z167" si="161">U167+Y166</f>
        <v>#NUM!</v>
      </c>
      <c r="Z167" s="41" t="str">
        <f t="shared" si="161"/>
        <v>#NUM!</v>
      </c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3">
        <v>155.0</v>
      </c>
      <c r="R168" s="17">
        <f t="shared" si="2"/>
        <v>45838</v>
      </c>
      <c r="S168" s="41" t="str">
        <f t="shared" si="3"/>
        <v>#NUM!</v>
      </c>
      <c r="T168" s="40">
        <f t="shared" si="4"/>
        <v>706.6954536</v>
      </c>
      <c r="U168" s="41" t="str">
        <f t="shared" si="5"/>
        <v>#NUM!</v>
      </c>
      <c r="V168" s="41" t="str">
        <f t="shared" si="6"/>
        <v>#NUM!</v>
      </c>
      <c r="W168" s="41" t="str">
        <f t="shared" si="7"/>
        <v>#NUM!</v>
      </c>
      <c r="X168" s="42" t="str">
        <f t="shared" si="8"/>
        <v>#NUM!</v>
      </c>
      <c r="Y168" s="41" t="str">
        <f t="shared" ref="Y168:Z168" si="162">U168+Y167</f>
        <v>#NUM!</v>
      </c>
      <c r="Z168" s="41" t="str">
        <f t="shared" si="162"/>
        <v>#NUM!</v>
      </c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3">
        <v>156.0</v>
      </c>
      <c r="R169" s="17">
        <f t="shared" si="2"/>
        <v>45853</v>
      </c>
      <c r="S169" s="41" t="str">
        <f t="shared" si="3"/>
        <v>#NUM!</v>
      </c>
      <c r="T169" s="40">
        <f t="shared" si="4"/>
        <v>706.6954536</v>
      </c>
      <c r="U169" s="41" t="str">
        <f t="shared" si="5"/>
        <v>#NUM!</v>
      </c>
      <c r="V169" s="41" t="str">
        <f t="shared" si="6"/>
        <v>#NUM!</v>
      </c>
      <c r="W169" s="41" t="str">
        <f t="shared" si="7"/>
        <v>#NUM!</v>
      </c>
      <c r="X169" s="42" t="str">
        <f t="shared" si="8"/>
        <v>#NUM!</v>
      </c>
      <c r="Y169" s="41" t="str">
        <f t="shared" ref="Y169:Z169" si="163">U169+Y168</f>
        <v>#NUM!</v>
      </c>
      <c r="Z169" s="41" t="str">
        <f t="shared" si="163"/>
        <v>#NUM!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3">
        <v>157.0</v>
      </c>
      <c r="R170" s="17">
        <f t="shared" si="2"/>
        <v>45869</v>
      </c>
      <c r="S170" s="41" t="str">
        <f t="shared" si="3"/>
        <v>#NUM!</v>
      </c>
      <c r="T170" s="40">
        <f t="shared" si="4"/>
        <v>706.6954536</v>
      </c>
      <c r="U170" s="41" t="str">
        <f t="shared" si="5"/>
        <v>#NUM!</v>
      </c>
      <c r="V170" s="41" t="str">
        <f t="shared" si="6"/>
        <v>#NUM!</v>
      </c>
      <c r="W170" s="41" t="str">
        <f t="shared" si="7"/>
        <v>#NUM!</v>
      </c>
      <c r="X170" s="42" t="str">
        <f t="shared" si="8"/>
        <v>#NUM!</v>
      </c>
      <c r="Y170" s="41" t="str">
        <f t="shared" ref="Y170:Z170" si="164">U170+Y169</f>
        <v>#NUM!</v>
      </c>
      <c r="Z170" s="41" t="str">
        <f t="shared" si="164"/>
        <v>#NUM!</v>
      </c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3">
        <v>158.0</v>
      </c>
      <c r="R171" s="17">
        <f t="shared" si="2"/>
        <v>45884</v>
      </c>
      <c r="S171" s="41" t="str">
        <f t="shared" si="3"/>
        <v>#NUM!</v>
      </c>
      <c r="T171" s="40">
        <f t="shared" si="4"/>
        <v>706.6954536</v>
      </c>
      <c r="U171" s="41" t="str">
        <f t="shared" si="5"/>
        <v>#NUM!</v>
      </c>
      <c r="V171" s="41" t="str">
        <f t="shared" si="6"/>
        <v>#NUM!</v>
      </c>
      <c r="W171" s="41" t="str">
        <f t="shared" si="7"/>
        <v>#NUM!</v>
      </c>
      <c r="X171" s="42" t="str">
        <f t="shared" si="8"/>
        <v>#NUM!</v>
      </c>
      <c r="Y171" s="41" t="str">
        <f t="shared" ref="Y171:Z171" si="165">U171+Y170</f>
        <v>#NUM!</v>
      </c>
      <c r="Z171" s="41" t="str">
        <f t="shared" si="165"/>
        <v>#NUM!</v>
      </c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3">
        <v>159.0</v>
      </c>
      <c r="R172" s="17">
        <f t="shared" si="2"/>
        <v>45900</v>
      </c>
      <c r="S172" s="41" t="str">
        <f t="shared" si="3"/>
        <v>#NUM!</v>
      </c>
      <c r="T172" s="40">
        <f t="shared" si="4"/>
        <v>706.6954536</v>
      </c>
      <c r="U172" s="41" t="str">
        <f t="shared" si="5"/>
        <v>#NUM!</v>
      </c>
      <c r="V172" s="41" t="str">
        <f t="shared" si="6"/>
        <v>#NUM!</v>
      </c>
      <c r="W172" s="41" t="str">
        <f t="shared" si="7"/>
        <v>#NUM!</v>
      </c>
      <c r="X172" s="42" t="str">
        <f t="shared" si="8"/>
        <v>#NUM!</v>
      </c>
      <c r="Y172" s="41" t="str">
        <f t="shared" ref="Y172:Z172" si="166">U172+Y171</f>
        <v>#NUM!</v>
      </c>
      <c r="Z172" s="41" t="str">
        <f t="shared" si="166"/>
        <v>#NUM!</v>
      </c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3">
        <v>160.0</v>
      </c>
      <c r="R173" s="17">
        <f t="shared" si="2"/>
        <v>45915</v>
      </c>
      <c r="S173" s="41" t="str">
        <f t="shared" si="3"/>
        <v>#NUM!</v>
      </c>
      <c r="T173" s="40">
        <f t="shared" si="4"/>
        <v>706.6954536</v>
      </c>
      <c r="U173" s="41" t="str">
        <f t="shared" si="5"/>
        <v>#NUM!</v>
      </c>
      <c r="V173" s="41" t="str">
        <f t="shared" si="6"/>
        <v>#NUM!</v>
      </c>
      <c r="W173" s="41" t="str">
        <f t="shared" si="7"/>
        <v>#NUM!</v>
      </c>
      <c r="X173" s="42" t="str">
        <f t="shared" si="8"/>
        <v>#NUM!</v>
      </c>
      <c r="Y173" s="41" t="str">
        <f t="shared" ref="Y173:Z173" si="167">U173+Y172</f>
        <v>#NUM!</v>
      </c>
      <c r="Z173" s="41" t="str">
        <f t="shared" si="167"/>
        <v>#NUM!</v>
      </c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3">
        <v>161.0</v>
      </c>
      <c r="R174" s="17">
        <f t="shared" si="2"/>
        <v>45930</v>
      </c>
      <c r="S174" s="41" t="str">
        <f t="shared" si="3"/>
        <v>#NUM!</v>
      </c>
      <c r="T174" s="40">
        <f t="shared" si="4"/>
        <v>706.6954536</v>
      </c>
      <c r="U174" s="41" t="str">
        <f t="shared" si="5"/>
        <v>#NUM!</v>
      </c>
      <c r="V174" s="41" t="str">
        <f t="shared" si="6"/>
        <v>#NUM!</v>
      </c>
      <c r="W174" s="41" t="str">
        <f t="shared" si="7"/>
        <v>#NUM!</v>
      </c>
      <c r="X174" s="42" t="str">
        <f t="shared" si="8"/>
        <v>#NUM!</v>
      </c>
      <c r="Y174" s="41" t="str">
        <f t="shared" ref="Y174:Z174" si="168">U174+Y173</f>
        <v>#NUM!</v>
      </c>
      <c r="Z174" s="41" t="str">
        <f t="shared" si="168"/>
        <v>#NUM!</v>
      </c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3">
        <v>162.0</v>
      </c>
      <c r="R175" s="17">
        <f t="shared" si="2"/>
        <v>45945</v>
      </c>
      <c r="S175" s="41" t="str">
        <f t="shared" si="3"/>
        <v>#NUM!</v>
      </c>
      <c r="T175" s="40">
        <f t="shared" si="4"/>
        <v>706.6954536</v>
      </c>
      <c r="U175" s="41" t="str">
        <f t="shared" si="5"/>
        <v>#NUM!</v>
      </c>
      <c r="V175" s="41" t="str">
        <f t="shared" si="6"/>
        <v>#NUM!</v>
      </c>
      <c r="W175" s="41" t="str">
        <f t="shared" si="7"/>
        <v>#NUM!</v>
      </c>
      <c r="X175" s="42" t="str">
        <f t="shared" si="8"/>
        <v>#NUM!</v>
      </c>
      <c r="Y175" s="41" t="str">
        <f t="shared" ref="Y175:Z175" si="169">U175+Y174</f>
        <v>#NUM!</v>
      </c>
      <c r="Z175" s="41" t="str">
        <f t="shared" si="169"/>
        <v>#NUM!</v>
      </c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3">
        <v>163.0</v>
      </c>
      <c r="R176" s="17">
        <f t="shared" si="2"/>
        <v>45961</v>
      </c>
      <c r="S176" s="41" t="str">
        <f t="shared" si="3"/>
        <v>#NUM!</v>
      </c>
      <c r="T176" s="40">
        <f t="shared" si="4"/>
        <v>706.6954536</v>
      </c>
      <c r="U176" s="41" t="str">
        <f t="shared" si="5"/>
        <v>#NUM!</v>
      </c>
      <c r="V176" s="41" t="str">
        <f t="shared" si="6"/>
        <v>#NUM!</v>
      </c>
      <c r="W176" s="41" t="str">
        <f t="shared" si="7"/>
        <v>#NUM!</v>
      </c>
      <c r="X176" s="42" t="str">
        <f t="shared" si="8"/>
        <v>#NUM!</v>
      </c>
      <c r="Y176" s="41" t="str">
        <f t="shared" ref="Y176:Z176" si="170">U176+Y175</f>
        <v>#NUM!</v>
      </c>
      <c r="Z176" s="41" t="str">
        <f t="shared" si="170"/>
        <v>#NUM!</v>
      </c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3">
        <v>164.0</v>
      </c>
      <c r="R177" s="17">
        <f t="shared" si="2"/>
        <v>45976</v>
      </c>
      <c r="S177" s="41" t="str">
        <f t="shared" si="3"/>
        <v>#NUM!</v>
      </c>
      <c r="T177" s="40">
        <f t="shared" si="4"/>
        <v>706.6954536</v>
      </c>
      <c r="U177" s="41" t="str">
        <f t="shared" si="5"/>
        <v>#NUM!</v>
      </c>
      <c r="V177" s="41" t="str">
        <f t="shared" si="6"/>
        <v>#NUM!</v>
      </c>
      <c r="W177" s="41" t="str">
        <f t="shared" si="7"/>
        <v>#NUM!</v>
      </c>
      <c r="X177" s="42" t="str">
        <f t="shared" si="8"/>
        <v>#NUM!</v>
      </c>
      <c r="Y177" s="41" t="str">
        <f t="shared" ref="Y177:Z177" si="171">U177+Y176</f>
        <v>#NUM!</v>
      </c>
      <c r="Z177" s="41" t="str">
        <f t="shared" si="171"/>
        <v>#NUM!</v>
      </c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3">
        <v>165.0</v>
      </c>
      <c r="R178" s="17">
        <f t="shared" si="2"/>
        <v>45991</v>
      </c>
      <c r="S178" s="41" t="str">
        <f t="shared" si="3"/>
        <v>#NUM!</v>
      </c>
      <c r="T178" s="40">
        <f t="shared" si="4"/>
        <v>706.6954536</v>
      </c>
      <c r="U178" s="41" t="str">
        <f t="shared" si="5"/>
        <v>#NUM!</v>
      </c>
      <c r="V178" s="41" t="str">
        <f t="shared" si="6"/>
        <v>#NUM!</v>
      </c>
      <c r="W178" s="41" t="str">
        <f t="shared" si="7"/>
        <v>#NUM!</v>
      </c>
      <c r="X178" s="42" t="str">
        <f t="shared" si="8"/>
        <v>#NUM!</v>
      </c>
      <c r="Y178" s="41" t="str">
        <f t="shared" ref="Y178:Z178" si="172">U178+Y177</f>
        <v>#NUM!</v>
      </c>
      <c r="Z178" s="41" t="str">
        <f t="shared" si="172"/>
        <v>#NUM!</v>
      </c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3">
        <v>166.0</v>
      </c>
      <c r="R179" s="17">
        <f t="shared" si="2"/>
        <v>46006</v>
      </c>
      <c r="S179" s="41" t="str">
        <f t="shared" si="3"/>
        <v>#NUM!</v>
      </c>
      <c r="T179" s="40">
        <f t="shared" si="4"/>
        <v>706.6954536</v>
      </c>
      <c r="U179" s="41" t="str">
        <f t="shared" si="5"/>
        <v>#NUM!</v>
      </c>
      <c r="V179" s="41" t="str">
        <f t="shared" si="6"/>
        <v>#NUM!</v>
      </c>
      <c r="W179" s="41" t="str">
        <f t="shared" si="7"/>
        <v>#NUM!</v>
      </c>
      <c r="X179" s="42" t="str">
        <f t="shared" si="8"/>
        <v>#NUM!</v>
      </c>
      <c r="Y179" s="41" t="str">
        <f t="shared" ref="Y179:Z179" si="173">U179+Y178</f>
        <v>#NUM!</v>
      </c>
      <c r="Z179" s="41" t="str">
        <f t="shared" si="173"/>
        <v>#NUM!</v>
      </c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3">
        <v>167.0</v>
      </c>
      <c r="R180" s="17">
        <f t="shared" si="2"/>
        <v>46022</v>
      </c>
      <c r="S180" s="41" t="str">
        <f t="shared" si="3"/>
        <v>#NUM!</v>
      </c>
      <c r="T180" s="40">
        <f t="shared" si="4"/>
        <v>706.6954536</v>
      </c>
      <c r="U180" s="41" t="str">
        <f t="shared" si="5"/>
        <v>#NUM!</v>
      </c>
      <c r="V180" s="41" t="str">
        <f t="shared" si="6"/>
        <v>#NUM!</v>
      </c>
      <c r="W180" s="41" t="str">
        <f t="shared" si="7"/>
        <v>#NUM!</v>
      </c>
      <c r="X180" s="42" t="str">
        <f t="shared" si="8"/>
        <v>#NUM!</v>
      </c>
      <c r="Y180" s="41" t="str">
        <f t="shared" ref="Y180:Z180" si="174">U180+Y179</f>
        <v>#NUM!</v>
      </c>
      <c r="Z180" s="41" t="str">
        <f t="shared" si="174"/>
        <v>#NUM!</v>
      </c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3">
        <v>168.0</v>
      </c>
      <c r="R181" s="17">
        <f t="shared" si="2"/>
        <v>46037</v>
      </c>
      <c r="S181" s="41" t="str">
        <f t="shared" si="3"/>
        <v>#NUM!</v>
      </c>
      <c r="T181" s="40">
        <f t="shared" si="4"/>
        <v>706.6954536</v>
      </c>
      <c r="U181" s="41" t="str">
        <f t="shared" si="5"/>
        <v>#NUM!</v>
      </c>
      <c r="V181" s="41" t="str">
        <f t="shared" si="6"/>
        <v>#NUM!</v>
      </c>
      <c r="W181" s="41" t="str">
        <f t="shared" si="7"/>
        <v>#NUM!</v>
      </c>
      <c r="X181" s="42" t="str">
        <f t="shared" si="8"/>
        <v>#NUM!</v>
      </c>
      <c r="Y181" s="41" t="str">
        <f t="shared" ref="Y181:Z181" si="175">U181+Y180</f>
        <v>#NUM!</v>
      </c>
      <c r="Z181" s="41" t="str">
        <f t="shared" si="175"/>
        <v>#NUM!</v>
      </c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3">
        <v>169.0</v>
      </c>
      <c r="R182" s="17">
        <f t="shared" si="2"/>
        <v>46053</v>
      </c>
      <c r="S182" s="41" t="str">
        <f t="shared" si="3"/>
        <v>#NUM!</v>
      </c>
      <c r="T182" s="40">
        <f t="shared" si="4"/>
        <v>706.6954536</v>
      </c>
      <c r="U182" s="41" t="str">
        <f t="shared" si="5"/>
        <v>#NUM!</v>
      </c>
      <c r="V182" s="41" t="str">
        <f t="shared" si="6"/>
        <v>#NUM!</v>
      </c>
      <c r="W182" s="41" t="str">
        <f t="shared" si="7"/>
        <v>#NUM!</v>
      </c>
      <c r="X182" s="42" t="str">
        <f t="shared" si="8"/>
        <v>#NUM!</v>
      </c>
      <c r="Y182" s="41" t="str">
        <f t="shared" ref="Y182:Z182" si="176">U182+Y181</f>
        <v>#NUM!</v>
      </c>
      <c r="Z182" s="41" t="str">
        <f t="shared" si="176"/>
        <v>#NUM!</v>
      </c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3">
        <v>170.0</v>
      </c>
      <c r="R183" s="17">
        <f t="shared" si="2"/>
        <v>46068</v>
      </c>
      <c r="S183" s="41" t="str">
        <f t="shared" si="3"/>
        <v>#NUM!</v>
      </c>
      <c r="T183" s="40">
        <f t="shared" si="4"/>
        <v>706.6954536</v>
      </c>
      <c r="U183" s="41" t="str">
        <f t="shared" si="5"/>
        <v>#NUM!</v>
      </c>
      <c r="V183" s="41" t="str">
        <f t="shared" si="6"/>
        <v>#NUM!</v>
      </c>
      <c r="W183" s="41" t="str">
        <f t="shared" si="7"/>
        <v>#NUM!</v>
      </c>
      <c r="X183" s="42" t="str">
        <f t="shared" si="8"/>
        <v>#NUM!</v>
      </c>
      <c r="Y183" s="41" t="str">
        <f t="shared" ref="Y183:Z183" si="177">U183+Y182</f>
        <v>#NUM!</v>
      </c>
      <c r="Z183" s="41" t="str">
        <f t="shared" si="177"/>
        <v>#NUM!</v>
      </c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3">
        <v>171.0</v>
      </c>
      <c r="R184" s="17">
        <f t="shared" si="2"/>
        <v>46081</v>
      </c>
      <c r="S184" s="41" t="str">
        <f t="shared" si="3"/>
        <v>#NUM!</v>
      </c>
      <c r="T184" s="40">
        <f t="shared" si="4"/>
        <v>706.6954536</v>
      </c>
      <c r="U184" s="41" t="str">
        <f t="shared" si="5"/>
        <v>#NUM!</v>
      </c>
      <c r="V184" s="41" t="str">
        <f t="shared" si="6"/>
        <v>#NUM!</v>
      </c>
      <c r="W184" s="41" t="str">
        <f t="shared" si="7"/>
        <v>#NUM!</v>
      </c>
      <c r="X184" s="42" t="str">
        <f t="shared" si="8"/>
        <v>#NUM!</v>
      </c>
      <c r="Y184" s="41" t="str">
        <f t="shared" ref="Y184:Z184" si="178">U184+Y183</f>
        <v>#NUM!</v>
      </c>
      <c r="Z184" s="41" t="str">
        <f t="shared" si="178"/>
        <v>#NUM!</v>
      </c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3">
        <v>172.0</v>
      </c>
      <c r="R185" s="17">
        <f t="shared" si="2"/>
        <v>46096</v>
      </c>
      <c r="S185" s="41" t="str">
        <f t="shared" si="3"/>
        <v>#NUM!</v>
      </c>
      <c r="T185" s="40">
        <f t="shared" si="4"/>
        <v>706.6954536</v>
      </c>
      <c r="U185" s="41" t="str">
        <f t="shared" si="5"/>
        <v>#NUM!</v>
      </c>
      <c r="V185" s="41" t="str">
        <f t="shared" si="6"/>
        <v>#NUM!</v>
      </c>
      <c r="W185" s="41" t="str">
        <f t="shared" si="7"/>
        <v>#NUM!</v>
      </c>
      <c r="X185" s="42" t="str">
        <f t="shared" si="8"/>
        <v>#NUM!</v>
      </c>
      <c r="Y185" s="41" t="str">
        <f t="shared" ref="Y185:Z185" si="179">U185+Y184</f>
        <v>#NUM!</v>
      </c>
      <c r="Z185" s="41" t="str">
        <f t="shared" si="179"/>
        <v>#NUM!</v>
      </c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3">
        <v>173.0</v>
      </c>
      <c r="R186" s="17">
        <f t="shared" si="2"/>
        <v>46112</v>
      </c>
      <c r="S186" s="41" t="str">
        <f t="shared" si="3"/>
        <v>#NUM!</v>
      </c>
      <c r="T186" s="40">
        <f t="shared" si="4"/>
        <v>706.6954536</v>
      </c>
      <c r="U186" s="41" t="str">
        <f t="shared" si="5"/>
        <v>#NUM!</v>
      </c>
      <c r="V186" s="41" t="str">
        <f t="shared" si="6"/>
        <v>#NUM!</v>
      </c>
      <c r="W186" s="41" t="str">
        <f t="shared" si="7"/>
        <v>#NUM!</v>
      </c>
      <c r="X186" s="42" t="str">
        <f t="shared" si="8"/>
        <v>#NUM!</v>
      </c>
      <c r="Y186" s="41" t="str">
        <f t="shared" ref="Y186:Z186" si="180">U186+Y185</f>
        <v>#NUM!</v>
      </c>
      <c r="Z186" s="41" t="str">
        <f t="shared" si="180"/>
        <v>#NUM!</v>
      </c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3">
        <v>174.0</v>
      </c>
      <c r="R187" s="17">
        <f t="shared" si="2"/>
        <v>46127</v>
      </c>
      <c r="S187" s="41" t="str">
        <f t="shared" si="3"/>
        <v>#NUM!</v>
      </c>
      <c r="T187" s="40">
        <f t="shared" si="4"/>
        <v>706.6954536</v>
      </c>
      <c r="U187" s="41" t="str">
        <f t="shared" si="5"/>
        <v>#NUM!</v>
      </c>
      <c r="V187" s="41" t="str">
        <f t="shared" si="6"/>
        <v>#NUM!</v>
      </c>
      <c r="W187" s="41" t="str">
        <f t="shared" si="7"/>
        <v>#NUM!</v>
      </c>
      <c r="X187" s="42" t="str">
        <f t="shared" si="8"/>
        <v>#NUM!</v>
      </c>
      <c r="Y187" s="41" t="str">
        <f t="shared" ref="Y187:Z187" si="181">U187+Y186</f>
        <v>#NUM!</v>
      </c>
      <c r="Z187" s="41" t="str">
        <f t="shared" si="181"/>
        <v>#NUM!</v>
      </c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3">
        <v>175.0</v>
      </c>
      <c r="R188" s="17">
        <f t="shared" si="2"/>
        <v>46142</v>
      </c>
      <c r="S188" s="41" t="str">
        <f t="shared" si="3"/>
        <v>#NUM!</v>
      </c>
      <c r="T188" s="40">
        <f t="shared" si="4"/>
        <v>706.6954536</v>
      </c>
      <c r="U188" s="41" t="str">
        <f t="shared" si="5"/>
        <v>#NUM!</v>
      </c>
      <c r="V188" s="41" t="str">
        <f t="shared" si="6"/>
        <v>#NUM!</v>
      </c>
      <c r="W188" s="41" t="str">
        <f t="shared" si="7"/>
        <v>#NUM!</v>
      </c>
      <c r="X188" s="42" t="str">
        <f t="shared" si="8"/>
        <v>#NUM!</v>
      </c>
      <c r="Y188" s="41" t="str">
        <f t="shared" ref="Y188:Z188" si="182">U188+Y187</f>
        <v>#NUM!</v>
      </c>
      <c r="Z188" s="41" t="str">
        <f t="shared" si="182"/>
        <v>#NUM!</v>
      </c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3">
        <v>176.0</v>
      </c>
      <c r="R189" s="17">
        <f t="shared" si="2"/>
        <v>46157</v>
      </c>
      <c r="S189" s="41" t="str">
        <f t="shared" si="3"/>
        <v>#NUM!</v>
      </c>
      <c r="T189" s="40">
        <f t="shared" si="4"/>
        <v>706.6954536</v>
      </c>
      <c r="U189" s="41" t="str">
        <f t="shared" si="5"/>
        <v>#NUM!</v>
      </c>
      <c r="V189" s="41" t="str">
        <f t="shared" si="6"/>
        <v>#NUM!</v>
      </c>
      <c r="W189" s="41" t="str">
        <f t="shared" si="7"/>
        <v>#NUM!</v>
      </c>
      <c r="X189" s="42" t="str">
        <f t="shared" si="8"/>
        <v>#NUM!</v>
      </c>
      <c r="Y189" s="41" t="str">
        <f t="shared" ref="Y189:Z189" si="183">U189+Y188</f>
        <v>#NUM!</v>
      </c>
      <c r="Z189" s="41" t="str">
        <f t="shared" si="183"/>
        <v>#NUM!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3">
        <v>177.0</v>
      </c>
      <c r="R190" s="17">
        <f t="shared" si="2"/>
        <v>46173</v>
      </c>
      <c r="S190" s="41" t="str">
        <f t="shared" si="3"/>
        <v>#NUM!</v>
      </c>
      <c r="T190" s="40">
        <f t="shared" si="4"/>
        <v>706.6954536</v>
      </c>
      <c r="U190" s="41" t="str">
        <f t="shared" si="5"/>
        <v>#NUM!</v>
      </c>
      <c r="V190" s="41" t="str">
        <f t="shared" si="6"/>
        <v>#NUM!</v>
      </c>
      <c r="W190" s="41" t="str">
        <f t="shared" si="7"/>
        <v>#NUM!</v>
      </c>
      <c r="X190" s="42" t="str">
        <f t="shared" si="8"/>
        <v>#NUM!</v>
      </c>
      <c r="Y190" s="41" t="str">
        <f t="shared" ref="Y190:Z190" si="184">U190+Y189</f>
        <v>#NUM!</v>
      </c>
      <c r="Z190" s="41" t="str">
        <f t="shared" si="184"/>
        <v>#NUM!</v>
      </c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3">
        <v>178.0</v>
      </c>
      <c r="R191" s="17">
        <f t="shared" si="2"/>
        <v>46188</v>
      </c>
      <c r="S191" s="41" t="str">
        <f t="shared" si="3"/>
        <v>#NUM!</v>
      </c>
      <c r="T191" s="40">
        <f t="shared" si="4"/>
        <v>706.6954536</v>
      </c>
      <c r="U191" s="41" t="str">
        <f t="shared" si="5"/>
        <v>#NUM!</v>
      </c>
      <c r="V191" s="41" t="str">
        <f t="shared" si="6"/>
        <v>#NUM!</v>
      </c>
      <c r="W191" s="41" t="str">
        <f t="shared" si="7"/>
        <v>#NUM!</v>
      </c>
      <c r="X191" s="42" t="str">
        <f t="shared" si="8"/>
        <v>#NUM!</v>
      </c>
      <c r="Y191" s="41" t="str">
        <f t="shared" ref="Y191:Z191" si="185">U191+Y190</f>
        <v>#NUM!</v>
      </c>
      <c r="Z191" s="41" t="str">
        <f t="shared" si="185"/>
        <v>#NUM!</v>
      </c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3">
        <v>179.0</v>
      </c>
      <c r="R192" s="17">
        <f t="shared" si="2"/>
        <v>46203</v>
      </c>
      <c r="S192" s="41" t="str">
        <f t="shared" si="3"/>
        <v>#NUM!</v>
      </c>
      <c r="T192" s="40">
        <f t="shared" si="4"/>
        <v>706.6954536</v>
      </c>
      <c r="U192" s="41" t="str">
        <f t="shared" si="5"/>
        <v>#NUM!</v>
      </c>
      <c r="V192" s="41" t="str">
        <f t="shared" si="6"/>
        <v>#NUM!</v>
      </c>
      <c r="W192" s="41" t="str">
        <f t="shared" si="7"/>
        <v>#NUM!</v>
      </c>
      <c r="X192" s="42" t="str">
        <f t="shared" si="8"/>
        <v>#NUM!</v>
      </c>
      <c r="Y192" s="41" t="str">
        <f t="shared" ref="Y192:Z192" si="186">U192+Y191</f>
        <v>#NUM!</v>
      </c>
      <c r="Z192" s="41" t="str">
        <f t="shared" si="186"/>
        <v>#NUM!</v>
      </c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3">
        <v>180.0</v>
      </c>
      <c r="R193" s="17">
        <f t="shared" si="2"/>
        <v>46218</v>
      </c>
      <c r="S193" s="41" t="str">
        <f t="shared" si="3"/>
        <v>#NUM!</v>
      </c>
      <c r="T193" s="40">
        <f t="shared" si="4"/>
        <v>706.6954536</v>
      </c>
      <c r="U193" s="41" t="str">
        <f t="shared" si="5"/>
        <v>#NUM!</v>
      </c>
      <c r="V193" s="41" t="str">
        <f t="shared" si="6"/>
        <v>#NUM!</v>
      </c>
      <c r="W193" s="41" t="str">
        <f t="shared" si="7"/>
        <v>#NUM!</v>
      </c>
      <c r="X193" s="42" t="str">
        <f t="shared" si="8"/>
        <v>#NUM!</v>
      </c>
      <c r="Y193" s="41" t="str">
        <f t="shared" ref="Y193:Z193" si="187">U193+Y192</f>
        <v>#NUM!</v>
      </c>
      <c r="Z193" s="41" t="str">
        <f t="shared" si="187"/>
        <v>#NUM!</v>
      </c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3">
        <v>181.0</v>
      </c>
      <c r="R194" s="17">
        <f t="shared" si="2"/>
        <v>46234</v>
      </c>
      <c r="S194" s="41" t="str">
        <f t="shared" si="3"/>
        <v>#NUM!</v>
      </c>
      <c r="T194" s="40">
        <f t="shared" si="4"/>
        <v>706.6954536</v>
      </c>
      <c r="U194" s="41" t="str">
        <f t="shared" si="5"/>
        <v>#NUM!</v>
      </c>
      <c r="V194" s="41" t="str">
        <f t="shared" si="6"/>
        <v>#NUM!</v>
      </c>
      <c r="W194" s="41" t="str">
        <f t="shared" si="7"/>
        <v>#NUM!</v>
      </c>
      <c r="X194" s="42" t="str">
        <f t="shared" si="8"/>
        <v>#NUM!</v>
      </c>
      <c r="Y194" s="41" t="str">
        <f t="shared" ref="Y194:Z194" si="188">U194+Y193</f>
        <v>#NUM!</v>
      </c>
      <c r="Z194" s="41" t="str">
        <f t="shared" si="188"/>
        <v>#NUM!</v>
      </c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3">
        <v>182.0</v>
      </c>
      <c r="R195" s="17">
        <f t="shared" si="2"/>
        <v>46249</v>
      </c>
      <c r="S195" s="41" t="str">
        <f t="shared" si="3"/>
        <v>#NUM!</v>
      </c>
      <c r="T195" s="40">
        <f t="shared" si="4"/>
        <v>706.6954536</v>
      </c>
      <c r="U195" s="41" t="str">
        <f t="shared" si="5"/>
        <v>#NUM!</v>
      </c>
      <c r="V195" s="41" t="str">
        <f t="shared" si="6"/>
        <v>#NUM!</v>
      </c>
      <c r="W195" s="41" t="str">
        <f t="shared" si="7"/>
        <v>#NUM!</v>
      </c>
      <c r="X195" s="42" t="str">
        <f t="shared" si="8"/>
        <v>#NUM!</v>
      </c>
      <c r="Y195" s="41" t="str">
        <f t="shared" ref="Y195:Z195" si="189">U195+Y194</f>
        <v>#NUM!</v>
      </c>
      <c r="Z195" s="41" t="str">
        <f t="shared" si="189"/>
        <v>#NUM!</v>
      </c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</sheetData>
  <dataValidations>
    <dataValidation type="decimal" operator="greaterThan" allowBlank="1" showDropDown="1" showErrorMessage="1" sqref="B3">
      <formula1>0.0</formula1>
    </dataValidation>
    <dataValidation type="list" allowBlank="1" showErrorMessage="1" sqref="B7">
      <formula1>"Bi-Weekly,Semi-Monthly,Monthly"</formula1>
    </dataValidation>
    <dataValidation type="custom" allowBlank="1" showDropDown="1" showInputMessage="1" showErrorMessage="1" prompt="Enter a whole number between 1 and 30" sqref="B6">
      <formula1>AND(INT(B6)=B6,B6&gt;0,B6&lt;31)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>
      <c r="A3" s="1" t="s">
        <v>62</v>
      </c>
      <c r="B3" s="26">
        <v>50000.0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>
      <c r="A4" s="1" t="s">
        <v>63</v>
      </c>
      <c r="B4" s="26">
        <v>80000.0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>
      <c r="A5" s="1" t="s">
        <v>64</v>
      </c>
      <c r="B5" s="27">
        <v>0.05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>
      <c r="A6" s="1" t="s">
        <v>65</v>
      </c>
      <c r="B6" s="13">
        <v>7.0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>
      <c r="A7" s="1" t="s">
        <v>66</v>
      </c>
      <c r="B7" s="13" t="s">
        <v>51</v>
      </c>
      <c r="C7" s="28">
        <f>switch(B7,"Bi-Weekly",26,"Semi-Monthly",24,12)</f>
        <v>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>
      <c r="A8" s="2" t="s">
        <v>67</v>
      </c>
      <c r="B8" s="13">
        <f>C7*B6</f>
        <v>84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>
      <c r="A9" s="1" t="s">
        <v>68</v>
      </c>
      <c r="B9" s="16">
        <v>43465.0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>
      <c r="A11" s="2" t="s">
        <v>69</v>
      </c>
      <c r="B11" s="29">
        <f>-CUMIPMT(B5/C7,B8,B3,1,B8,0)</f>
        <v>9362.418102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>
      <c r="A12" s="2"/>
      <c r="B12" s="2"/>
      <c r="C12" s="2"/>
      <c r="D12" s="2"/>
      <c r="E12" s="2"/>
      <c r="F12" s="2"/>
      <c r="G12" s="2" t="s">
        <v>70</v>
      </c>
      <c r="H12" s="2" t="s">
        <v>71</v>
      </c>
      <c r="I12" s="2" t="s">
        <v>72</v>
      </c>
      <c r="J12" s="2" t="s">
        <v>73</v>
      </c>
      <c r="K12" s="2" t="s">
        <v>74</v>
      </c>
      <c r="L12" s="2" t="s">
        <v>62</v>
      </c>
      <c r="M12" s="2" t="s">
        <v>75</v>
      </c>
      <c r="N12" s="2" t="s">
        <v>76</v>
      </c>
      <c r="O12" s="2" t="s">
        <v>77</v>
      </c>
      <c r="P12" s="37" t="s">
        <v>78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>
      <c r="A13" s="2"/>
      <c r="B13" s="2"/>
      <c r="C13" s="2"/>
      <c r="D13" s="2"/>
      <c r="E13" s="2"/>
      <c r="F13" s="2"/>
      <c r="G13" s="13">
        <v>0.0</v>
      </c>
      <c r="H13" s="16">
        <f>B9</f>
        <v>43465</v>
      </c>
      <c r="I13" s="29">
        <v>0.0</v>
      </c>
      <c r="J13" s="18"/>
      <c r="K13" s="18"/>
      <c r="L13" s="18"/>
      <c r="M13" s="26">
        <f>B3</f>
        <v>50000</v>
      </c>
      <c r="N13" s="39">
        <f>M13/B4</f>
        <v>0.625</v>
      </c>
      <c r="O13" s="2"/>
      <c r="P13" s="2"/>
      <c r="Q13" s="2"/>
      <c r="R13" s="2"/>
      <c r="S13" s="18"/>
      <c r="T13" s="18"/>
      <c r="U13" s="18"/>
      <c r="V13" s="18"/>
      <c r="W13" s="2"/>
      <c r="X13" s="9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>
      <c r="A14" s="2"/>
      <c r="B14" s="2"/>
      <c r="C14" s="2"/>
      <c r="D14" s="2"/>
      <c r="E14" s="2"/>
      <c r="F14" s="2"/>
      <c r="G14" s="13">
        <f t="shared" ref="G14:G195" si="1">IFS(G13="","",M13&lt;0.01,"",1=1,row()-13)</f>
        <v>1</v>
      </c>
      <c r="H14" s="43">
        <f t="shared" ref="H14:H195" si="2">IFS(G13="","",M13&lt;0.01,"",C7=12,EOMONTH(H13,1),C7=26,H13+14,DAY(H13)=15,EOMONTH(H13,0),1=1,H13+15)</f>
        <v>43496</v>
      </c>
      <c r="I14" s="29">
        <f t="shared" ref="I14:I195" si="3">IFS(G13="","",M13&lt;0.01,"",1=1,M13)</f>
        <v>50000</v>
      </c>
      <c r="J14" s="29">
        <f t="shared" ref="J14:J195" si="4">IFS(G13="","",M13&lt;0.01,"",1=1,-PMT($B$5/$C$7,$B$8,$B$3))</f>
        <v>706.6954536</v>
      </c>
      <c r="K14" s="29">
        <f t="shared" ref="K14:K195" si="5">IFS(G13="","",M13&lt;0.01,"",1=1,-IPMT($B$5/$C$7,G14,$B$8,$B$3))</f>
        <v>208.3333333</v>
      </c>
      <c r="L14" s="44">
        <f t="shared" ref="L14:L195" si="6">IFS(G13="","",M13&lt;0.01,"",1=1,-PPMT($B$5/$C$7,G14,$B$8,$B$3))</f>
        <v>498.3621203</v>
      </c>
      <c r="M14" s="29">
        <f t="shared" ref="M14:M195" si="7">IFS(G13="","",M13&lt;0.01,"",1=1,I14-L14)</f>
        <v>49501.63788</v>
      </c>
      <c r="N14" s="39">
        <f t="shared" ref="N14:N195" si="8">IFS(G13="","",M13&lt;0.01,"",1=1,M14/$B$4)</f>
        <v>0.6187704735</v>
      </c>
      <c r="O14" s="44">
        <f t="shared" ref="O14:O195" si="9">IFS(G13="","",M13&lt;0.01,"",1=1,-CUMIPMT($B$5/$C$7,$B$8,$B$3,1,G14,0))</f>
        <v>208.3333333</v>
      </c>
      <c r="P14" s="29">
        <f t="shared" ref="P14:P195" si="10">IFS(G13="","",M13&lt;0.01,"",1=1,-CUMPRINC($B$5/$C$7,$B$8,$B$3,1,G14,0))</f>
        <v>498.3621203</v>
      </c>
      <c r="Q14" s="2"/>
      <c r="R14" s="2"/>
      <c r="S14" s="2"/>
      <c r="T14" s="2"/>
      <c r="U14" s="2"/>
      <c r="V14" s="2"/>
      <c r="W14" s="2"/>
      <c r="X14" s="9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>
      <c r="A15" s="2"/>
      <c r="B15" s="2"/>
      <c r="C15" s="2"/>
      <c r="D15" s="2"/>
      <c r="E15" s="2"/>
      <c r="F15" s="2"/>
      <c r="G15" s="13">
        <f t="shared" si="1"/>
        <v>2</v>
      </c>
      <c r="H15" s="43">
        <f t="shared" si="2"/>
        <v>43511</v>
      </c>
      <c r="I15" s="29">
        <f t="shared" si="3"/>
        <v>49501.63788</v>
      </c>
      <c r="J15" s="29">
        <f t="shared" si="4"/>
        <v>706.6954536</v>
      </c>
      <c r="K15" s="29">
        <f t="shared" si="5"/>
        <v>206.2568245</v>
      </c>
      <c r="L15" s="44">
        <f t="shared" si="6"/>
        <v>500.4386291</v>
      </c>
      <c r="M15" s="29">
        <f t="shared" si="7"/>
        <v>49001.19925</v>
      </c>
      <c r="N15" s="39">
        <f t="shared" si="8"/>
        <v>0.6125149906</v>
      </c>
      <c r="O15" s="44">
        <f t="shared" si="9"/>
        <v>414.5901578</v>
      </c>
      <c r="P15" s="29">
        <f t="shared" si="10"/>
        <v>998.8007494</v>
      </c>
      <c r="Q15" s="2"/>
      <c r="R15" s="2"/>
      <c r="S15" s="2"/>
      <c r="T15" s="2"/>
      <c r="U15" s="2"/>
      <c r="V15" s="2"/>
      <c r="W15" s="2"/>
      <c r="X15" s="9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>
      <c r="A16" s="2"/>
      <c r="B16" s="2"/>
      <c r="C16" s="2"/>
      <c r="D16" s="2"/>
      <c r="E16" s="2"/>
      <c r="F16" s="2"/>
      <c r="G16" s="13">
        <f t="shared" si="1"/>
        <v>3</v>
      </c>
      <c r="H16" s="43">
        <f t="shared" si="2"/>
        <v>43524</v>
      </c>
      <c r="I16" s="29">
        <f t="shared" si="3"/>
        <v>49001.19925</v>
      </c>
      <c r="J16" s="29">
        <f t="shared" si="4"/>
        <v>706.6954536</v>
      </c>
      <c r="K16" s="29">
        <f t="shared" si="5"/>
        <v>204.1716635</v>
      </c>
      <c r="L16" s="44">
        <f t="shared" si="6"/>
        <v>502.5237901</v>
      </c>
      <c r="M16" s="29">
        <f t="shared" si="7"/>
        <v>48498.67546</v>
      </c>
      <c r="N16" s="39">
        <f t="shared" si="8"/>
        <v>0.6062334433</v>
      </c>
      <c r="O16" s="44">
        <f t="shared" si="9"/>
        <v>618.7618214</v>
      </c>
      <c r="P16" s="29">
        <f t="shared" si="10"/>
        <v>1501.324539</v>
      </c>
      <c r="Q16" s="2"/>
      <c r="R16" s="2"/>
      <c r="S16" s="2"/>
      <c r="T16" s="2"/>
      <c r="U16" s="2"/>
      <c r="V16" s="2"/>
      <c r="W16" s="2"/>
      <c r="X16" s="9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>
      <c r="A17" s="2"/>
      <c r="B17" s="2"/>
      <c r="C17" s="2"/>
      <c r="D17" s="2"/>
      <c r="E17" s="2"/>
      <c r="F17" s="2"/>
      <c r="G17" s="13">
        <f t="shared" si="1"/>
        <v>4</v>
      </c>
      <c r="H17" s="43">
        <f t="shared" si="2"/>
        <v>43539</v>
      </c>
      <c r="I17" s="29">
        <f t="shared" si="3"/>
        <v>48498.67546</v>
      </c>
      <c r="J17" s="29">
        <f t="shared" si="4"/>
        <v>706.6954536</v>
      </c>
      <c r="K17" s="29">
        <f t="shared" si="5"/>
        <v>202.0778144</v>
      </c>
      <c r="L17" s="44">
        <f t="shared" si="6"/>
        <v>504.6176392</v>
      </c>
      <c r="M17" s="29">
        <f t="shared" si="7"/>
        <v>47994.05782</v>
      </c>
      <c r="N17" s="39">
        <f t="shared" si="8"/>
        <v>0.5999257228</v>
      </c>
      <c r="O17" s="44">
        <f t="shared" si="9"/>
        <v>820.8396358</v>
      </c>
      <c r="P17" s="29">
        <f t="shared" si="10"/>
        <v>2005.942179</v>
      </c>
      <c r="Q17" s="2"/>
      <c r="R17" s="2"/>
      <c r="S17" s="2"/>
      <c r="T17" s="2"/>
      <c r="U17" s="2"/>
      <c r="V17" s="2"/>
      <c r="W17" s="2"/>
      <c r="X17" s="9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>
      <c r="A18" s="2"/>
      <c r="B18" s="2"/>
      <c r="C18" s="2"/>
      <c r="D18" s="2"/>
      <c r="E18" s="2"/>
      <c r="F18" s="2"/>
      <c r="G18" s="13">
        <f t="shared" si="1"/>
        <v>5</v>
      </c>
      <c r="H18" s="43">
        <f t="shared" si="2"/>
        <v>43555</v>
      </c>
      <c r="I18" s="29">
        <f t="shared" si="3"/>
        <v>47994.05782</v>
      </c>
      <c r="J18" s="29">
        <f t="shared" si="4"/>
        <v>706.6954536</v>
      </c>
      <c r="K18" s="29">
        <f t="shared" si="5"/>
        <v>199.9752409</v>
      </c>
      <c r="L18" s="44">
        <f t="shared" si="6"/>
        <v>506.7202127</v>
      </c>
      <c r="M18" s="29">
        <f t="shared" si="7"/>
        <v>47487.33761</v>
      </c>
      <c r="N18" s="39">
        <f t="shared" si="8"/>
        <v>0.5935917201</v>
      </c>
      <c r="O18" s="44">
        <f t="shared" si="9"/>
        <v>1020.814877</v>
      </c>
      <c r="P18" s="29">
        <f t="shared" si="10"/>
        <v>2512.662391</v>
      </c>
      <c r="Q18" s="2"/>
      <c r="R18" s="2"/>
      <c r="S18" s="2"/>
      <c r="T18" s="2"/>
      <c r="U18" s="2"/>
      <c r="V18" s="2"/>
      <c r="W18" s="2"/>
      <c r="X18" s="9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>
      <c r="A19" s="2"/>
      <c r="B19" s="2"/>
      <c r="C19" s="2"/>
      <c r="D19" s="2"/>
      <c r="E19" s="2"/>
      <c r="F19" s="2"/>
      <c r="G19" s="13">
        <f t="shared" si="1"/>
        <v>6</v>
      </c>
      <c r="H19" s="43">
        <f t="shared" si="2"/>
        <v>43570</v>
      </c>
      <c r="I19" s="29">
        <f t="shared" si="3"/>
        <v>47487.33761</v>
      </c>
      <c r="J19" s="29">
        <f t="shared" si="4"/>
        <v>706.6954536</v>
      </c>
      <c r="K19" s="29">
        <f t="shared" si="5"/>
        <v>197.8639067</v>
      </c>
      <c r="L19" s="44">
        <f t="shared" si="6"/>
        <v>508.8315469</v>
      </c>
      <c r="M19" s="29">
        <f t="shared" si="7"/>
        <v>46978.50606</v>
      </c>
      <c r="N19" s="39">
        <f t="shared" si="8"/>
        <v>0.5872313258</v>
      </c>
      <c r="O19" s="44">
        <f t="shared" si="9"/>
        <v>1218.678783</v>
      </c>
      <c r="P19" s="29">
        <f t="shared" si="10"/>
        <v>3021.493938</v>
      </c>
      <c r="Q19" s="2"/>
      <c r="R19" s="2"/>
      <c r="S19" s="2"/>
      <c r="T19" s="2"/>
      <c r="U19" s="2"/>
      <c r="V19" s="2"/>
      <c r="W19" s="2"/>
      <c r="X19" s="9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>
      <c r="A20" s="2"/>
      <c r="B20" s="2"/>
      <c r="C20" s="2"/>
      <c r="D20" s="2"/>
      <c r="E20" s="2"/>
      <c r="F20" s="2"/>
      <c r="G20" s="13">
        <f t="shared" si="1"/>
        <v>7</v>
      </c>
      <c r="H20" s="43">
        <f t="shared" si="2"/>
        <v>43585</v>
      </c>
      <c r="I20" s="29">
        <f t="shared" si="3"/>
        <v>46978.50606</v>
      </c>
      <c r="J20" s="29">
        <f t="shared" si="4"/>
        <v>706.6954536</v>
      </c>
      <c r="K20" s="29">
        <f t="shared" si="5"/>
        <v>195.7437753</v>
      </c>
      <c r="L20" s="44">
        <f t="shared" si="6"/>
        <v>510.9516783</v>
      </c>
      <c r="M20" s="29">
        <f t="shared" si="7"/>
        <v>46467.55438</v>
      </c>
      <c r="N20" s="39">
        <f t="shared" si="8"/>
        <v>0.5808444298</v>
      </c>
      <c r="O20" s="44">
        <f t="shared" si="9"/>
        <v>1414.422559</v>
      </c>
      <c r="P20" s="29">
        <f t="shared" si="10"/>
        <v>3532.445616</v>
      </c>
      <c r="Q20" s="2"/>
      <c r="R20" s="2"/>
      <c r="S20" s="2"/>
      <c r="T20" s="2"/>
      <c r="U20" s="2"/>
      <c r="V20" s="2"/>
      <c r="W20" s="2"/>
      <c r="X20" s="9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>
      <c r="A21" s="2"/>
      <c r="B21" s="2"/>
      <c r="C21" s="2"/>
      <c r="D21" s="2"/>
      <c r="E21" s="2"/>
      <c r="F21" s="2"/>
      <c r="G21" s="13">
        <f t="shared" si="1"/>
        <v>8</v>
      </c>
      <c r="H21" s="43">
        <f t="shared" si="2"/>
        <v>43600</v>
      </c>
      <c r="I21" s="29">
        <f t="shared" si="3"/>
        <v>46467.55438</v>
      </c>
      <c r="J21" s="29">
        <f t="shared" si="4"/>
        <v>706.6954536</v>
      </c>
      <c r="K21" s="29">
        <f t="shared" si="5"/>
        <v>193.6148099</v>
      </c>
      <c r="L21" s="44">
        <f t="shared" si="6"/>
        <v>513.0806437</v>
      </c>
      <c r="M21" s="29">
        <f t="shared" si="7"/>
        <v>45954.47374</v>
      </c>
      <c r="N21" s="39">
        <f t="shared" si="8"/>
        <v>0.5744309217</v>
      </c>
      <c r="O21" s="44">
        <f t="shared" si="9"/>
        <v>1608.037369</v>
      </c>
      <c r="P21" s="29">
        <f t="shared" si="10"/>
        <v>4045.52626</v>
      </c>
      <c r="Q21" s="2"/>
      <c r="R21" s="2"/>
      <c r="S21" s="2"/>
      <c r="T21" s="2"/>
      <c r="U21" s="2"/>
      <c r="V21" s="2"/>
      <c r="W21" s="2"/>
      <c r="X21" s="9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>
      <c r="A22" s="2"/>
      <c r="B22" s="2"/>
      <c r="C22" s="2"/>
      <c r="D22" s="2"/>
      <c r="E22" s="2"/>
      <c r="F22" s="2"/>
      <c r="G22" s="13">
        <f t="shared" si="1"/>
        <v>9</v>
      </c>
      <c r="H22" s="43">
        <f t="shared" si="2"/>
        <v>43616</v>
      </c>
      <c r="I22" s="29">
        <f t="shared" si="3"/>
        <v>45954.47374</v>
      </c>
      <c r="J22" s="29">
        <f t="shared" si="4"/>
        <v>706.6954536</v>
      </c>
      <c r="K22" s="29">
        <f t="shared" si="5"/>
        <v>191.4769739</v>
      </c>
      <c r="L22" s="44">
        <f t="shared" si="6"/>
        <v>515.2184797</v>
      </c>
      <c r="M22" s="29">
        <f t="shared" si="7"/>
        <v>45439.25526</v>
      </c>
      <c r="N22" s="39">
        <f t="shared" si="8"/>
        <v>0.5679906908</v>
      </c>
      <c r="O22" s="44">
        <f t="shared" si="9"/>
        <v>1799.514343</v>
      </c>
      <c r="P22" s="29">
        <f t="shared" si="10"/>
        <v>4560.74474</v>
      </c>
      <c r="Q22" s="2"/>
      <c r="R22" s="2"/>
      <c r="S22" s="2"/>
      <c r="T22" s="2"/>
      <c r="U22" s="2"/>
      <c r="V22" s="2"/>
      <c r="W22" s="2"/>
      <c r="X22" s="9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>
      <c r="A23" s="2"/>
      <c r="B23" s="2"/>
      <c r="C23" s="2"/>
      <c r="D23" s="2"/>
      <c r="E23" s="2"/>
      <c r="F23" s="2"/>
      <c r="G23" s="13">
        <f t="shared" si="1"/>
        <v>10</v>
      </c>
      <c r="H23" s="43">
        <f t="shared" si="2"/>
        <v>43631</v>
      </c>
      <c r="I23" s="29">
        <f t="shared" si="3"/>
        <v>45439.25526</v>
      </c>
      <c r="J23" s="29">
        <f t="shared" si="4"/>
        <v>706.6954536</v>
      </c>
      <c r="K23" s="29">
        <f t="shared" si="5"/>
        <v>189.3302303</v>
      </c>
      <c r="L23" s="44">
        <f t="shared" si="6"/>
        <v>517.3652233</v>
      </c>
      <c r="M23" s="29">
        <f t="shared" si="7"/>
        <v>44921.89004</v>
      </c>
      <c r="N23" s="39">
        <f t="shared" si="8"/>
        <v>0.5615236255</v>
      </c>
      <c r="O23" s="44">
        <f t="shared" si="9"/>
        <v>1988.844573</v>
      </c>
      <c r="P23" s="29">
        <f t="shared" si="10"/>
        <v>5078.109963</v>
      </c>
      <c r="Q23" s="2"/>
      <c r="R23" s="2"/>
      <c r="S23" s="2"/>
      <c r="T23" s="2"/>
      <c r="U23" s="2"/>
      <c r="V23" s="2"/>
      <c r="W23" s="2"/>
      <c r="X23" s="9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>
      <c r="A24" s="2"/>
      <c r="B24" s="2"/>
      <c r="C24" s="2"/>
      <c r="D24" s="2"/>
      <c r="E24" s="2"/>
      <c r="F24" s="2"/>
      <c r="G24" s="13">
        <f t="shared" si="1"/>
        <v>11</v>
      </c>
      <c r="H24" s="43">
        <f t="shared" si="2"/>
        <v>43646</v>
      </c>
      <c r="I24" s="29">
        <f t="shared" si="3"/>
        <v>44921.89004</v>
      </c>
      <c r="J24" s="29">
        <f t="shared" si="4"/>
        <v>706.6954536</v>
      </c>
      <c r="K24" s="29">
        <f t="shared" si="5"/>
        <v>187.1745418</v>
      </c>
      <c r="L24" s="44">
        <f t="shared" si="6"/>
        <v>519.5209118</v>
      </c>
      <c r="M24" s="29">
        <f t="shared" si="7"/>
        <v>44402.36913</v>
      </c>
      <c r="N24" s="39">
        <f t="shared" si="8"/>
        <v>0.5550296141</v>
      </c>
      <c r="O24" s="44">
        <f t="shared" si="9"/>
        <v>2176.019115</v>
      </c>
      <c r="P24" s="29">
        <f t="shared" si="10"/>
        <v>5597.630875</v>
      </c>
      <c r="Q24" s="2"/>
      <c r="R24" s="2"/>
      <c r="S24" s="2"/>
      <c r="T24" s="2"/>
      <c r="U24" s="2"/>
      <c r="V24" s="2"/>
      <c r="W24" s="2"/>
      <c r="X24" s="9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>
      <c r="A25" s="2"/>
      <c r="B25" s="2"/>
      <c r="C25" s="2"/>
      <c r="D25" s="2"/>
      <c r="E25" s="2"/>
      <c r="F25" s="2"/>
      <c r="G25" s="13">
        <f t="shared" si="1"/>
        <v>12</v>
      </c>
      <c r="H25" s="43">
        <f t="shared" si="2"/>
        <v>43661</v>
      </c>
      <c r="I25" s="29">
        <f t="shared" si="3"/>
        <v>44402.36913</v>
      </c>
      <c r="J25" s="29">
        <f t="shared" si="4"/>
        <v>706.6954536</v>
      </c>
      <c r="K25" s="29">
        <f t="shared" si="5"/>
        <v>185.0098714</v>
      </c>
      <c r="L25" s="44">
        <f t="shared" si="6"/>
        <v>521.6855822</v>
      </c>
      <c r="M25" s="29">
        <f t="shared" si="7"/>
        <v>43880.68354</v>
      </c>
      <c r="N25" s="39">
        <f t="shared" si="8"/>
        <v>0.5485085443</v>
      </c>
      <c r="O25" s="44">
        <f t="shared" si="9"/>
        <v>2361.028986</v>
      </c>
      <c r="P25" s="29">
        <f t="shared" si="10"/>
        <v>6119.316457</v>
      </c>
      <c r="Q25" s="2"/>
      <c r="R25" s="2"/>
      <c r="S25" s="2"/>
      <c r="T25" s="2"/>
      <c r="U25" s="2"/>
      <c r="V25" s="2"/>
      <c r="W25" s="2"/>
      <c r="X25" s="9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>
      <c r="A26" s="2"/>
      <c r="B26" s="2"/>
      <c r="C26" s="2"/>
      <c r="D26" s="2"/>
      <c r="E26" s="2"/>
      <c r="F26" s="2"/>
      <c r="G26" s="13">
        <f t="shared" si="1"/>
        <v>13</v>
      </c>
      <c r="H26" s="43">
        <f t="shared" si="2"/>
        <v>43677</v>
      </c>
      <c r="I26" s="29">
        <f t="shared" si="3"/>
        <v>43880.68354</v>
      </c>
      <c r="J26" s="29">
        <f t="shared" si="4"/>
        <v>706.6954536</v>
      </c>
      <c r="K26" s="29">
        <f t="shared" si="5"/>
        <v>182.8361814</v>
      </c>
      <c r="L26" s="44">
        <f t="shared" si="6"/>
        <v>523.8592722</v>
      </c>
      <c r="M26" s="29">
        <f t="shared" si="7"/>
        <v>43356.82427</v>
      </c>
      <c r="N26" s="39">
        <f t="shared" si="8"/>
        <v>0.5419603034</v>
      </c>
      <c r="O26" s="44">
        <f t="shared" si="9"/>
        <v>2543.865167</v>
      </c>
      <c r="P26" s="29">
        <f t="shared" si="10"/>
        <v>6643.175729</v>
      </c>
      <c r="Q26" s="2"/>
      <c r="R26" s="2"/>
      <c r="S26" s="2"/>
      <c r="T26" s="2"/>
      <c r="U26" s="2"/>
      <c r="V26" s="2"/>
      <c r="W26" s="2"/>
      <c r="X26" s="9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>
      <c r="A27" s="2"/>
      <c r="B27" s="2"/>
      <c r="C27" s="2"/>
      <c r="D27" s="2"/>
      <c r="E27" s="2"/>
      <c r="F27" s="2"/>
      <c r="G27" s="13">
        <f t="shared" si="1"/>
        <v>14</v>
      </c>
      <c r="H27" s="43">
        <f t="shared" si="2"/>
        <v>43692</v>
      </c>
      <c r="I27" s="29">
        <f t="shared" si="3"/>
        <v>43356.82427</v>
      </c>
      <c r="J27" s="29">
        <f t="shared" si="4"/>
        <v>706.6954536</v>
      </c>
      <c r="K27" s="29">
        <f t="shared" si="5"/>
        <v>180.6534345</v>
      </c>
      <c r="L27" s="44">
        <f t="shared" si="6"/>
        <v>526.0420191</v>
      </c>
      <c r="M27" s="29">
        <f t="shared" si="7"/>
        <v>42830.78225</v>
      </c>
      <c r="N27" s="39">
        <f t="shared" si="8"/>
        <v>0.5353847781</v>
      </c>
      <c r="O27" s="44">
        <f t="shared" si="9"/>
        <v>2724.518602</v>
      </c>
      <c r="P27" s="29">
        <f t="shared" si="10"/>
        <v>7169.217748</v>
      </c>
      <c r="Q27" s="2"/>
      <c r="R27" s="2"/>
      <c r="S27" s="2"/>
      <c r="T27" s="2"/>
      <c r="U27" s="2"/>
      <c r="V27" s="2"/>
      <c r="W27" s="2"/>
      <c r="X27" s="9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>
      <c r="A28" s="2"/>
      <c r="B28" s="2"/>
      <c r="C28" s="2"/>
      <c r="D28" s="2"/>
      <c r="E28" s="2"/>
      <c r="F28" s="2"/>
      <c r="G28" s="13">
        <f t="shared" si="1"/>
        <v>15</v>
      </c>
      <c r="H28" s="43">
        <f t="shared" si="2"/>
        <v>43708</v>
      </c>
      <c r="I28" s="29">
        <f t="shared" si="3"/>
        <v>42830.78225</v>
      </c>
      <c r="J28" s="29">
        <f t="shared" si="4"/>
        <v>706.6954536</v>
      </c>
      <c r="K28" s="29">
        <f t="shared" si="5"/>
        <v>178.4615927</v>
      </c>
      <c r="L28" s="44">
        <f t="shared" si="6"/>
        <v>528.2338609</v>
      </c>
      <c r="M28" s="29">
        <f t="shared" si="7"/>
        <v>42302.54839</v>
      </c>
      <c r="N28" s="39">
        <f t="shared" si="8"/>
        <v>0.5287818549</v>
      </c>
      <c r="O28" s="44">
        <f t="shared" si="9"/>
        <v>2902.980195</v>
      </c>
      <c r="P28" s="29">
        <f t="shared" si="10"/>
        <v>7697.451609</v>
      </c>
      <c r="Q28" s="2"/>
      <c r="R28" s="2"/>
      <c r="S28" s="2"/>
      <c r="T28" s="2"/>
      <c r="U28" s="2"/>
      <c r="V28" s="2"/>
      <c r="W28" s="2"/>
      <c r="X28" s="9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>
      <c r="A29" s="2"/>
      <c r="B29" s="2"/>
      <c r="C29" s="2"/>
      <c r="D29" s="2"/>
      <c r="E29" s="2"/>
      <c r="F29" s="2"/>
      <c r="G29" s="13">
        <f t="shared" si="1"/>
        <v>16</v>
      </c>
      <c r="H29" s="43">
        <f t="shared" si="2"/>
        <v>43723</v>
      </c>
      <c r="I29" s="29">
        <f t="shared" si="3"/>
        <v>42302.54839</v>
      </c>
      <c r="J29" s="29">
        <f t="shared" si="4"/>
        <v>706.6954536</v>
      </c>
      <c r="K29" s="29">
        <f t="shared" si="5"/>
        <v>176.2606183</v>
      </c>
      <c r="L29" s="44">
        <f t="shared" si="6"/>
        <v>530.4348353</v>
      </c>
      <c r="M29" s="29">
        <f t="shared" si="7"/>
        <v>41772.11356</v>
      </c>
      <c r="N29" s="39">
        <f t="shared" si="8"/>
        <v>0.5221514194</v>
      </c>
      <c r="O29" s="44">
        <f t="shared" si="9"/>
        <v>3079.240813</v>
      </c>
      <c r="P29" s="29">
        <f t="shared" si="10"/>
        <v>8227.886445</v>
      </c>
      <c r="Q29" s="2"/>
      <c r="R29" s="2"/>
      <c r="S29" s="2"/>
      <c r="T29" s="2"/>
      <c r="U29" s="2"/>
      <c r="V29" s="2"/>
      <c r="W29" s="2"/>
      <c r="X29" s="9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>
      <c r="A30" s="2"/>
      <c r="B30" s="2"/>
      <c r="C30" s="2"/>
      <c r="D30" s="2"/>
      <c r="E30" s="2"/>
      <c r="F30" s="2"/>
      <c r="G30" s="13">
        <f t="shared" si="1"/>
        <v>17</v>
      </c>
      <c r="H30" s="43">
        <f t="shared" si="2"/>
        <v>43738</v>
      </c>
      <c r="I30" s="29">
        <f t="shared" si="3"/>
        <v>41772.11356</v>
      </c>
      <c r="J30" s="29">
        <f t="shared" si="4"/>
        <v>706.6954536</v>
      </c>
      <c r="K30" s="29">
        <f t="shared" si="5"/>
        <v>174.0504731</v>
      </c>
      <c r="L30" s="44">
        <f t="shared" si="6"/>
        <v>532.6449804</v>
      </c>
      <c r="M30" s="29">
        <f t="shared" si="7"/>
        <v>41239.46857</v>
      </c>
      <c r="N30" s="39">
        <f t="shared" si="8"/>
        <v>0.5154933572</v>
      </c>
      <c r="O30" s="44">
        <f t="shared" si="9"/>
        <v>3253.291286</v>
      </c>
      <c r="P30" s="29">
        <f t="shared" si="10"/>
        <v>8760.531425</v>
      </c>
      <c r="Q30" s="2"/>
      <c r="R30" s="2"/>
      <c r="S30" s="2"/>
      <c r="T30" s="2"/>
      <c r="U30" s="2"/>
      <c r="V30" s="2"/>
      <c r="W30" s="2"/>
      <c r="X30" s="9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>
      <c r="A31" s="2"/>
      <c r="B31" s="2"/>
      <c r="C31" s="2"/>
      <c r="D31" s="2"/>
      <c r="E31" s="2"/>
      <c r="F31" s="2"/>
      <c r="G31" s="13">
        <f t="shared" si="1"/>
        <v>18</v>
      </c>
      <c r="H31" s="43">
        <f t="shared" si="2"/>
        <v>43753</v>
      </c>
      <c r="I31" s="29">
        <f t="shared" si="3"/>
        <v>41239.46857</v>
      </c>
      <c r="J31" s="29">
        <f t="shared" si="4"/>
        <v>706.6954536</v>
      </c>
      <c r="K31" s="29">
        <f t="shared" si="5"/>
        <v>171.8311191</v>
      </c>
      <c r="L31" s="44">
        <f t="shared" si="6"/>
        <v>534.8643345</v>
      </c>
      <c r="M31" s="29">
        <f t="shared" si="7"/>
        <v>40704.60424</v>
      </c>
      <c r="N31" s="39">
        <f t="shared" si="8"/>
        <v>0.508807553</v>
      </c>
      <c r="O31" s="44">
        <f t="shared" si="9"/>
        <v>3425.122405</v>
      </c>
      <c r="P31" s="29">
        <f t="shared" si="10"/>
        <v>9295.39576</v>
      </c>
      <c r="Q31" s="2"/>
      <c r="R31" s="2"/>
      <c r="S31" s="2"/>
      <c r="T31" s="2"/>
      <c r="U31" s="2"/>
      <c r="V31" s="2"/>
      <c r="W31" s="2"/>
      <c r="X31" s="9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>
      <c r="A32" s="2"/>
      <c r="B32" s="2"/>
      <c r="C32" s="2"/>
      <c r="D32" s="2"/>
      <c r="E32" s="2"/>
      <c r="F32" s="2"/>
      <c r="G32" s="13">
        <f t="shared" si="1"/>
        <v>19</v>
      </c>
      <c r="H32" s="43">
        <f t="shared" si="2"/>
        <v>43769</v>
      </c>
      <c r="I32" s="29">
        <f t="shared" si="3"/>
        <v>40704.60424</v>
      </c>
      <c r="J32" s="29">
        <f t="shared" si="4"/>
        <v>706.6954536</v>
      </c>
      <c r="K32" s="29">
        <f t="shared" si="5"/>
        <v>169.6025177</v>
      </c>
      <c r="L32" s="44">
        <f t="shared" si="6"/>
        <v>537.0929359</v>
      </c>
      <c r="M32" s="29">
        <f t="shared" si="7"/>
        <v>40167.5113</v>
      </c>
      <c r="N32" s="39">
        <f t="shared" si="8"/>
        <v>0.5020938913</v>
      </c>
      <c r="O32" s="44">
        <f t="shared" si="9"/>
        <v>3594.724923</v>
      </c>
      <c r="P32" s="29">
        <f t="shared" si="10"/>
        <v>9832.488696</v>
      </c>
      <c r="Q32" s="2"/>
      <c r="R32" s="2"/>
      <c r="S32" s="2"/>
      <c r="T32" s="2"/>
      <c r="U32" s="2"/>
      <c r="V32" s="2"/>
      <c r="W32" s="2"/>
      <c r="X32" s="9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>
      <c r="A33" s="2"/>
      <c r="B33" s="2"/>
      <c r="C33" s="2"/>
      <c r="D33" s="2"/>
      <c r="E33" s="2"/>
      <c r="F33" s="2"/>
      <c r="G33" s="13">
        <f t="shared" si="1"/>
        <v>20</v>
      </c>
      <c r="H33" s="43">
        <f t="shared" si="2"/>
        <v>43784</v>
      </c>
      <c r="I33" s="29">
        <f t="shared" si="3"/>
        <v>40167.5113</v>
      </c>
      <c r="J33" s="29">
        <f t="shared" si="4"/>
        <v>706.6954536</v>
      </c>
      <c r="K33" s="29">
        <f t="shared" si="5"/>
        <v>167.3646304</v>
      </c>
      <c r="L33" s="44">
        <f t="shared" si="6"/>
        <v>539.3308232</v>
      </c>
      <c r="M33" s="29">
        <f t="shared" si="7"/>
        <v>39628.18048</v>
      </c>
      <c r="N33" s="39">
        <f t="shared" si="8"/>
        <v>0.495352256</v>
      </c>
      <c r="O33" s="44">
        <f t="shared" si="9"/>
        <v>3762.089553</v>
      </c>
      <c r="P33" s="29">
        <f t="shared" si="10"/>
        <v>10371.81952</v>
      </c>
      <c r="Q33" s="2"/>
      <c r="R33" s="2"/>
      <c r="S33" s="2"/>
      <c r="T33" s="2"/>
      <c r="U33" s="2"/>
      <c r="V33" s="2"/>
      <c r="W33" s="2"/>
      <c r="X33" s="9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>
      <c r="A34" s="2"/>
      <c r="B34" s="2"/>
      <c r="C34" s="2"/>
      <c r="D34" s="2"/>
      <c r="E34" s="2"/>
      <c r="F34" s="2"/>
      <c r="G34" s="13">
        <f t="shared" si="1"/>
        <v>21</v>
      </c>
      <c r="H34" s="43">
        <f t="shared" si="2"/>
        <v>43799</v>
      </c>
      <c r="I34" s="29">
        <f t="shared" si="3"/>
        <v>39628.18048</v>
      </c>
      <c r="J34" s="29">
        <f t="shared" si="4"/>
        <v>706.6954536</v>
      </c>
      <c r="K34" s="29">
        <f t="shared" si="5"/>
        <v>165.1174187</v>
      </c>
      <c r="L34" s="44">
        <f t="shared" si="6"/>
        <v>541.5780349</v>
      </c>
      <c r="M34" s="29">
        <f t="shared" si="7"/>
        <v>39086.60245</v>
      </c>
      <c r="N34" s="39">
        <f t="shared" si="8"/>
        <v>0.4885825306</v>
      </c>
      <c r="O34" s="44">
        <f t="shared" si="9"/>
        <v>3927.206972</v>
      </c>
      <c r="P34" s="29">
        <f t="shared" si="10"/>
        <v>10913.39755</v>
      </c>
      <c r="Q34" s="2"/>
      <c r="R34" s="2"/>
      <c r="S34" s="2"/>
      <c r="T34" s="2"/>
      <c r="U34" s="2"/>
      <c r="V34" s="2"/>
      <c r="W34" s="2"/>
      <c r="X34" s="9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>
      <c r="A35" s="2"/>
      <c r="B35" s="2"/>
      <c r="C35" s="2"/>
      <c r="D35" s="2"/>
      <c r="E35" s="2"/>
      <c r="F35" s="2"/>
      <c r="G35" s="13">
        <f t="shared" si="1"/>
        <v>22</v>
      </c>
      <c r="H35" s="43">
        <f t="shared" si="2"/>
        <v>43814</v>
      </c>
      <c r="I35" s="29">
        <f t="shared" si="3"/>
        <v>39086.60245</v>
      </c>
      <c r="J35" s="29">
        <f t="shared" si="4"/>
        <v>706.6954536</v>
      </c>
      <c r="K35" s="29">
        <f t="shared" si="5"/>
        <v>162.8608435</v>
      </c>
      <c r="L35" s="44">
        <f t="shared" si="6"/>
        <v>543.8346101</v>
      </c>
      <c r="M35" s="29">
        <f t="shared" si="7"/>
        <v>38542.76784</v>
      </c>
      <c r="N35" s="39">
        <f t="shared" si="8"/>
        <v>0.481784598</v>
      </c>
      <c r="O35" s="44">
        <f t="shared" si="9"/>
        <v>4090.067815</v>
      </c>
      <c r="P35" s="29">
        <f t="shared" si="10"/>
        <v>11457.23216</v>
      </c>
      <c r="Q35" s="2"/>
      <c r="R35" s="2"/>
      <c r="S35" s="2"/>
      <c r="T35" s="2"/>
      <c r="U35" s="2"/>
      <c r="V35" s="2"/>
      <c r="W35" s="2"/>
      <c r="X35" s="9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>
      <c r="A36" s="2"/>
      <c r="B36" s="2"/>
      <c r="C36" s="2"/>
      <c r="D36" s="2"/>
      <c r="E36" s="2"/>
      <c r="F36" s="2"/>
      <c r="G36" s="13">
        <f t="shared" si="1"/>
        <v>23</v>
      </c>
      <c r="H36" s="43">
        <f t="shared" si="2"/>
        <v>43830</v>
      </c>
      <c r="I36" s="29">
        <f t="shared" si="3"/>
        <v>38542.76784</v>
      </c>
      <c r="J36" s="29">
        <f t="shared" si="4"/>
        <v>706.6954536</v>
      </c>
      <c r="K36" s="29">
        <f t="shared" si="5"/>
        <v>160.594866</v>
      </c>
      <c r="L36" s="44">
        <f t="shared" si="6"/>
        <v>546.1005876</v>
      </c>
      <c r="M36" s="29">
        <f t="shared" si="7"/>
        <v>37996.66725</v>
      </c>
      <c r="N36" s="39">
        <f t="shared" si="8"/>
        <v>0.4749583406</v>
      </c>
      <c r="O36" s="44">
        <f t="shared" si="9"/>
        <v>4250.662681</v>
      </c>
      <c r="P36" s="29">
        <f t="shared" si="10"/>
        <v>12003.33275</v>
      </c>
      <c r="Q36" s="2"/>
      <c r="R36" s="2"/>
      <c r="S36" s="2"/>
      <c r="T36" s="2"/>
      <c r="U36" s="2"/>
      <c r="V36" s="2"/>
      <c r="W36" s="2"/>
      <c r="X36" s="9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>
      <c r="A37" s="2"/>
      <c r="B37" s="2"/>
      <c r="C37" s="2"/>
      <c r="D37" s="2"/>
      <c r="E37" s="2"/>
      <c r="F37" s="2"/>
      <c r="G37" s="13">
        <f t="shared" si="1"/>
        <v>24</v>
      </c>
      <c r="H37" s="43">
        <f t="shared" si="2"/>
        <v>43845</v>
      </c>
      <c r="I37" s="29">
        <f t="shared" si="3"/>
        <v>37996.66725</v>
      </c>
      <c r="J37" s="29">
        <f t="shared" si="4"/>
        <v>706.6954536</v>
      </c>
      <c r="K37" s="29">
        <f t="shared" si="5"/>
        <v>158.3194469</v>
      </c>
      <c r="L37" s="44">
        <f t="shared" si="6"/>
        <v>548.3760067</v>
      </c>
      <c r="M37" s="29">
        <f t="shared" si="7"/>
        <v>37448.29124</v>
      </c>
      <c r="N37" s="39">
        <f t="shared" si="8"/>
        <v>0.4681036405</v>
      </c>
      <c r="O37" s="44">
        <f t="shared" si="9"/>
        <v>4408.982128</v>
      </c>
      <c r="P37" s="29">
        <f t="shared" si="10"/>
        <v>12551.70876</v>
      </c>
      <c r="Q37" s="2"/>
      <c r="R37" s="2"/>
      <c r="S37" s="2"/>
      <c r="T37" s="2"/>
      <c r="U37" s="2"/>
      <c r="V37" s="2"/>
      <c r="W37" s="2"/>
      <c r="X37" s="9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>
      <c r="A38" s="2"/>
      <c r="B38" s="2"/>
      <c r="C38" s="2"/>
      <c r="D38" s="2"/>
      <c r="E38" s="2"/>
      <c r="F38" s="2"/>
      <c r="G38" s="13">
        <f t="shared" si="1"/>
        <v>25</v>
      </c>
      <c r="H38" s="43">
        <f t="shared" si="2"/>
        <v>43861</v>
      </c>
      <c r="I38" s="29">
        <f t="shared" si="3"/>
        <v>37448.29124</v>
      </c>
      <c r="J38" s="29">
        <f t="shared" si="4"/>
        <v>706.6954536</v>
      </c>
      <c r="K38" s="29">
        <f t="shared" si="5"/>
        <v>156.0345468</v>
      </c>
      <c r="L38" s="44">
        <f t="shared" si="6"/>
        <v>550.6609068</v>
      </c>
      <c r="M38" s="29">
        <f t="shared" si="7"/>
        <v>36897.63034</v>
      </c>
      <c r="N38" s="39">
        <f t="shared" si="8"/>
        <v>0.4612203792</v>
      </c>
      <c r="O38" s="44">
        <f t="shared" si="9"/>
        <v>4565.016675</v>
      </c>
      <c r="P38" s="29">
        <f t="shared" si="10"/>
        <v>13102.36966</v>
      </c>
      <c r="Q38" s="2"/>
      <c r="R38" s="2"/>
      <c r="S38" s="2"/>
      <c r="T38" s="2"/>
      <c r="U38" s="2"/>
      <c r="V38" s="2"/>
      <c r="W38" s="2"/>
      <c r="X38" s="9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>
      <c r="A39" s="2"/>
      <c r="B39" s="2"/>
      <c r="C39" s="2"/>
      <c r="D39" s="2"/>
      <c r="E39" s="2"/>
      <c r="F39" s="2"/>
      <c r="G39" s="13">
        <f t="shared" si="1"/>
        <v>26</v>
      </c>
      <c r="H39" s="43">
        <f t="shared" si="2"/>
        <v>43876</v>
      </c>
      <c r="I39" s="29">
        <f t="shared" si="3"/>
        <v>36897.63034</v>
      </c>
      <c r="J39" s="29">
        <f t="shared" si="4"/>
        <v>706.6954536</v>
      </c>
      <c r="K39" s="29">
        <f t="shared" si="5"/>
        <v>153.7401264</v>
      </c>
      <c r="L39" s="44">
        <f t="shared" si="6"/>
        <v>552.9553272</v>
      </c>
      <c r="M39" s="29">
        <f t="shared" si="7"/>
        <v>36344.67501</v>
      </c>
      <c r="N39" s="39">
        <f t="shared" si="8"/>
        <v>0.4543084376</v>
      </c>
      <c r="O39" s="44">
        <f t="shared" si="9"/>
        <v>4718.756801</v>
      </c>
      <c r="P39" s="29">
        <f t="shared" si="10"/>
        <v>13655.32499</v>
      </c>
      <c r="Q39" s="2"/>
      <c r="R39" s="2"/>
      <c r="S39" s="2"/>
      <c r="T39" s="2"/>
      <c r="U39" s="2"/>
      <c r="V39" s="2"/>
      <c r="W39" s="2"/>
      <c r="X39" s="9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>
      <c r="A40" s="2"/>
      <c r="B40" s="2"/>
      <c r="C40" s="2"/>
      <c r="D40" s="2"/>
      <c r="E40" s="2"/>
      <c r="F40" s="2"/>
      <c r="G40" s="13">
        <f t="shared" si="1"/>
        <v>27</v>
      </c>
      <c r="H40" s="43">
        <f t="shared" si="2"/>
        <v>43890</v>
      </c>
      <c r="I40" s="29">
        <f t="shared" si="3"/>
        <v>36344.67501</v>
      </c>
      <c r="J40" s="29">
        <f t="shared" si="4"/>
        <v>706.6954536</v>
      </c>
      <c r="K40" s="29">
        <f t="shared" si="5"/>
        <v>151.4361459</v>
      </c>
      <c r="L40" s="44">
        <f t="shared" si="6"/>
        <v>555.2593077</v>
      </c>
      <c r="M40" s="29">
        <f t="shared" si="7"/>
        <v>35789.4157</v>
      </c>
      <c r="N40" s="39">
        <f t="shared" si="8"/>
        <v>0.4473676963</v>
      </c>
      <c r="O40" s="44">
        <f t="shared" si="9"/>
        <v>4870.192947</v>
      </c>
      <c r="P40" s="29">
        <f t="shared" si="10"/>
        <v>14210.5843</v>
      </c>
      <c r="Q40" s="2"/>
      <c r="R40" s="2"/>
      <c r="S40" s="2"/>
      <c r="T40" s="2"/>
      <c r="U40" s="2"/>
      <c r="V40" s="2"/>
      <c r="W40" s="2"/>
      <c r="X40" s="9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>
      <c r="A41" s="2"/>
      <c r="B41" s="2"/>
      <c r="C41" s="2"/>
      <c r="D41" s="2"/>
      <c r="E41" s="2"/>
      <c r="F41" s="2"/>
      <c r="G41" s="13">
        <f t="shared" si="1"/>
        <v>28</v>
      </c>
      <c r="H41" s="43">
        <f t="shared" si="2"/>
        <v>43905</v>
      </c>
      <c r="I41" s="29">
        <f t="shared" si="3"/>
        <v>35789.4157</v>
      </c>
      <c r="J41" s="29">
        <f t="shared" si="4"/>
        <v>706.6954536</v>
      </c>
      <c r="K41" s="29">
        <f t="shared" si="5"/>
        <v>149.1225654</v>
      </c>
      <c r="L41" s="44">
        <f t="shared" si="6"/>
        <v>557.5728882</v>
      </c>
      <c r="M41" s="29">
        <f t="shared" si="7"/>
        <v>35231.84281</v>
      </c>
      <c r="N41" s="39">
        <f t="shared" si="8"/>
        <v>0.4403980352</v>
      </c>
      <c r="O41" s="44">
        <f t="shared" si="9"/>
        <v>5019.315513</v>
      </c>
      <c r="P41" s="29">
        <f t="shared" si="10"/>
        <v>14768.15719</v>
      </c>
      <c r="Q41" s="2"/>
      <c r="R41" s="2"/>
      <c r="S41" s="2"/>
      <c r="T41" s="2"/>
      <c r="U41" s="2"/>
      <c r="V41" s="2"/>
      <c r="W41" s="2"/>
      <c r="X41" s="9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>
      <c r="A42" s="2"/>
      <c r="B42" s="2"/>
      <c r="C42" s="2"/>
      <c r="D42" s="2"/>
      <c r="E42" s="2"/>
      <c r="F42" s="2"/>
      <c r="G42" s="13">
        <f t="shared" si="1"/>
        <v>29</v>
      </c>
      <c r="H42" s="43">
        <f t="shared" si="2"/>
        <v>43921</v>
      </c>
      <c r="I42" s="29">
        <f t="shared" si="3"/>
        <v>35231.84281</v>
      </c>
      <c r="J42" s="29">
        <f t="shared" si="4"/>
        <v>706.6954536</v>
      </c>
      <c r="K42" s="29">
        <f t="shared" si="5"/>
        <v>146.7993451</v>
      </c>
      <c r="L42" s="44">
        <f t="shared" si="6"/>
        <v>559.8961085</v>
      </c>
      <c r="M42" s="29">
        <f t="shared" si="7"/>
        <v>34671.9467</v>
      </c>
      <c r="N42" s="39">
        <f t="shared" si="8"/>
        <v>0.4333993338</v>
      </c>
      <c r="O42" s="44">
        <f t="shared" si="9"/>
        <v>5166.114858</v>
      </c>
      <c r="P42" s="29">
        <f t="shared" si="10"/>
        <v>15328.0533</v>
      </c>
      <c r="Q42" s="2"/>
      <c r="R42" s="2"/>
      <c r="S42" s="2"/>
      <c r="T42" s="2"/>
      <c r="U42" s="2"/>
      <c r="V42" s="2"/>
      <c r="W42" s="2"/>
      <c r="X42" s="9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>
      <c r="A43" s="2"/>
      <c r="B43" s="2"/>
      <c r="C43" s="2"/>
      <c r="D43" s="2"/>
      <c r="E43" s="2"/>
      <c r="F43" s="2"/>
      <c r="G43" s="13">
        <f t="shared" si="1"/>
        <v>30</v>
      </c>
      <c r="H43" s="43">
        <f t="shared" si="2"/>
        <v>43936</v>
      </c>
      <c r="I43" s="29">
        <f t="shared" si="3"/>
        <v>34671.9467</v>
      </c>
      <c r="J43" s="29">
        <f t="shared" si="4"/>
        <v>706.6954536</v>
      </c>
      <c r="K43" s="29">
        <f t="shared" si="5"/>
        <v>144.4664446</v>
      </c>
      <c r="L43" s="44">
        <f t="shared" si="6"/>
        <v>562.229009</v>
      </c>
      <c r="M43" s="29">
        <f t="shared" si="7"/>
        <v>34109.71769</v>
      </c>
      <c r="N43" s="39">
        <f t="shared" si="8"/>
        <v>0.4263714712</v>
      </c>
      <c r="O43" s="44">
        <f t="shared" si="9"/>
        <v>5310.581302</v>
      </c>
      <c r="P43" s="29">
        <f t="shared" si="10"/>
        <v>15890.28231</v>
      </c>
      <c r="Q43" s="2"/>
      <c r="R43" s="2"/>
      <c r="S43" s="2"/>
      <c r="T43" s="2"/>
      <c r="U43" s="2"/>
      <c r="V43" s="2"/>
      <c r="W43" s="2"/>
      <c r="X43" s="9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>
      <c r="A44" s="2"/>
      <c r="B44" s="2"/>
      <c r="C44" s="2"/>
      <c r="D44" s="2"/>
      <c r="E44" s="2"/>
      <c r="F44" s="2"/>
      <c r="G44" s="13">
        <f t="shared" si="1"/>
        <v>31</v>
      </c>
      <c r="H44" s="43">
        <f t="shared" si="2"/>
        <v>43951</v>
      </c>
      <c r="I44" s="29">
        <f t="shared" si="3"/>
        <v>34109.71769</v>
      </c>
      <c r="J44" s="29">
        <f t="shared" si="4"/>
        <v>706.6954536</v>
      </c>
      <c r="K44" s="29">
        <f t="shared" si="5"/>
        <v>142.1238237</v>
      </c>
      <c r="L44" s="44">
        <f t="shared" si="6"/>
        <v>564.5716299</v>
      </c>
      <c r="M44" s="29">
        <f t="shared" si="7"/>
        <v>33545.14606</v>
      </c>
      <c r="N44" s="39">
        <f t="shared" si="8"/>
        <v>0.4193143258</v>
      </c>
      <c r="O44" s="44">
        <f t="shared" si="9"/>
        <v>5452.705126</v>
      </c>
      <c r="P44" s="29">
        <f t="shared" si="10"/>
        <v>16454.85394</v>
      </c>
      <c r="Q44" s="2"/>
      <c r="R44" s="2"/>
      <c r="S44" s="2"/>
      <c r="T44" s="2"/>
      <c r="U44" s="2"/>
      <c r="V44" s="2"/>
      <c r="W44" s="2"/>
      <c r="X44" s="9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>
      <c r="A45" s="2"/>
      <c r="B45" s="2"/>
      <c r="C45" s="2"/>
      <c r="D45" s="2"/>
      <c r="E45" s="2"/>
      <c r="F45" s="2"/>
      <c r="G45" s="13">
        <f t="shared" si="1"/>
        <v>32</v>
      </c>
      <c r="H45" s="43">
        <f t="shared" si="2"/>
        <v>43966</v>
      </c>
      <c r="I45" s="29">
        <f t="shared" si="3"/>
        <v>33545.14606</v>
      </c>
      <c r="J45" s="29">
        <f t="shared" si="4"/>
        <v>706.6954536</v>
      </c>
      <c r="K45" s="29">
        <f t="shared" si="5"/>
        <v>139.7714419</v>
      </c>
      <c r="L45" s="44">
        <f t="shared" si="6"/>
        <v>566.9240117</v>
      </c>
      <c r="M45" s="29">
        <f t="shared" si="7"/>
        <v>32978.22205</v>
      </c>
      <c r="N45" s="39">
        <f t="shared" si="8"/>
        <v>0.4122277757</v>
      </c>
      <c r="O45" s="44">
        <f t="shared" si="9"/>
        <v>5592.476568</v>
      </c>
      <c r="P45" s="29">
        <f t="shared" si="10"/>
        <v>17021.77795</v>
      </c>
      <c r="Q45" s="2"/>
      <c r="R45" s="2"/>
      <c r="S45" s="2"/>
      <c r="T45" s="2"/>
      <c r="U45" s="2"/>
      <c r="V45" s="2"/>
      <c r="W45" s="2"/>
      <c r="X45" s="9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>
      <c r="A46" s="2"/>
      <c r="B46" s="2"/>
      <c r="C46" s="2"/>
      <c r="D46" s="2"/>
      <c r="E46" s="2"/>
      <c r="F46" s="2"/>
      <c r="G46" s="13">
        <f t="shared" si="1"/>
        <v>33</v>
      </c>
      <c r="H46" s="43">
        <f t="shared" si="2"/>
        <v>43982</v>
      </c>
      <c r="I46" s="29">
        <f t="shared" si="3"/>
        <v>32978.22205</v>
      </c>
      <c r="J46" s="29">
        <f t="shared" si="4"/>
        <v>706.6954536</v>
      </c>
      <c r="K46" s="29">
        <f t="shared" si="5"/>
        <v>137.4092586</v>
      </c>
      <c r="L46" s="44">
        <f t="shared" si="6"/>
        <v>569.286195</v>
      </c>
      <c r="M46" s="29">
        <f t="shared" si="7"/>
        <v>32408.93586</v>
      </c>
      <c r="N46" s="39">
        <f t="shared" si="8"/>
        <v>0.4051116982</v>
      </c>
      <c r="O46" s="44">
        <f t="shared" si="9"/>
        <v>5729.885827</v>
      </c>
      <c r="P46" s="29">
        <f t="shared" si="10"/>
        <v>17591.06414</v>
      </c>
      <c r="Q46" s="2"/>
      <c r="R46" s="2"/>
      <c r="S46" s="2"/>
      <c r="T46" s="2"/>
      <c r="U46" s="2"/>
      <c r="V46" s="2"/>
      <c r="W46" s="2"/>
      <c r="X46" s="9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>
      <c r="A47" s="2"/>
      <c r="B47" s="2"/>
      <c r="C47" s="2"/>
      <c r="D47" s="2"/>
      <c r="E47" s="2"/>
      <c r="F47" s="2"/>
      <c r="G47" s="13">
        <f t="shared" si="1"/>
        <v>34</v>
      </c>
      <c r="H47" s="43">
        <f t="shared" si="2"/>
        <v>43997</v>
      </c>
      <c r="I47" s="29">
        <f t="shared" si="3"/>
        <v>32408.93586</v>
      </c>
      <c r="J47" s="29">
        <f t="shared" si="4"/>
        <v>706.6954536</v>
      </c>
      <c r="K47" s="29">
        <f t="shared" si="5"/>
        <v>135.0372327</v>
      </c>
      <c r="L47" s="44">
        <f t="shared" si="6"/>
        <v>571.6582209</v>
      </c>
      <c r="M47" s="29">
        <f t="shared" si="7"/>
        <v>31837.27764</v>
      </c>
      <c r="N47" s="39">
        <f t="shared" si="8"/>
        <v>0.3979659705</v>
      </c>
      <c r="O47" s="44">
        <f t="shared" si="9"/>
        <v>5864.923059</v>
      </c>
      <c r="P47" s="29">
        <f t="shared" si="10"/>
        <v>18162.72236</v>
      </c>
      <c r="Q47" s="2"/>
      <c r="R47" s="2"/>
      <c r="S47" s="2"/>
      <c r="T47" s="2"/>
      <c r="U47" s="2"/>
      <c r="V47" s="2"/>
      <c r="W47" s="2"/>
      <c r="X47" s="9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>
      <c r="A48" s="2"/>
      <c r="B48" s="2"/>
      <c r="C48" s="2"/>
      <c r="D48" s="2"/>
      <c r="E48" s="2"/>
      <c r="F48" s="2"/>
      <c r="G48" s="13">
        <f t="shared" si="1"/>
        <v>35</v>
      </c>
      <c r="H48" s="43">
        <f t="shared" si="2"/>
        <v>44012</v>
      </c>
      <c r="I48" s="29">
        <f t="shared" si="3"/>
        <v>31837.27764</v>
      </c>
      <c r="J48" s="29">
        <f t="shared" si="4"/>
        <v>706.6954536</v>
      </c>
      <c r="K48" s="29">
        <f t="shared" si="5"/>
        <v>132.6553235</v>
      </c>
      <c r="L48" s="44">
        <f t="shared" si="6"/>
        <v>574.0401301</v>
      </c>
      <c r="M48" s="29">
        <f t="shared" si="7"/>
        <v>31263.23751</v>
      </c>
      <c r="N48" s="39">
        <f t="shared" si="8"/>
        <v>0.3907904688</v>
      </c>
      <c r="O48" s="44">
        <f t="shared" si="9"/>
        <v>5997.578383</v>
      </c>
      <c r="P48" s="29">
        <f t="shared" si="10"/>
        <v>18736.76249</v>
      </c>
      <c r="Q48" s="2"/>
      <c r="R48" s="2"/>
      <c r="S48" s="2"/>
      <c r="T48" s="2"/>
      <c r="U48" s="2"/>
      <c r="V48" s="2"/>
      <c r="W48" s="2"/>
      <c r="X48" s="9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>
      <c r="A49" s="2"/>
      <c r="B49" s="2"/>
      <c r="C49" s="2"/>
      <c r="D49" s="2"/>
      <c r="E49" s="2"/>
      <c r="F49" s="2"/>
      <c r="G49" s="13">
        <f t="shared" si="1"/>
        <v>36</v>
      </c>
      <c r="H49" s="43">
        <f t="shared" si="2"/>
        <v>44027</v>
      </c>
      <c r="I49" s="29">
        <f t="shared" si="3"/>
        <v>31263.23751</v>
      </c>
      <c r="J49" s="29">
        <f t="shared" si="4"/>
        <v>706.6954536</v>
      </c>
      <c r="K49" s="29">
        <f t="shared" si="5"/>
        <v>130.2634896</v>
      </c>
      <c r="L49" s="44">
        <f t="shared" si="6"/>
        <v>576.431964</v>
      </c>
      <c r="M49" s="29">
        <f t="shared" si="7"/>
        <v>30686.80554</v>
      </c>
      <c r="N49" s="39">
        <f t="shared" si="8"/>
        <v>0.3835850693</v>
      </c>
      <c r="O49" s="44">
        <f t="shared" si="9"/>
        <v>6127.841872</v>
      </c>
      <c r="P49" s="29">
        <f t="shared" si="10"/>
        <v>19313.19446</v>
      </c>
      <c r="Q49" s="2"/>
      <c r="R49" s="2"/>
      <c r="S49" s="2"/>
      <c r="T49" s="2"/>
      <c r="U49" s="2"/>
      <c r="V49" s="2"/>
      <c r="W49" s="2"/>
      <c r="X49" s="9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>
      <c r="A50" s="2"/>
      <c r="B50" s="2"/>
      <c r="C50" s="2"/>
      <c r="D50" s="2"/>
      <c r="E50" s="2"/>
      <c r="F50" s="2"/>
      <c r="G50" s="13">
        <f t="shared" si="1"/>
        <v>37</v>
      </c>
      <c r="H50" s="43">
        <f t="shared" si="2"/>
        <v>44043</v>
      </c>
      <c r="I50" s="29">
        <f t="shared" si="3"/>
        <v>30686.80554</v>
      </c>
      <c r="J50" s="29">
        <f t="shared" si="4"/>
        <v>706.6954536</v>
      </c>
      <c r="K50" s="29">
        <f t="shared" si="5"/>
        <v>127.8616898</v>
      </c>
      <c r="L50" s="44">
        <f t="shared" si="6"/>
        <v>578.8337638</v>
      </c>
      <c r="M50" s="29">
        <f t="shared" si="7"/>
        <v>30107.97178</v>
      </c>
      <c r="N50" s="39">
        <f t="shared" si="8"/>
        <v>0.3763496472</v>
      </c>
      <c r="O50" s="44">
        <f t="shared" si="9"/>
        <v>6255.703562</v>
      </c>
      <c r="P50" s="29">
        <f t="shared" si="10"/>
        <v>19892.02822</v>
      </c>
      <c r="Q50" s="2"/>
      <c r="R50" s="2"/>
      <c r="S50" s="2"/>
      <c r="T50" s="2"/>
      <c r="U50" s="2"/>
      <c r="V50" s="2"/>
      <c r="W50" s="2"/>
      <c r="X50" s="9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>
      <c r="A51" s="2"/>
      <c r="B51" s="2"/>
      <c r="C51" s="2"/>
      <c r="D51" s="2"/>
      <c r="E51" s="2"/>
      <c r="F51" s="2"/>
      <c r="G51" s="13">
        <f t="shared" si="1"/>
        <v>38</v>
      </c>
      <c r="H51" s="43">
        <f t="shared" si="2"/>
        <v>44058</v>
      </c>
      <c r="I51" s="29">
        <f t="shared" si="3"/>
        <v>30107.97178</v>
      </c>
      <c r="J51" s="29">
        <f t="shared" si="4"/>
        <v>706.6954536</v>
      </c>
      <c r="K51" s="29">
        <f t="shared" si="5"/>
        <v>125.4498824</v>
      </c>
      <c r="L51" s="44">
        <f t="shared" si="6"/>
        <v>581.2455712</v>
      </c>
      <c r="M51" s="29">
        <f t="shared" si="7"/>
        <v>29526.72621</v>
      </c>
      <c r="N51" s="39">
        <f t="shared" si="8"/>
        <v>0.3690840776</v>
      </c>
      <c r="O51" s="44">
        <f t="shared" si="9"/>
        <v>6381.153445</v>
      </c>
      <c r="P51" s="29">
        <f t="shared" si="10"/>
        <v>20473.27379</v>
      </c>
      <c r="Q51" s="2"/>
      <c r="R51" s="2"/>
      <c r="S51" s="2"/>
      <c r="T51" s="2"/>
      <c r="U51" s="2"/>
      <c r="V51" s="2"/>
      <c r="W51" s="2"/>
      <c r="X51" s="9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>
      <c r="A52" s="2"/>
      <c r="B52" s="2"/>
      <c r="C52" s="2"/>
      <c r="D52" s="2"/>
      <c r="E52" s="2"/>
      <c r="F52" s="2"/>
      <c r="G52" s="13">
        <f t="shared" si="1"/>
        <v>39</v>
      </c>
      <c r="H52" s="43">
        <f t="shared" si="2"/>
        <v>44074</v>
      </c>
      <c r="I52" s="29">
        <f t="shared" si="3"/>
        <v>29526.72621</v>
      </c>
      <c r="J52" s="29">
        <f t="shared" si="4"/>
        <v>706.6954536</v>
      </c>
      <c r="K52" s="29">
        <f t="shared" si="5"/>
        <v>123.0280259</v>
      </c>
      <c r="L52" s="44">
        <f t="shared" si="6"/>
        <v>583.6674277</v>
      </c>
      <c r="M52" s="29">
        <f t="shared" si="7"/>
        <v>28943.05878</v>
      </c>
      <c r="N52" s="39">
        <f t="shared" si="8"/>
        <v>0.3617882348</v>
      </c>
      <c r="O52" s="44">
        <f t="shared" si="9"/>
        <v>6504.18147</v>
      </c>
      <c r="P52" s="29">
        <f t="shared" si="10"/>
        <v>21056.94122</v>
      </c>
      <c r="Q52" s="2"/>
      <c r="R52" s="2"/>
      <c r="S52" s="2"/>
      <c r="T52" s="2"/>
      <c r="U52" s="2"/>
      <c r="V52" s="2"/>
      <c r="W52" s="2"/>
      <c r="X52" s="9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>
      <c r="A53" s="2"/>
      <c r="B53" s="2"/>
      <c r="C53" s="2"/>
      <c r="D53" s="2"/>
      <c r="E53" s="2"/>
      <c r="F53" s="2"/>
      <c r="G53" s="13">
        <f t="shared" si="1"/>
        <v>40</v>
      </c>
      <c r="H53" s="43">
        <f t="shared" si="2"/>
        <v>44089</v>
      </c>
      <c r="I53" s="29">
        <f t="shared" si="3"/>
        <v>28943.05878</v>
      </c>
      <c r="J53" s="29">
        <f t="shared" si="4"/>
        <v>706.6954536</v>
      </c>
      <c r="K53" s="29">
        <f t="shared" si="5"/>
        <v>120.5960783</v>
      </c>
      <c r="L53" s="44">
        <f t="shared" si="6"/>
        <v>586.0993753</v>
      </c>
      <c r="M53" s="29">
        <f t="shared" si="7"/>
        <v>28356.9594</v>
      </c>
      <c r="N53" s="39">
        <f t="shared" si="8"/>
        <v>0.3544619926</v>
      </c>
      <c r="O53" s="44">
        <f t="shared" si="9"/>
        <v>6624.777549</v>
      </c>
      <c r="P53" s="29">
        <f t="shared" si="10"/>
        <v>21643.0406</v>
      </c>
      <c r="Q53" s="2"/>
      <c r="R53" s="2"/>
      <c r="S53" s="2"/>
      <c r="T53" s="2"/>
      <c r="U53" s="2"/>
      <c r="V53" s="2"/>
      <c r="W53" s="2"/>
      <c r="X53" s="9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>
      <c r="A54" s="2"/>
      <c r="B54" s="2"/>
      <c r="C54" s="2"/>
      <c r="D54" s="2"/>
      <c r="E54" s="2"/>
      <c r="F54" s="2"/>
      <c r="G54" s="13">
        <f t="shared" si="1"/>
        <v>41</v>
      </c>
      <c r="H54" s="43">
        <f t="shared" si="2"/>
        <v>44104</v>
      </c>
      <c r="I54" s="29">
        <f t="shared" si="3"/>
        <v>28356.9594</v>
      </c>
      <c r="J54" s="29">
        <f t="shared" si="4"/>
        <v>706.6954536</v>
      </c>
      <c r="K54" s="29">
        <f t="shared" si="5"/>
        <v>118.1539975</v>
      </c>
      <c r="L54" s="44">
        <f t="shared" si="6"/>
        <v>588.5414561</v>
      </c>
      <c r="M54" s="29">
        <f t="shared" si="7"/>
        <v>27768.41795</v>
      </c>
      <c r="N54" s="39">
        <f t="shared" si="8"/>
        <v>0.3471052244</v>
      </c>
      <c r="O54" s="44">
        <f t="shared" si="9"/>
        <v>6742.931546</v>
      </c>
      <c r="P54" s="29">
        <f t="shared" si="10"/>
        <v>22231.58205</v>
      </c>
      <c r="Q54" s="2"/>
      <c r="R54" s="2"/>
      <c r="S54" s="2"/>
      <c r="T54" s="2"/>
      <c r="U54" s="2"/>
      <c r="V54" s="2"/>
      <c r="W54" s="2"/>
      <c r="X54" s="9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>
      <c r="A55" s="2"/>
      <c r="B55" s="2"/>
      <c r="C55" s="2"/>
      <c r="D55" s="2"/>
      <c r="E55" s="2"/>
      <c r="F55" s="2"/>
      <c r="G55" s="13">
        <f t="shared" si="1"/>
        <v>42</v>
      </c>
      <c r="H55" s="43">
        <f t="shared" si="2"/>
        <v>44119</v>
      </c>
      <c r="I55" s="29">
        <f t="shared" si="3"/>
        <v>27768.41795</v>
      </c>
      <c r="J55" s="29">
        <f t="shared" si="4"/>
        <v>706.6954536</v>
      </c>
      <c r="K55" s="29">
        <f t="shared" si="5"/>
        <v>115.7017415</v>
      </c>
      <c r="L55" s="44">
        <f t="shared" si="6"/>
        <v>590.9937121</v>
      </c>
      <c r="M55" s="29">
        <f t="shared" si="7"/>
        <v>27177.42424</v>
      </c>
      <c r="N55" s="39">
        <f t="shared" si="8"/>
        <v>0.339717803</v>
      </c>
      <c r="O55" s="44">
        <f t="shared" si="9"/>
        <v>6858.633288</v>
      </c>
      <c r="P55" s="29">
        <f t="shared" si="10"/>
        <v>22822.57576</v>
      </c>
      <c r="Q55" s="2"/>
      <c r="R55" s="2"/>
      <c r="S55" s="2"/>
      <c r="T55" s="2"/>
      <c r="U55" s="2"/>
      <c r="V55" s="2"/>
      <c r="W55" s="2"/>
      <c r="X55" s="9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>
      <c r="A56" s="2"/>
      <c r="B56" s="2"/>
      <c r="C56" s="2"/>
      <c r="D56" s="2"/>
      <c r="E56" s="2"/>
      <c r="F56" s="2"/>
      <c r="G56" s="13">
        <f t="shared" si="1"/>
        <v>43</v>
      </c>
      <c r="H56" s="43">
        <f t="shared" si="2"/>
        <v>44135</v>
      </c>
      <c r="I56" s="29">
        <f t="shared" si="3"/>
        <v>27177.42424</v>
      </c>
      <c r="J56" s="29">
        <f t="shared" si="4"/>
        <v>706.6954536</v>
      </c>
      <c r="K56" s="29">
        <f t="shared" si="5"/>
        <v>113.2392677</v>
      </c>
      <c r="L56" s="44">
        <f t="shared" si="6"/>
        <v>593.4561859</v>
      </c>
      <c r="M56" s="29">
        <f t="shared" si="7"/>
        <v>26583.96805</v>
      </c>
      <c r="N56" s="39">
        <f t="shared" si="8"/>
        <v>0.3322996006</v>
      </c>
      <c r="O56" s="44">
        <f t="shared" si="9"/>
        <v>6971.872555</v>
      </c>
      <c r="P56" s="29">
        <f t="shared" si="10"/>
        <v>23416.03195</v>
      </c>
      <c r="Q56" s="2"/>
      <c r="R56" s="2"/>
      <c r="S56" s="2"/>
      <c r="T56" s="2"/>
      <c r="U56" s="2"/>
      <c r="V56" s="2"/>
      <c r="W56" s="2"/>
      <c r="X56" s="9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>
      <c r="A57" s="2"/>
      <c r="B57" s="2"/>
      <c r="C57" s="2"/>
      <c r="D57" s="2"/>
      <c r="E57" s="2"/>
      <c r="F57" s="2"/>
      <c r="G57" s="13">
        <f t="shared" si="1"/>
        <v>44</v>
      </c>
      <c r="H57" s="43">
        <f t="shared" si="2"/>
        <v>44150</v>
      </c>
      <c r="I57" s="29">
        <f t="shared" si="3"/>
        <v>26583.96805</v>
      </c>
      <c r="J57" s="29">
        <f t="shared" si="4"/>
        <v>706.6954536</v>
      </c>
      <c r="K57" s="29">
        <f t="shared" si="5"/>
        <v>110.7665335</v>
      </c>
      <c r="L57" s="44">
        <f t="shared" si="6"/>
        <v>595.9289201</v>
      </c>
      <c r="M57" s="29">
        <f t="shared" si="7"/>
        <v>25988.03913</v>
      </c>
      <c r="N57" s="39">
        <f t="shared" si="8"/>
        <v>0.3248504891</v>
      </c>
      <c r="O57" s="44">
        <f t="shared" si="9"/>
        <v>7082.639089</v>
      </c>
      <c r="P57" s="29">
        <f t="shared" si="10"/>
        <v>24011.96087</v>
      </c>
      <c r="Q57" s="2"/>
      <c r="R57" s="2"/>
      <c r="S57" s="2"/>
      <c r="T57" s="2"/>
      <c r="U57" s="2"/>
      <c r="V57" s="2"/>
      <c r="W57" s="2"/>
      <c r="X57" s="9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>
      <c r="A58" s="2"/>
      <c r="B58" s="2"/>
      <c r="C58" s="2"/>
      <c r="D58" s="2"/>
      <c r="E58" s="2"/>
      <c r="F58" s="2"/>
      <c r="G58" s="13">
        <f t="shared" si="1"/>
        <v>45</v>
      </c>
      <c r="H58" s="43">
        <f t="shared" si="2"/>
        <v>44165</v>
      </c>
      <c r="I58" s="29">
        <f t="shared" si="3"/>
        <v>25988.03913</v>
      </c>
      <c r="J58" s="29">
        <f t="shared" si="4"/>
        <v>706.6954536</v>
      </c>
      <c r="K58" s="29">
        <f t="shared" si="5"/>
        <v>108.2834964</v>
      </c>
      <c r="L58" s="44">
        <f t="shared" si="6"/>
        <v>598.4119572</v>
      </c>
      <c r="M58" s="29">
        <f t="shared" si="7"/>
        <v>25389.62717</v>
      </c>
      <c r="N58" s="39">
        <f t="shared" si="8"/>
        <v>0.3173703397</v>
      </c>
      <c r="O58" s="44">
        <f t="shared" si="9"/>
        <v>7190.922585</v>
      </c>
      <c r="P58" s="29">
        <f t="shared" si="10"/>
        <v>24610.37283</v>
      </c>
      <c r="Q58" s="2"/>
      <c r="R58" s="2"/>
      <c r="S58" s="2"/>
      <c r="T58" s="2"/>
      <c r="U58" s="2"/>
      <c r="V58" s="2"/>
      <c r="W58" s="2"/>
      <c r="X58" s="9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>
      <c r="A59" s="2"/>
      <c r="B59" s="2"/>
      <c r="C59" s="2"/>
      <c r="D59" s="2"/>
      <c r="E59" s="2"/>
      <c r="F59" s="2"/>
      <c r="G59" s="13">
        <f t="shared" si="1"/>
        <v>46</v>
      </c>
      <c r="H59" s="43">
        <f t="shared" si="2"/>
        <v>44180</v>
      </c>
      <c r="I59" s="29">
        <f t="shared" si="3"/>
        <v>25389.62717</v>
      </c>
      <c r="J59" s="29">
        <f t="shared" si="4"/>
        <v>706.6954536</v>
      </c>
      <c r="K59" s="29">
        <f t="shared" si="5"/>
        <v>105.7901132</v>
      </c>
      <c r="L59" s="44">
        <f t="shared" si="6"/>
        <v>600.9053404</v>
      </c>
      <c r="M59" s="29">
        <f t="shared" si="7"/>
        <v>24788.72183</v>
      </c>
      <c r="N59" s="39">
        <f t="shared" si="8"/>
        <v>0.3098590229</v>
      </c>
      <c r="O59" s="44">
        <f t="shared" si="9"/>
        <v>7296.712699</v>
      </c>
      <c r="P59" s="29">
        <f t="shared" si="10"/>
        <v>25211.27817</v>
      </c>
      <c r="Q59" s="2"/>
      <c r="R59" s="2"/>
      <c r="S59" s="2"/>
      <c r="T59" s="2"/>
      <c r="U59" s="2"/>
      <c r="V59" s="2"/>
      <c r="W59" s="2"/>
      <c r="X59" s="9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>
      <c r="A60" s="2"/>
      <c r="B60" s="2"/>
      <c r="C60" s="2"/>
      <c r="D60" s="2"/>
      <c r="E60" s="2"/>
      <c r="F60" s="2"/>
      <c r="G60" s="13">
        <f t="shared" si="1"/>
        <v>47</v>
      </c>
      <c r="H60" s="43">
        <f t="shared" si="2"/>
        <v>44196</v>
      </c>
      <c r="I60" s="29">
        <f t="shared" si="3"/>
        <v>24788.72183</v>
      </c>
      <c r="J60" s="29">
        <f t="shared" si="4"/>
        <v>706.6954536</v>
      </c>
      <c r="K60" s="29">
        <f t="shared" si="5"/>
        <v>103.286341</v>
      </c>
      <c r="L60" s="44">
        <f t="shared" si="6"/>
        <v>603.4091126</v>
      </c>
      <c r="M60" s="29">
        <f t="shared" si="7"/>
        <v>24185.31272</v>
      </c>
      <c r="N60" s="39">
        <f t="shared" si="8"/>
        <v>0.302316409</v>
      </c>
      <c r="O60" s="44">
        <f t="shared" si="9"/>
        <v>7399.999039</v>
      </c>
      <c r="P60" s="29">
        <f t="shared" si="10"/>
        <v>25814.68728</v>
      </c>
      <c r="Q60" s="2"/>
      <c r="R60" s="2"/>
      <c r="S60" s="2"/>
      <c r="T60" s="2"/>
      <c r="U60" s="2"/>
      <c r="V60" s="2"/>
      <c r="W60" s="2"/>
      <c r="X60" s="9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>
      <c r="A61" s="2"/>
      <c r="B61" s="2"/>
      <c r="C61" s="2"/>
      <c r="D61" s="2"/>
      <c r="E61" s="2"/>
      <c r="F61" s="2"/>
      <c r="G61" s="13">
        <f t="shared" si="1"/>
        <v>48</v>
      </c>
      <c r="H61" s="43">
        <f t="shared" si="2"/>
        <v>44211</v>
      </c>
      <c r="I61" s="29">
        <f t="shared" si="3"/>
        <v>24185.31272</v>
      </c>
      <c r="J61" s="29">
        <f t="shared" si="4"/>
        <v>706.6954536</v>
      </c>
      <c r="K61" s="29">
        <f t="shared" si="5"/>
        <v>100.7721363</v>
      </c>
      <c r="L61" s="44">
        <f t="shared" si="6"/>
        <v>605.9233173</v>
      </c>
      <c r="M61" s="29">
        <f t="shared" si="7"/>
        <v>23579.3894</v>
      </c>
      <c r="N61" s="39">
        <f t="shared" si="8"/>
        <v>0.2947423675</v>
      </c>
      <c r="O61" s="44">
        <f t="shared" si="9"/>
        <v>7500.771176</v>
      </c>
      <c r="P61" s="29">
        <f t="shared" si="10"/>
        <v>26420.6106</v>
      </c>
      <c r="Q61" s="2"/>
      <c r="R61" s="2"/>
      <c r="S61" s="2"/>
      <c r="T61" s="2"/>
      <c r="U61" s="2"/>
      <c r="V61" s="2"/>
      <c r="W61" s="2"/>
      <c r="X61" s="9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>
      <c r="A62" s="2"/>
      <c r="B62" s="2"/>
      <c r="C62" s="2"/>
      <c r="D62" s="2"/>
      <c r="E62" s="2"/>
      <c r="F62" s="2"/>
      <c r="G62" s="13">
        <f t="shared" si="1"/>
        <v>49</v>
      </c>
      <c r="H62" s="43">
        <f t="shared" si="2"/>
        <v>44227</v>
      </c>
      <c r="I62" s="29">
        <f t="shared" si="3"/>
        <v>23579.3894</v>
      </c>
      <c r="J62" s="29">
        <f t="shared" si="4"/>
        <v>706.6954536</v>
      </c>
      <c r="K62" s="29">
        <f t="shared" si="5"/>
        <v>98.24745585</v>
      </c>
      <c r="L62" s="44">
        <f t="shared" si="6"/>
        <v>608.4479977</v>
      </c>
      <c r="M62" s="29">
        <f t="shared" si="7"/>
        <v>22970.94141</v>
      </c>
      <c r="N62" s="39">
        <f t="shared" si="8"/>
        <v>0.2871367676</v>
      </c>
      <c r="O62" s="44">
        <f t="shared" si="9"/>
        <v>7599.018632</v>
      </c>
      <c r="P62" s="29">
        <f t="shared" si="10"/>
        <v>27029.05859</v>
      </c>
      <c r="Q62" s="2"/>
      <c r="R62" s="2"/>
      <c r="S62" s="2"/>
      <c r="T62" s="2"/>
      <c r="U62" s="2"/>
      <c r="V62" s="2"/>
      <c r="W62" s="2"/>
      <c r="X62" s="9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>
      <c r="A63" s="2"/>
      <c r="B63" s="2"/>
      <c r="C63" s="2"/>
      <c r="D63" s="2"/>
      <c r="E63" s="2"/>
      <c r="F63" s="2"/>
      <c r="G63" s="13">
        <f t="shared" si="1"/>
        <v>50</v>
      </c>
      <c r="H63" s="43">
        <f t="shared" si="2"/>
        <v>44242</v>
      </c>
      <c r="I63" s="29">
        <f t="shared" si="3"/>
        <v>22970.94141</v>
      </c>
      <c r="J63" s="29">
        <f t="shared" si="4"/>
        <v>706.6954536</v>
      </c>
      <c r="K63" s="29">
        <f t="shared" si="5"/>
        <v>95.71225586</v>
      </c>
      <c r="L63" s="44">
        <f t="shared" si="6"/>
        <v>610.9831977</v>
      </c>
      <c r="M63" s="29">
        <f t="shared" si="7"/>
        <v>22359.95821</v>
      </c>
      <c r="N63" s="39">
        <f t="shared" si="8"/>
        <v>0.2794994776</v>
      </c>
      <c r="O63" s="44">
        <f t="shared" si="9"/>
        <v>7694.730888</v>
      </c>
      <c r="P63" s="29">
        <f t="shared" si="10"/>
        <v>27640.04179</v>
      </c>
      <c r="Q63" s="2"/>
      <c r="R63" s="2"/>
      <c r="S63" s="2"/>
      <c r="T63" s="2"/>
      <c r="U63" s="2"/>
      <c r="V63" s="2"/>
      <c r="W63" s="2"/>
      <c r="X63" s="9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>
      <c r="A64" s="2"/>
      <c r="B64" s="2"/>
      <c r="C64" s="2"/>
      <c r="D64" s="2"/>
      <c r="E64" s="2"/>
      <c r="F64" s="2"/>
      <c r="G64" s="13">
        <f t="shared" si="1"/>
        <v>51</v>
      </c>
      <c r="H64" s="43">
        <f t="shared" si="2"/>
        <v>44255</v>
      </c>
      <c r="I64" s="29">
        <f t="shared" si="3"/>
        <v>22359.95821</v>
      </c>
      <c r="J64" s="29">
        <f t="shared" si="4"/>
        <v>706.6954536</v>
      </c>
      <c r="K64" s="29">
        <f t="shared" si="5"/>
        <v>93.16649253</v>
      </c>
      <c r="L64" s="44">
        <f t="shared" si="6"/>
        <v>613.5289611</v>
      </c>
      <c r="M64" s="29">
        <f t="shared" si="7"/>
        <v>21746.42925</v>
      </c>
      <c r="N64" s="39">
        <f t="shared" si="8"/>
        <v>0.2718303656</v>
      </c>
      <c r="O64" s="44">
        <f t="shared" si="9"/>
        <v>7787.89738</v>
      </c>
      <c r="P64" s="29">
        <f t="shared" si="10"/>
        <v>28253.57075</v>
      </c>
      <c r="Q64" s="2"/>
      <c r="R64" s="2"/>
      <c r="S64" s="2"/>
      <c r="T64" s="2"/>
      <c r="U64" s="2"/>
      <c r="V64" s="2"/>
      <c r="W64" s="2"/>
      <c r="X64" s="9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>
      <c r="A65" s="2"/>
      <c r="B65" s="2"/>
      <c r="C65" s="2"/>
      <c r="D65" s="2"/>
      <c r="E65" s="2"/>
      <c r="F65" s="2"/>
      <c r="G65" s="13">
        <f t="shared" si="1"/>
        <v>52</v>
      </c>
      <c r="H65" s="43">
        <f t="shared" si="2"/>
        <v>44270</v>
      </c>
      <c r="I65" s="29">
        <f t="shared" si="3"/>
        <v>21746.42925</v>
      </c>
      <c r="J65" s="29">
        <f t="shared" si="4"/>
        <v>706.6954536</v>
      </c>
      <c r="K65" s="29">
        <f t="shared" si="5"/>
        <v>90.61012186</v>
      </c>
      <c r="L65" s="44">
        <f t="shared" si="6"/>
        <v>616.0853317</v>
      </c>
      <c r="M65" s="29">
        <f t="shared" si="7"/>
        <v>21130.34391</v>
      </c>
      <c r="N65" s="39">
        <f t="shared" si="8"/>
        <v>0.2641292989</v>
      </c>
      <c r="O65" s="44">
        <f t="shared" si="9"/>
        <v>7878.507502</v>
      </c>
      <c r="P65" s="29">
        <f t="shared" si="10"/>
        <v>28869.65609</v>
      </c>
      <c r="Q65" s="2"/>
      <c r="R65" s="2"/>
      <c r="S65" s="2"/>
      <c r="T65" s="2"/>
      <c r="U65" s="2"/>
      <c r="V65" s="2"/>
      <c r="W65" s="2"/>
      <c r="X65" s="9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>
      <c r="A66" s="2"/>
      <c r="B66" s="2"/>
      <c r="C66" s="2"/>
      <c r="D66" s="2"/>
      <c r="E66" s="2"/>
      <c r="F66" s="2"/>
      <c r="G66" s="13">
        <f t="shared" si="1"/>
        <v>53</v>
      </c>
      <c r="H66" s="43">
        <f t="shared" si="2"/>
        <v>44286</v>
      </c>
      <c r="I66" s="29">
        <f t="shared" si="3"/>
        <v>21130.34391</v>
      </c>
      <c r="J66" s="29">
        <f t="shared" si="4"/>
        <v>706.6954536</v>
      </c>
      <c r="K66" s="29">
        <f t="shared" si="5"/>
        <v>88.04309965</v>
      </c>
      <c r="L66" s="44">
        <f t="shared" si="6"/>
        <v>618.6523539</v>
      </c>
      <c r="M66" s="29">
        <f t="shared" si="7"/>
        <v>20511.69156</v>
      </c>
      <c r="N66" s="39">
        <f t="shared" si="8"/>
        <v>0.2563961445</v>
      </c>
      <c r="O66" s="44">
        <f t="shared" si="9"/>
        <v>7966.550602</v>
      </c>
      <c r="P66" s="29">
        <f t="shared" si="10"/>
        <v>29488.30844</v>
      </c>
      <c r="Q66" s="2"/>
      <c r="R66" s="2"/>
      <c r="S66" s="2"/>
      <c r="T66" s="2"/>
      <c r="U66" s="2"/>
      <c r="V66" s="2"/>
      <c r="W66" s="2"/>
      <c r="X66" s="9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>
      <c r="A67" s="2"/>
      <c r="B67" s="2"/>
      <c r="C67" s="2"/>
      <c r="D67" s="2"/>
      <c r="E67" s="2"/>
      <c r="F67" s="2"/>
      <c r="G67" s="13">
        <f t="shared" si="1"/>
        <v>54</v>
      </c>
      <c r="H67" s="43">
        <f t="shared" si="2"/>
        <v>44301</v>
      </c>
      <c r="I67" s="29">
        <f t="shared" si="3"/>
        <v>20511.69156</v>
      </c>
      <c r="J67" s="29">
        <f t="shared" si="4"/>
        <v>706.6954536</v>
      </c>
      <c r="K67" s="29">
        <f t="shared" si="5"/>
        <v>85.4653815</v>
      </c>
      <c r="L67" s="44">
        <f t="shared" si="6"/>
        <v>621.2300721</v>
      </c>
      <c r="M67" s="29">
        <f t="shared" si="7"/>
        <v>19890.46149</v>
      </c>
      <c r="N67" s="39">
        <f t="shared" si="8"/>
        <v>0.2486307686</v>
      </c>
      <c r="O67" s="44">
        <f t="shared" si="9"/>
        <v>8052.015983</v>
      </c>
      <c r="P67" s="29">
        <f t="shared" si="10"/>
        <v>30109.53851</v>
      </c>
      <c r="Q67" s="2"/>
      <c r="R67" s="2"/>
      <c r="S67" s="2"/>
      <c r="T67" s="2"/>
      <c r="U67" s="2"/>
      <c r="V67" s="2"/>
      <c r="W67" s="2"/>
      <c r="X67" s="9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>
      <c r="A68" s="2"/>
      <c r="B68" s="2"/>
      <c r="C68" s="2"/>
      <c r="D68" s="2"/>
      <c r="E68" s="2"/>
      <c r="F68" s="2"/>
      <c r="G68" s="13">
        <f t="shared" si="1"/>
        <v>55</v>
      </c>
      <c r="H68" s="43">
        <f t="shared" si="2"/>
        <v>44316</v>
      </c>
      <c r="I68" s="29">
        <f t="shared" si="3"/>
        <v>19890.46149</v>
      </c>
      <c r="J68" s="29">
        <f t="shared" si="4"/>
        <v>706.6954536</v>
      </c>
      <c r="K68" s="29">
        <f t="shared" si="5"/>
        <v>82.87692287</v>
      </c>
      <c r="L68" s="44">
        <f t="shared" si="6"/>
        <v>623.8185307</v>
      </c>
      <c r="M68" s="29">
        <f t="shared" si="7"/>
        <v>19266.64296</v>
      </c>
      <c r="N68" s="39">
        <f t="shared" si="8"/>
        <v>0.240833037</v>
      </c>
      <c r="O68" s="44">
        <f t="shared" si="9"/>
        <v>8134.892906</v>
      </c>
      <c r="P68" s="29">
        <f t="shared" si="10"/>
        <v>30733.35704</v>
      </c>
      <c r="Q68" s="2"/>
      <c r="R68" s="2"/>
      <c r="S68" s="2"/>
      <c r="T68" s="2"/>
      <c r="U68" s="2"/>
      <c r="V68" s="2"/>
      <c r="W68" s="2"/>
      <c r="X68" s="9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>
      <c r="A69" s="2"/>
      <c r="B69" s="2"/>
      <c r="C69" s="2"/>
      <c r="D69" s="2"/>
      <c r="E69" s="2"/>
      <c r="F69" s="2"/>
      <c r="G69" s="13">
        <f t="shared" si="1"/>
        <v>56</v>
      </c>
      <c r="H69" s="43">
        <f t="shared" si="2"/>
        <v>44331</v>
      </c>
      <c r="I69" s="29">
        <f t="shared" si="3"/>
        <v>19266.64296</v>
      </c>
      <c r="J69" s="29">
        <f t="shared" si="4"/>
        <v>706.6954536</v>
      </c>
      <c r="K69" s="29">
        <f t="shared" si="5"/>
        <v>80.27767899</v>
      </c>
      <c r="L69" s="44">
        <f t="shared" si="6"/>
        <v>626.4177746</v>
      </c>
      <c r="M69" s="29">
        <f t="shared" si="7"/>
        <v>18640.22518</v>
      </c>
      <c r="N69" s="39">
        <f t="shared" si="8"/>
        <v>0.2330028148</v>
      </c>
      <c r="O69" s="44">
        <f t="shared" si="9"/>
        <v>8215.170585</v>
      </c>
      <c r="P69" s="29">
        <f t="shared" si="10"/>
        <v>31359.77482</v>
      </c>
      <c r="Q69" s="2"/>
      <c r="R69" s="2"/>
      <c r="S69" s="2"/>
      <c r="T69" s="2"/>
      <c r="U69" s="2"/>
      <c r="V69" s="2"/>
      <c r="W69" s="2"/>
      <c r="X69" s="9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>
      <c r="A70" s="2"/>
      <c r="B70" s="2"/>
      <c r="C70" s="2"/>
      <c r="D70" s="2"/>
      <c r="E70" s="2"/>
      <c r="F70" s="2"/>
      <c r="G70" s="13">
        <f t="shared" si="1"/>
        <v>57</v>
      </c>
      <c r="H70" s="43">
        <f t="shared" si="2"/>
        <v>44347</v>
      </c>
      <c r="I70" s="29">
        <f t="shared" si="3"/>
        <v>18640.22518</v>
      </c>
      <c r="J70" s="29">
        <f t="shared" si="4"/>
        <v>706.6954536</v>
      </c>
      <c r="K70" s="29">
        <f t="shared" si="5"/>
        <v>77.66760493</v>
      </c>
      <c r="L70" s="44">
        <f t="shared" si="6"/>
        <v>629.0278487</v>
      </c>
      <c r="M70" s="29">
        <f t="shared" si="7"/>
        <v>18011.19733</v>
      </c>
      <c r="N70" s="39">
        <f t="shared" si="8"/>
        <v>0.2251399667</v>
      </c>
      <c r="O70" s="44">
        <f t="shared" si="9"/>
        <v>8292.83819</v>
      </c>
      <c r="P70" s="29">
        <f t="shared" si="10"/>
        <v>31988.80267</v>
      </c>
      <c r="Q70" s="2"/>
      <c r="R70" s="2"/>
      <c r="S70" s="2"/>
      <c r="T70" s="2"/>
      <c r="U70" s="2"/>
      <c r="V70" s="2"/>
      <c r="W70" s="2"/>
      <c r="X70" s="9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>
      <c r="A71" s="2"/>
      <c r="B71" s="2"/>
      <c r="C71" s="2"/>
      <c r="D71" s="2"/>
      <c r="E71" s="2"/>
      <c r="F71" s="2"/>
      <c r="G71" s="13">
        <f t="shared" si="1"/>
        <v>58</v>
      </c>
      <c r="H71" s="43">
        <f t="shared" si="2"/>
        <v>44362</v>
      </c>
      <c r="I71" s="29">
        <f t="shared" si="3"/>
        <v>18011.19733</v>
      </c>
      <c r="J71" s="29">
        <f t="shared" si="4"/>
        <v>706.6954536</v>
      </c>
      <c r="K71" s="29">
        <f t="shared" si="5"/>
        <v>75.04665556</v>
      </c>
      <c r="L71" s="44">
        <f t="shared" si="6"/>
        <v>631.648798</v>
      </c>
      <c r="M71" s="29">
        <f t="shared" si="7"/>
        <v>17379.54854</v>
      </c>
      <c r="N71" s="39">
        <f t="shared" si="8"/>
        <v>0.2172443567</v>
      </c>
      <c r="O71" s="44">
        <f t="shared" si="9"/>
        <v>8367.884845</v>
      </c>
      <c r="P71" s="29">
        <f t="shared" si="10"/>
        <v>32620.45146</v>
      </c>
      <c r="Q71" s="2"/>
      <c r="R71" s="2"/>
      <c r="S71" s="2"/>
      <c r="T71" s="2"/>
      <c r="U71" s="2"/>
      <c r="V71" s="2"/>
      <c r="W71" s="2"/>
      <c r="X71" s="9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>
      <c r="A72" s="2"/>
      <c r="B72" s="2"/>
      <c r="C72" s="2"/>
      <c r="D72" s="2"/>
      <c r="E72" s="2"/>
      <c r="F72" s="2"/>
      <c r="G72" s="13">
        <f t="shared" si="1"/>
        <v>59</v>
      </c>
      <c r="H72" s="43">
        <f t="shared" si="2"/>
        <v>44377</v>
      </c>
      <c r="I72" s="29">
        <f t="shared" si="3"/>
        <v>17379.54854</v>
      </c>
      <c r="J72" s="29">
        <f t="shared" si="4"/>
        <v>706.6954536</v>
      </c>
      <c r="K72" s="29">
        <f t="shared" si="5"/>
        <v>72.41478557</v>
      </c>
      <c r="L72" s="44">
        <f t="shared" si="6"/>
        <v>634.280668</v>
      </c>
      <c r="M72" s="29">
        <f t="shared" si="7"/>
        <v>16745.26787</v>
      </c>
      <c r="N72" s="39">
        <f t="shared" si="8"/>
        <v>0.2093158484</v>
      </c>
      <c r="O72" s="44">
        <f t="shared" si="9"/>
        <v>8440.299631</v>
      </c>
      <c r="P72" s="29">
        <f t="shared" si="10"/>
        <v>33254.73213</v>
      </c>
      <c r="Q72" s="2"/>
      <c r="R72" s="2"/>
      <c r="S72" s="2"/>
      <c r="T72" s="2"/>
      <c r="U72" s="2"/>
      <c r="V72" s="2"/>
      <c r="W72" s="2"/>
      <c r="X72" s="9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>
      <c r="A73" s="2"/>
      <c r="B73" s="2"/>
      <c r="C73" s="2"/>
      <c r="D73" s="2"/>
      <c r="E73" s="2"/>
      <c r="F73" s="2"/>
      <c r="G73" s="13">
        <f t="shared" si="1"/>
        <v>60</v>
      </c>
      <c r="H73" s="43">
        <f t="shared" si="2"/>
        <v>44392</v>
      </c>
      <c r="I73" s="29">
        <f t="shared" si="3"/>
        <v>16745.26787</v>
      </c>
      <c r="J73" s="29">
        <f t="shared" si="4"/>
        <v>706.6954536</v>
      </c>
      <c r="K73" s="29">
        <f t="shared" si="5"/>
        <v>69.77194945</v>
      </c>
      <c r="L73" s="44">
        <f t="shared" si="6"/>
        <v>636.9235041</v>
      </c>
      <c r="M73" s="29">
        <f t="shared" si="7"/>
        <v>16108.34436</v>
      </c>
      <c r="N73" s="39">
        <f t="shared" si="8"/>
        <v>0.2013543046</v>
      </c>
      <c r="O73" s="44">
        <f t="shared" si="9"/>
        <v>8510.07158</v>
      </c>
      <c r="P73" s="29">
        <f t="shared" si="10"/>
        <v>33891.65564</v>
      </c>
      <c r="Q73" s="2"/>
      <c r="R73" s="2"/>
      <c r="S73" s="2"/>
      <c r="T73" s="2"/>
      <c r="U73" s="2"/>
      <c r="V73" s="2"/>
      <c r="W73" s="2"/>
      <c r="X73" s="9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>
      <c r="A74" s="2"/>
      <c r="B74" s="2"/>
      <c r="C74" s="2"/>
      <c r="D74" s="2"/>
      <c r="E74" s="2"/>
      <c r="F74" s="2"/>
      <c r="G74" s="13">
        <f t="shared" si="1"/>
        <v>61</v>
      </c>
      <c r="H74" s="43">
        <f t="shared" si="2"/>
        <v>44408</v>
      </c>
      <c r="I74" s="29">
        <f t="shared" si="3"/>
        <v>16108.34436</v>
      </c>
      <c r="J74" s="29">
        <f t="shared" si="4"/>
        <v>706.6954536</v>
      </c>
      <c r="K74" s="29">
        <f t="shared" si="5"/>
        <v>67.11810152</v>
      </c>
      <c r="L74" s="44">
        <f t="shared" si="6"/>
        <v>639.5773521</v>
      </c>
      <c r="M74" s="29">
        <f t="shared" si="7"/>
        <v>15468.76701</v>
      </c>
      <c r="N74" s="39">
        <f t="shared" si="8"/>
        <v>0.1933595877</v>
      </c>
      <c r="O74" s="44">
        <f t="shared" si="9"/>
        <v>8577.189682</v>
      </c>
      <c r="P74" s="29">
        <f t="shared" si="10"/>
        <v>34531.23299</v>
      </c>
      <c r="Q74" s="2"/>
      <c r="R74" s="2"/>
      <c r="S74" s="2"/>
      <c r="T74" s="2"/>
      <c r="U74" s="2"/>
      <c r="V74" s="2"/>
      <c r="W74" s="2"/>
      <c r="X74" s="9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>
      <c r="A75" s="2"/>
      <c r="B75" s="2"/>
      <c r="C75" s="2"/>
      <c r="D75" s="2"/>
      <c r="E75" s="2"/>
      <c r="F75" s="2"/>
      <c r="G75" s="13">
        <f t="shared" si="1"/>
        <v>62</v>
      </c>
      <c r="H75" s="43">
        <f t="shared" si="2"/>
        <v>44423</v>
      </c>
      <c r="I75" s="29">
        <f t="shared" si="3"/>
        <v>15468.76701</v>
      </c>
      <c r="J75" s="29">
        <f t="shared" si="4"/>
        <v>706.6954536</v>
      </c>
      <c r="K75" s="29">
        <f t="shared" si="5"/>
        <v>64.45319589</v>
      </c>
      <c r="L75" s="44">
        <f t="shared" si="6"/>
        <v>642.2422577</v>
      </c>
      <c r="M75" s="29">
        <f t="shared" si="7"/>
        <v>14826.52475</v>
      </c>
      <c r="N75" s="39">
        <f t="shared" si="8"/>
        <v>0.1853315594</v>
      </c>
      <c r="O75" s="44">
        <f t="shared" si="9"/>
        <v>8641.642878</v>
      </c>
      <c r="P75" s="29">
        <f t="shared" si="10"/>
        <v>35173.47525</v>
      </c>
      <c r="Q75" s="2"/>
      <c r="R75" s="2"/>
      <c r="S75" s="2"/>
      <c r="T75" s="2"/>
      <c r="U75" s="2"/>
      <c r="V75" s="2"/>
      <c r="W75" s="2"/>
      <c r="X75" s="9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>
      <c r="A76" s="2"/>
      <c r="B76" s="2"/>
      <c r="C76" s="2"/>
      <c r="D76" s="2"/>
      <c r="E76" s="2"/>
      <c r="F76" s="2"/>
      <c r="G76" s="13">
        <f t="shared" si="1"/>
        <v>63</v>
      </c>
      <c r="H76" s="43">
        <f t="shared" si="2"/>
        <v>44439</v>
      </c>
      <c r="I76" s="29">
        <f t="shared" si="3"/>
        <v>14826.52475</v>
      </c>
      <c r="J76" s="29">
        <f t="shared" si="4"/>
        <v>706.6954536</v>
      </c>
      <c r="K76" s="29">
        <f t="shared" si="5"/>
        <v>61.77718648</v>
      </c>
      <c r="L76" s="44">
        <f t="shared" si="6"/>
        <v>644.9182671</v>
      </c>
      <c r="M76" s="29">
        <f t="shared" si="7"/>
        <v>14181.60649</v>
      </c>
      <c r="N76" s="39">
        <f t="shared" si="8"/>
        <v>0.1772700811</v>
      </c>
      <c r="O76" s="44">
        <f t="shared" si="9"/>
        <v>8703.420064</v>
      </c>
      <c r="P76" s="29">
        <f t="shared" si="10"/>
        <v>35818.39351</v>
      </c>
      <c r="Q76" s="2"/>
      <c r="R76" s="2"/>
      <c r="S76" s="2"/>
      <c r="T76" s="2"/>
      <c r="U76" s="2"/>
      <c r="V76" s="2"/>
      <c r="W76" s="2"/>
      <c r="X76" s="9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>
      <c r="A77" s="2"/>
      <c r="B77" s="2"/>
      <c r="C77" s="2"/>
      <c r="D77" s="2"/>
      <c r="E77" s="2"/>
      <c r="F77" s="2"/>
      <c r="G77" s="13">
        <f t="shared" si="1"/>
        <v>64</v>
      </c>
      <c r="H77" s="43">
        <f t="shared" si="2"/>
        <v>44454</v>
      </c>
      <c r="I77" s="29">
        <f t="shared" si="3"/>
        <v>14181.60649</v>
      </c>
      <c r="J77" s="29">
        <f t="shared" si="4"/>
        <v>706.6954536</v>
      </c>
      <c r="K77" s="29">
        <f t="shared" si="5"/>
        <v>59.09002703</v>
      </c>
      <c r="L77" s="44">
        <f t="shared" si="6"/>
        <v>647.6054266</v>
      </c>
      <c r="M77" s="29">
        <f t="shared" si="7"/>
        <v>13534.00106</v>
      </c>
      <c r="N77" s="39">
        <f t="shared" si="8"/>
        <v>0.1691750133</v>
      </c>
      <c r="O77" s="44">
        <f t="shared" si="9"/>
        <v>8762.510091</v>
      </c>
      <c r="P77" s="29">
        <f t="shared" si="10"/>
        <v>36465.99894</v>
      </c>
      <c r="Q77" s="2"/>
      <c r="R77" s="2"/>
      <c r="S77" s="2"/>
      <c r="T77" s="2"/>
      <c r="U77" s="2"/>
      <c r="V77" s="2"/>
      <c r="W77" s="2"/>
      <c r="X77" s="9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>
      <c r="A78" s="2"/>
      <c r="B78" s="2"/>
      <c r="C78" s="2"/>
      <c r="D78" s="2"/>
      <c r="E78" s="2"/>
      <c r="F78" s="2"/>
      <c r="G78" s="13">
        <f t="shared" si="1"/>
        <v>65</v>
      </c>
      <c r="H78" s="43">
        <f t="shared" si="2"/>
        <v>44469</v>
      </c>
      <c r="I78" s="29">
        <f t="shared" si="3"/>
        <v>13534.00106</v>
      </c>
      <c r="J78" s="29">
        <f t="shared" si="4"/>
        <v>706.6954536</v>
      </c>
      <c r="K78" s="29">
        <f t="shared" si="5"/>
        <v>56.39167109</v>
      </c>
      <c r="L78" s="44">
        <f t="shared" si="6"/>
        <v>650.3037825</v>
      </c>
      <c r="M78" s="29">
        <f t="shared" si="7"/>
        <v>12883.69728</v>
      </c>
      <c r="N78" s="39">
        <f t="shared" si="8"/>
        <v>0.161046216</v>
      </c>
      <c r="O78" s="44">
        <f t="shared" si="9"/>
        <v>8818.901762</v>
      </c>
      <c r="P78" s="29">
        <f t="shared" si="10"/>
        <v>37116.30272</v>
      </c>
      <c r="Q78" s="2"/>
      <c r="R78" s="2"/>
      <c r="S78" s="2"/>
      <c r="T78" s="2"/>
      <c r="U78" s="2"/>
      <c r="V78" s="2"/>
      <c r="W78" s="2"/>
      <c r="X78" s="9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>
      <c r="A79" s="2"/>
      <c r="B79" s="2"/>
      <c r="C79" s="2"/>
      <c r="D79" s="2"/>
      <c r="E79" s="2"/>
      <c r="F79" s="2"/>
      <c r="G79" s="13">
        <f t="shared" si="1"/>
        <v>66</v>
      </c>
      <c r="H79" s="43">
        <f t="shared" si="2"/>
        <v>44484</v>
      </c>
      <c r="I79" s="29">
        <f t="shared" si="3"/>
        <v>12883.69728</v>
      </c>
      <c r="J79" s="29">
        <f t="shared" si="4"/>
        <v>706.6954536</v>
      </c>
      <c r="K79" s="29">
        <f t="shared" si="5"/>
        <v>53.68207199</v>
      </c>
      <c r="L79" s="44">
        <f t="shared" si="6"/>
        <v>653.0133816</v>
      </c>
      <c r="M79" s="29">
        <f t="shared" si="7"/>
        <v>12230.6839</v>
      </c>
      <c r="N79" s="39">
        <f t="shared" si="8"/>
        <v>0.1528835487</v>
      </c>
      <c r="O79" s="44">
        <f t="shared" si="9"/>
        <v>8872.583834</v>
      </c>
      <c r="P79" s="29">
        <f t="shared" si="10"/>
        <v>37769.3161</v>
      </c>
      <c r="Q79" s="2"/>
      <c r="R79" s="2"/>
      <c r="S79" s="2"/>
      <c r="T79" s="2"/>
      <c r="U79" s="2"/>
      <c r="V79" s="2"/>
      <c r="W79" s="2"/>
      <c r="X79" s="9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>
      <c r="A80" s="2"/>
      <c r="B80" s="2"/>
      <c r="C80" s="2"/>
      <c r="D80" s="2"/>
      <c r="E80" s="2"/>
      <c r="F80" s="2"/>
      <c r="G80" s="13">
        <f t="shared" si="1"/>
        <v>67</v>
      </c>
      <c r="H80" s="43">
        <f t="shared" si="2"/>
        <v>44500</v>
      </c>
      <c r="I80" s="29">
        <f t="shared" si="3"/>
        <v>12230.6839</v>
      </c>
      <c r="J80" s="29">
        <f t="shared" si="4"/>
        <v>706.6954536</v>
      </c>
      <c r="K80" s="29">
        <f t="shared" si="5"/>
        <v>50.9611829</v>
      </c>
      <c r="L80" s="44">
        <f t="shared" si="6"/>
        <v>655.7342707</v>
      </c>
      <c r="M80" s="29">
        <f t="shared" si="7"/>
        <v>11574.94963</v>
      </c>
      <c r="N80" s="39">
        <f t="shared" si="8"/>
        <v>0.1446868703</v>
      </c>
      <c r="O80" s="44">
        <f t="shared" si="9"/>
        <v>8923.545017</v>
      </c>
      <c r="P80" s="29">
        <f t="shared" si="10"/>
        <v>38425.05037</v>
      </c>
      <c r="Q80" s="2"/>
      <c r="R80" s="2"/>
      <c r="S80" s="2"/>
      <c r="T80" s="2"/>
      <c r="U80" s="2"/>
      <c r="V80" s="2"/>
      <c r="W80" s="2"/>
      <c r="X80" s="9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>
      <c r="A81" s="2"/>
      <c r="B81" s="2"/>
      <c r="C81" s="2"/>
      <c r="D81" s="2"/>
      <c r="E81" s="2"/>
      <c r="F81" s="2"/>
      <c r="G81" s="13">
        <f t="shared" si="1"/>
        <v>68</v>
      </c>
      <c r="H81" s="43">
        <f t="shared" si="2"/>
        <v>44515</v>
      </c>
      <c r="I81" s="29">
        <f t="shared" si="3"/>
        <v>11574.94963</v>
      </c>
      <c r="J81" s="29">
        <f t="shared" si="4"/>
        <v>706.6954536</v>
      </c>
      <c r="K81" s="29">
        <f t="shared" si="5"/>
        <v>48.22895678</v>
      </c>
      <c r="L81" s="44">
        <f t="shared" si="6"/>
        <v>658.4664968</v>
      </c>
      <c r="M81" s="29">
        <f t="shared" si="7"/>
        <v>10916.48313</v>
      </c>
      <c r="N81" s="39">
        <f t="shared" si="8"/>
        <v>0.1364560391</v>
      </c>
      <c r="O81" s="44">
        <f t="shared" si="9"/>
        <v>8971.773974</v>
      </c>
      <c r="P81" s="29">
        <f t="shared" si="10"/>
        <v>39083.51687</v>
      </c>
      <c r="Q81" s="2"/>
      <c r="R81" s="2"/>
      <c r="S81" s="2"/>
      <c r="T81" s="2"/>
      <c r="U81" s="2"/>
      <c r="V81" s="2"/>
      <c r="W81" s="2"/>
      <c r="X81" s="9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>
      <c r="A82" s="2"/>
      <c r="B82" s="2"/>
      <c r="C82" s="2"/>
      <c r="D82" s="2"/>
      <c r="E82" s="2"/>
      <c r="F82" s="2"/>
      <c r="G82" s="13">
        <f t="shared" si="1"/>
        <v>69</v>
      </c>
      <c r="H82" s="43">
        <f t="shared" si="2"/>
        <v>44530</v>
      </c>
      <c r="I82" s="29">
        <f t="shared" si="3"/>
        <v>10916.48313</v>
      </c>
      <c r="J82" s="29">
        <f t="shared" si="4"/>
        <v>706.6954536</v>
      </c>
      <c r="K82" s="29">
        <f t="shared" si="5"/>
        <v>45.48534637</v>
      </c>
      <c r="L82" s="44">
        <f t="shared" si="6"/>
        <v>661.2101072</v>
      </c>
      <c r="M82" s="29">
        <f t="shared" si="7"/>
        <v>10255.27302</v>
      </c>
      <c r="N82" s="39">
        <f t="shared" si="8"/>
        <v>0.1281909128</v>
      </c>
      <c r="O82" s="44">
        <f t="shared" si="9"/>
        <v>9017.25932</v>
      </c>
      <c r="P82" s="29">
        <f t="shared" si="10"/>
        <v>39744.72698</v>
      </c>
      <c r="Q82" s="2"/>
      <c r="R82" s="2"/>
      <c r="S82" s="2"/>
      <c r="T82" s="2"/>
      <c r="U82" s="2"/>
      <c r="V82" s="2"/>
      <c r="W82" s="2"/>
      <c r="X82" s="9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>
      <c r="A83" s="2"/>
      <c r="B83" s="2"/>
      <c r="C83" s="2"/>
      <c r="D83" s="2"/>
      <c r="E83" s="2"/>
      <c r="F83" s="2"/>
      <c r="G83" s="13">
        <f t="shared" si="1"/>
        <v>70</v>
      </c>
      <c r="H83" s="43">
        <f t="shared" si="2"/>
        <v>44545</v>
      </c>
      <c r="I83" s="29">
        <f t="shared" si="3"/>
        <v>10255.27302</v>
      </c>
      <c r="J83" s="29">
        <f t="shared" si="4"/>
        <v>706.6954536</v>
      </c>
      <c r="K83" s="29">
        <f t="shared" si="5"/>
        <v>42.73030426</v>
      </c>
      <c r="L83" s="44">
        <f t="shared" si="6"/>
        <v>663.9651493</v>
      </c>
      <c r="M83" s="29">
        <f t="shared" si="7"/>
        <v>9591.307873</v>
      </c>
      <c r="N83" s="39">
        <f t="shared" si="8"/>
        <v>0.1198913484</v>
      </c>
      <c r="O83" s="44">
        <f t="shared" si="9"/>
        <v>9059.989625</v>
      </c>
      <c r="P83" s="29">
        <f t="shared" si="10"/>
        <v>40408.69213</v>
      </c>
      <c r="Q83" s="2"/>
      <c r="R83" s="2"/>
      <c r="S83" s="2"/>
      <c r="T83" s="2"/>
      <c r="U83" s="2"/>
      <c r="V83" s="2"/>
      <c r="W83" s="2"/>
      <c r="X83" s="9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>
      <c r="A84" s="2"/>
      <c r="B84" s="2"/>
      <c r="C84" s="2"/>
      <c r="D84" s="2"/>
      <c r="E84" s="2"/>
      <c r="F84" s="2"/>
      <c r="G84" s="13">
        <f t="shared" si="1"/>
        <v>71</v>
      </c>
      <c r="H84" s="43">
        <f t="shared" si="2"/>
        <v>44561</v>
      </c>
      <c r="I84" s="29">
        <f t="shared" si="3"/>
        <v>9591.307873</v>
      </c>
      <c r="J84" s="29">
        <f t="shared" si="4"/>
        <v>706.6954536</v>
      </c>
      <c r="K84" s="29">
        <f t="shared" si="5"/>
        <v>39.9637828</v>
      </c>
      <c r="L84" s="44">
        <f t="shared" si="6"/>
        <v>666.7316708</v>
      </c>
      <c r="M84" s="29">
        <f t="shared" si="7"/>
        <v>8924.576202</v>
      </c>
      <c r="N84" s="39">
        <f t="shared" si="8"/>
        <v>0.1115572025</v>
      </c>
      <c r="O84" s="44">
        <f t="shared" si="9"/>
        <v>9099.953408</v>
      </c>
      <c r="P84" s="29">
        <f t="shared" si="10"/>
        <v>41075.4238</v>
      </c>
      <c r="Q84" s="2"/>
      <c r="R84" s="2"/>
      <c r="S84" s="2"/>
      <c r="T84" s="2"/>
      <c r="U84" s="2"/>
      <c r="V84" s="2"/>
      <c r="W84" s="2"/>
      <c r="X84" s="9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>
      <c r="A85" s="2"/>
      <c r="B85" s="2"/>
      <c r="C85" s="2"/>
      <c r="D85" s="2"/>
      <c r="E85" s="2"/>
      <c r="F85" s="2"/>
      <c r="G85" s="13">
        <f t="shared" si="1"/>
        <v>72</v>
      </c>
      <c r="H85" s="43">
        <f t="shared" si="2"/>
        <v>44576</v>
      </c>
      <c r="I85" s="29">
        <f t="shared" si="3"/>
        <v>8924.576202</v>
      </c>
      <c r="J85" s="29">
        <f t="shared" si="4"/>
        <v>706.6954536</v>
      </c>
      <c r="K85" s="29">
        <f t="shared" si="5"/>
        <v>37.18573418</v>
      </c>
      <c r="L85" s="44">
        <f t="shared" si="6"/>
        <v>669.5097194</v>
      </c>
      <c r="M85" s="29">
        <f t="shared" si="7"/>
        <v>8255.066483</v>
      </c>
      <c r="N85" s="39">
        <f t="shared" si="8"/>
        <v>0.103188331</v>
      </c>
      <c r="O85" s="44">
        <f t="shared" si="9"/>
        <v>9137.139142</v>
      </c>
      <c r="P85" s="29">
        <f t="shared" si="10"/>
        <v>41744.93352</v>
      </c>
      <c r="Q85" s="2"/>
      <c r="R85" s="2"/>
      <c r="S85" s="2"/>
      <c r="T85" s="2"/>
      <c r="U85" s="2"/>
      <c r="V85" s="2"/>
      <c r="W85" s="2"/>
      <c r="X85" s="9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>
      <c r="A86" s="2"/>
      <c r="B86" s="2"/>
      <c r="C86" s="2"/>
      <c r="D86" s="2"/>
      <c r="E86" s="2"/>
      <c r="F86" s="2"/>
      <c r="G86" s="13">
        <f t="shared" si="1"/>
        <v>73</v>
      </c>
      <c r="H86" s="43">
        <f t="shared" si="2"/>
        <v>44592</v>
      </c>
      <c r="I86" s="29">
        <f t="shared" si="3"/>
        <v>8255.066483</v>
      </c>
      <c r="J86" s="29">
        <f t="shared" si="4"/>
        <v>706.6954536</v>
      </c>
      <c r="K86" s="29">
        <f t="shared" si="5"/>
        <v>34.39611035</v>
      </c>
      <c r="L86" s="44">
        <f t="shared" si="6"/>
        <v>672.2993433</v>
      </c>
      <c r="M86" s="29">
        <f t="shared" si="7"/>
        <v>7582.76714</v>
      </c>
      <c r="N86" s="39">
        <f t="shared" si="8"/>
        <v>0.09478458925</v>
      </c>
      <c r="O86" s="44">
        <f t="shared" si="9"/>
        <v>9171.535252</v>
      </c>
      <c r="P86" s="29">
        <f t="shared" si="10"/>
        <v>42417.23286</v>
      </c>
      <c r="Q86" s="2"/>
      <c r="R86" s="2"/>
      <c r="S86" s="2"/>
      <c r="T86" s="2"/>
      <c r="U86" s="2"/>
      <c r="V86" s="2"/>
      <c r="W86" s="2"/>
      <c r="X86" s="9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>
      <c r="A87" s="2"/>
      <c r="B87" s="2"/>
      <c r="C87" s="2"/>
      <c r="D87" s="2"/>
      <c r="E87" s="2"/>
      <c r="F87" s="2"/>
      <c r="G87" s="13">
        <f t="shared" si="1"/>
        <v>74</v>
      </c>
      <c r="H87" s="43">
        <f t="shared" si="2"/>
        <v>44607</v>
      </c>
      <c r="I87" s="29">
        <f t="shared" si="3"/>
        <v>7582.76714</v>
      </c>
      <c r="J87" s="29">
        <f t="shared" si="4"/>
        <v>706.6954536</v>
      </c>
      <c r="K87" s="29">
        <f t="shared" si="5"/>
        <v>31.59486308</v>
      </c>
      <c r="L87" s="44">
        <f t="shared" si="6"/>
        <v>675.1005905</v>
      </c>
      <c r="M87" s="29">
        <f t="shared" si="7"/>
        <v>6907.666549</v>
      </c>
      <c r="N87" s="39">
        <f t="shared" si="8"/>
        <v>0.08634583186</v>
      </c>
      <c r="O87" s="44">
        <f t="shared" si="9"/>
        <v>9203.130115</v>
      </c>
      <c r="P87" s="29">
        <f t="shared" si="10"/>
        <v>43092.33345</v>
      </c>
      <c r="Q87" s="2"/>
      <c r="R87" s="2"/>
      <c r="S87" s="2"/>
      <c r="T87" s="2"/>
      <c r="U87" s="2"/>
      <c r="V87" s="2"/>
      <c r="W87" s="2"/>
      <c r="X87" s="9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>
      <c r="A88" s="2"/>
      <c r="B88" s="2"/>
      <c r="C88" s="2"/>
      <c r="D88" s="2"/>
      <c r="E88" s="2"/>
      <c r="F88" s="2"/>
      <c r="G88" s="13">
        <f t="shared" si="1"/>
        <v>75</v>
      </c>
      <c r="H88" s="43">
        <f t="shared" si="2"/>
        <v>44620</v>
      </c>
      <c r="I88" s="29">
        <f t="shared" si="3"/>
        <v>6907.666549</v>
      </c>
      <c r="J88" s="29">
        <f t="shared" si="4"/>
        <v>706.6954536</v>
      </c>
      <c r="K88" s="29">
        <f t="shared" si="5"/>
        <v>28.78194395</v>
      </c>
      <c r="L88" s="44">
        <f t="shared" si="6"/>
        <v>677.9135096</v>
      </c>
      <c r="M88" s="29">
        <f t="shared" si="7"/>
        <v>6229.753039</v>
      </c>
      <c r="N88" s="39">
        <f t="shared" si="8"/>
        <v>0.07787191299</v>
      </c>
      <c r="O88" s="44">
        <f t="shared" si="9"/>
        <v>9231.912059</v>
      </c>
      <c r="P88" s="29">
        <f t="shared" si="10"/>
        <v>43770.24696</v>
      </c>
      <c r="Q88" s="2"/>
      <c r="R88" s="2"/>
      <c r="S88" s="2"/>
      <c r="T88" s="2"/>
      <c r="U88" s="2"/>
      <c r="V88" s="2"/>
      <c r="W88" s="2"/>
      <c r="X88" s="9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>
      <c r="A89" s="2"/>
      <c r="B89" s="2"/>
      <c r="C89" s="2"/>
      <c r="D89" s="2"/>
      <c r="E89" s="2"/>
      <c r="F89" s="2"/>
      <c r="G89" s="13">
        <f t="shared" si="1"/>
        <v>76</v>
      </c>
      <c r="H89" s="43">
        <f t="shared" si="2"/>
        <v>44635</v>
      </c>
      <c r="I89" s="29">
        <f t="shared" si="3"/>
        <v>6229.753039</v>
      </c>
      <c r="J89" s="29">
        <f t="shared" si="4"/>
        <v>706.6954536</v>
      </c>
      <c r="K89" s="29">
        <f t="shared" si="5"/>
        <v>25.95730433</v>
      </c>
      <c r="L89" s="44">
        <f t="shared" si="6"/>
        <v>680.7381493</v>
      </c>
      <c r="M89" s="29">
        <f t="shared" si="7"/>
        <v>5549.01489</v>
      </c>
      <c r="N89" s="39">
        <f t="shared" si="8"/>
        <v>0.06936268613</v>
      </c>
      <c r="O89" s="44">
        <f t="shared" si="9"/>
        <v>9257.869363</v>
      </c>
      <c r="P89" s="29">
        <f t="shared" si="10"/>
        <v>44450.98511</v>
      </c>
      <c r="Q89" s="2"/>
      <c r="R89" s="2"/>
      <c r="S89" s="2"/>
      <c r="T89" s="2"/>
      <c r="U89" s="2"/>
      <c r="V89" s="2"/>
      <c r="W89" s="2"/>
      <c r="X89" s="9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>
      <c r="A90" s="2"/>
      <c r="B90" s="2"/>
      <c r="C90" s="2"/>
      <c r="D90" s="2"/>
      <c r="E90" s="2"/>
      <c r="F90" s="2"/>
      <c r="G90" s="13">
        <f t="shared" si="1"/>
        <v>77</v>
      </c>
      <c r="H90" s="43">
        <f t="shared" si="2"/>
        <v>44651</v>
      </c>
      <c r="I90" s="29">
        <f t="shared" si="3"/>
        <v>5549.01489</v>
      </c>
      <c r="J90" s="29">
        <f t="shared" si="4"/>
        <v>706.6954536</v>
      </c>
      <c r="K90" s="29">
        <f t="shared" si="5"/>
        <v>23.12089538</v>
      </c>
      <c r="L90" s="44">
        <f t="shared" si="6"/>
        <v>683.5745582</v>
      </c>
      <c r="M90" s="29">
        <f t="shared" si="7"/>
        <v>4865.440332</v>
      </c>
      <c r="N90" s="39">
        <f t="shared" si="8"/>
        <v>0.06081800415</v>
      </c>
      <c r="O90" s="44">
        <f t="shared" si="9"/>
        <v>9280.990259</v>
      </c>
      <c r="P90" s="29">
        <f t="shared" si="10"/>
        <v>45134.55967</v>
      </c>
      <c r="Q90" s="2"/>
      <c r="R90" s="2"/>
      <c r="S90" s="2"/>
      <c r="T90" s="2"/>
      <c r="U90" s="2"/>
      <c r="V90" s="2"/>
      <c r="W90" s="2"/>
      <c r="X90" s="9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>
      <c r="A91" s="2"/>
      <c r="B91" s="2"/>
      <c r="C91" s="2"/>
      <c r="D91" s="2"/>
      <c r="E91" s="2"/>
      <c r="F91" s="2"/>
      <c r="G91" s="13">
        <f t="shared" si="1"/>
        <v>78</v>
      </c>
      <c r="H91" s="43">
        <f t="shared" si="2"/>
        <v>44666</v>
      </c>
      <c r="I91" s="29">
        <f t="shared" si="3"/>
        <v>4865.440332</v>
      </c>
      <c r="J91" s="29">
        <f t="shared" si="4"/>
        <v>706.6954536</v>
      </c>
      <c r="K91" s="29">
        <f t="shared" si="5"/>
        <v>20.27266805</v>
      </c>
      <c r="L91" s="44">
        <f t="shared" si="6"/>
        <v>686.4227855</v>
      </c>
      <c r="M91" s="29">
        <f t="shared" si="7"/>
        <v>4179.017546</v>
      </c>
      <c r="N91" s="39">
        <f t="shared" si="8"/>
        <v>0.05223771933</v>
      </c>
      <c r="O91" s="44">
        <f t="shared" si="9"/>
        <v>9301.262927</v>
      </c>
      <c r="P91" s="29">
        <f t="shared" si="10"/>
        <v>45820.98245</v>
      </c>
      <c r="Q91" s="2"/>
      <c r="R91" s="2"/>
      <c r="S91" s="2"/>
      <c r="T91" s="2"/>
      <c r="U91" s="2"/>
      <c r="V91" s="2"/>
      <c r="W91" s="2"/>
      <c r="X91" s="9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>
      <c r="A92" s="2"/>
      <c r="B92" s="2"/>
      <c r="C92" s="2"/>
      <c r="D92" s="2"/>
      <c r="E92" s="2"/>
      <c r="F92" s="2"/>
      <c r="G92" s="13">
        <f t="shared" si="1"/>
        <v>79</v>
      </c>
      <c r="H92" s="43">
        <f t="shared" si="2"/>
        <v>44681</v>
      </c>
      <c r="I92" s="29">
        <f t="shared" si="3"/>
        <v>4179.017546</v>
      </c>
      <c r="J92" s="29">
        <f t="shared" si="4"/>
        <v>706.6954536</v>
      </c>
      <c r="K92" s="29">
        <f t="shared" si="5"/>
        <v>17.41257311</v>
      </c>
      <c r="L92" s="44">
        <f t="shared" si="6"/>
        <v>689.2828805</v>
      </c>
      <c r="M92" s="29">
        <f t="shared" si="7"/>
        <v>3489.734666</v>
      </c>
      <c r="N92" s="39">
        <f t="shared" si="8"/>
        <v>0.04362168332</v>
      </c>
      <c r="O92" s="44">
        <f t="shared" si="9"/>
        <v>9318.6755</v>
      </c>
      <c r="P92" s="29">
        <f t="shared" si="10"/>
        <v>46510.26533</v>
      </c>
      <c r="Q92" s="2"/>
      <c r="R92" s="2"/>
      <c r="S92" s="2"/>
      <c r="T92" s="2"/>
      <c r="U92" s="2"/>
      <c r="V92" s="2"/>
      <c r="W92" s="2"/>
      <c r="X92" s="9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>
      <c r="A93" s="2"/>
      <c r="B93" s="2"/>
      <c r="C93" s="2"/>
      <c r="D93" s="2"/>
      <c r="E93" s="2"/>
      <c r="F93" s="2"/>
      <c r="G93" s="13">
        <f t="shared" si="1"/>
        <v>80</v>
      </c>
      <c r="H93" s="43">
        <f t="shared" si="2"/>
        <v>44696</v>
      </c>
      <c r="I93" s="29">
        <f t="shared" si="3"/>
        <v>3489.734666</v>
      </c>
      <c r="J93" s="29">
        <f t="shared" si="4"/>
        <v>706.6954536</v>
      </c>
      <c r="K93" s="29">
        <f t="shared" si="5"/>
        <v>14.54056111</v>
      </c>
      <c r="L93" s="44">
        <f t="shared" si="6"/>
        <v>692.1548925</v>
      </c>
      <c r="M93" s="29">
        <f t="shared" si="7"/>
        <v>2797.579773</v>
      </c>
      <c r="N93" s="39">
        <f t="shared" si="8"/>
        <v>0.03496974717</v>
      </c>
      <c r="O93" s="44">
        <f t="shared" si="9"/>
        <v>9333.216061</v>
      </c>
      <c r="P93" s="29">
        <f t="shared" si="10"/>
        <v>47202.42023</v>
      </c>
      <c r="Q93" s="2"/>
      <c r="R93" s="2"/>
      <c r="S93" s="2"/>
      <c r="T93" s="2"/>
      <c r="U93" s="2"/>
      <c r="V93" s="2"/>
      <c r="W93" s="2"/>
      <c r="X93" s="9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>
      <c r="A94" s="2"/>
      <c r="B94" s="2"/>
      <c r="C94" s="2"/>
      <c r="D94" s="2"/>
      <c r="E94" s="2"/>
      <c r="F94" s="2"/>
      <c r="G94" s="13">
        <f t="shared" si="1"/>
        <v>81</v>
      </c>
      <c r="H94" s="43">
        <f t="shared" si="2"/>
        <v>44712</v>
      </c>
      <c r="I94" s="29">
        <f t="shared" si="3"/>
        <v>2797.579773</v>
      </c>
      <c r="J94" s="29">
        <f t="shared" si="4"/>
        <v>706.6954536</v>
      </c>
      <c r="K94" s="29">
        <f t="shared" si="5"/>
        <v>11.65658239</v>
      </c>
      <c r="L94" s="44">
        <f t="shared" si="6"/>
        <v>695.0388712</v>
      </c>
      <c r="M94" s="29">
        <f t="shared" si="7"/>
        <v>2102.540902</v>
      </c>
      <c r="N94" s="39">
        <f t="shared" si="8"/>
        <v>0.02628176128</v>
      </c>
      <c r="O94" s="44">
        <f t="shared" si="9"/>
        <v>9344.872643</v>
      </c>
      <c r="P94" s="29">
        <f t="shared" si="10"/>
        <v>47897.4591</v>
      </c>
      <c r="Q94" s="2"/>
      <c r="R94" s="2"/>
      <c r="S94" s="2"/>
      <c r="T94" s="2"/>
      <c r="U94" s="2"/>
      <c r="V94" s="2"/>
      <c r="W94" s="2"/>
      <c r="X94" s="9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>
      <c r="A95" s="2"/>
      <c r="B95" s="2"/>
      <c r="C95" s="2"/>
      <c r="D95" s="2"/>
      <c r="E95" s="2"/>
      <c r="F95" s="2"/>
      <c r="G95" s="13">
        <f t="shared" si="1"/>
        <v>82</v>
      </c>
      <c r="H95" s="43">
        <f t="shared" si="2"/>
        <v>44727</v>
      </c>
      <c r="I95" s="29">
        <f t="shared" si="3"/>
        <v>2102.540902</v>
      </c>
      <c r="J95" s="29">
        <f t="shared" si="4"/>
        <v>706.6954536</v>
      </c>
      <c r="K95" s="29">
        <f t="shared" si="5"/>
        <v>8.760587093</v>
      </c>
      <c r="L95" s="44">
        <f t="shared" si="6"/>
        <v>697.9348665</v>
      </c>
      <c r="M95" s="29">
        <f t="shared" si="7"/>
        <v>1404.606036</v>
      </c>
      <c r="N95" s="39">
        <f t="shared" si="8"/>
        <v>0.01755757545</v>
      </c>
      <c r="O95" s="44">
        <f t="shared" si="9"/>
        <v>9353.633231</v>
      </c>
      <c r="P95" s="29">
        <f t="shared" si="10"/>
        <v>48595.39396</v>
      </c>
      <c r="Q95" s="2"/>
      <c r="R95" s="2"/>
      <c r="S95" s="2"/>
      <c r="T95" s="2"/>
      <c r="U95" s="2"/>
      <c r="V95" s="2"/>
      <c r="W95" s="2"/>
      <c r="X95" s="9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>
      <c r="A96" s="2"/>
      <c r="B96" s="2"/>
      <c r="C96" s="2"/>
      <c r="D96" s="2"/>
      <c r="E96" s="2"/>
      <c r="F96" s="2"/>
      <c r="G96" s="13">
        <f t="shared" si="1"/>
        <v>83</v>
      </c>
      <c r="H96" s="43">
        <f t="shared" si="2"/>
        <v>44742</v>
      </c>
      <c r="I96" s="29">
        <f t="shared" si="3"/>
        <v>1404.606036</v>
      </c>
      <c r="J96" s="29">
        <f t="shared" si="4"/>
        <v>706.6954536</v>
      </c>
      <c r="K96" s="29">
        <f t="shared" si="5"/>
        <v>5.852525149</v>
      </c>
      <c r="L96" s="44">
        <f t="shared" si="6"/>
        <v>700.8429284</v>
      </c>
      <c r="M96" s="29">
        <f t="shared" si="7"/>
        <v>703.7631073</v>
      </c>
      <c r="N96" s="39">
        <f t="shared" si="8"/>
        <v>0.008797038841</v>
      </c>
      <c r="O96" s="44">
        <f t="shared" si="9"/>
        <v>9359.485756</v>
      </c>
      <c r="P96" s="29">
        <f t="shared" si="10"/>
        <v>49296.23689</v>
      </c>
      <c r="Q96" s="2"/>
      <c r="R96" s="2"/>
      <c r="S96" s="2"/>
      <c r="T96" s="2"/>
      <c r="U96" s="2"/>
      <c r="V96" s="2"/>
      <c r="W96" s="2"/>
      <c r="X96" s="9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>
      <c r="A97" s="2"/>
      <c r="B97" s="2"/>
      <c r="C97" s="2"/>
      <c r="D97" s="2"/>
      <c r="E97" s="2"/>
      <c r="F97" s="2"/>
      <c r="G97" s="13">
        <f t="shared" si="1"/>
        <v>84</v>
      </c>
      <c r="H97" s="43">
        <f t="shared" si="2"/>
        <v>44757</v>
      </c>
      <c r="I97" s="29">
        <f t="shared" si="3"/>
        <v>703.7631073</v>
      </c>
      <c r="J97" s="29">
        <f t="shared" si="4"/>
        <v>706.6954536</v>
      </c>
      <c r="K97" s="29">
        <f t="shared" si="5"/>
        <v>2.93234628</v>
      </c>
      <c r="L97" s="44">
        <f t="shared" si="6"/>
        <v>703.7631073</v>
      </c>
      <c r="M97" s="29">
        <f t="shared" si="7"/>
        <v>-0.0000000001668922778</v>
      </c>
      <c r="N97" s="39">
        <f t="shared" si="8"/>
        <v>0</v>
      </c>
      <c r="O97" s="44">
        <f t="shared" si="9"/>
        <v>9362.418102</v>
      </c>
      <c r="P97" s="29">
        <f t="shared" si="10"/>
        <v>50000</v>
      </c>
      <c r="Q97" s="2"/>
      <c r="R97" s="2"/>
      <c r="S97" s="2"/>
      <c r="T97" s="2"/>
      <c r="U97" s="2"/>
      <c r="V97" s="2"/>
      <c r="W97" s="2"/>
      <c r="X97" s="9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>
      <c r="A98" s="2"/>
      <c r="B98" s="2"/>
      <c r="C98" s="2"/>
      <c r="D98" s="2"/>
      <c r="E98" s="2"/>
      <c r="F98" s="2"/>
      <c r="G98" s="2" t="str">
        <f t="shared" si="1"/>
        <v/>
      </c>
      <c r="H98" s="45" t="str">
        <f t="shared" si="2"/>
        <v/>
      </c>
      <c r="I98" s="18" t="str">
        <f t="shared" si="3"/>
        <v/>
      </c>
      <c r="J98" s="18" t="str">
        <f t="shared" si="4"/>
        <v/>
      </c>
      <c r="K98" s="18" t="str">
        <f t="shared" si="5"/>
        <v/>
      </c>
      <c r="L98" s="46" t="str">
        <f t="shared" si="6"/>
        <v/>
      </c>
      <c r="M98" s="18" t="str">
        <f t="shared" si="7"/>
        <v/>
      </c>
      <c r="N98" s="9" t="str">
        <f t="shared" si="8"/>
        <v/>
      </c>
      <c r="O98" s="46" t="str">
        <f t="shared" si="9"/>
        <v/>
      </c>
      <c r="P98" s="18" t="str">
        <f t="shared" si="10"/>
        <v/>
      </c>
      <c r="Q98" s="2"/>
      <c r="R98" s="2"/>
      <c r="S98" s="2"/>
      <c r="T98" s="2"/>
      <c r="U98" s="2"/>
      <c r="V98" s="2"/>
      <c r="W98" s="2"/>
      <c r="X98" s="9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>
      <c r="A99" s="2"/>
      <c r="B99" s="2"/>
      <c r="C99" s="2"/>
      <c r="D99" s="2"/>
      <c r="E99" s="2"/>
      <c r="F99" s="2"/>
      <c r="G99" s="2" t="str">
        <f t="shared" si="1"/>
        <v/>
      </c>
      <c r="H99" s="45" t="str">
        <f t="shared" si="2"/>
        <v/>
      </c>
      <c r="I99" s="18" t="str">
        <f t="shared" si="3"/>
        <v/>
      </c>
      <c r="J99" s="18" t="str">
        <f t="shared" si="4"/>
        <v/>
      </c>
      <c r="K99" s="18" t="str">
        <f t="shared" si="5"/>
        <v/>
      </c>
      <c r="L99" s="46" t="str">
        <f t="shared" si="6"/>
        <v/>
      </c>
      <c r="M99" s="18" t="str">
        <f t="shared" si="7"/>
        <v/>
      </c>
      <c r="N99" s="9" t="str">
        <f t="shared" si="8"/>
        <v/>
      </c>
      <c r="O99" s="46" t="str">
        <f t="shared" si="9"/>
        <v/>
      </c>
      <c r="P99" s="18" t="str">
        <f t="shared" si="10"/>
        <v/>
      </c>
      <c r="Q99" s="2"/>
      <c r="R99" s="2"/>
      <c r="S99" s="2"/>
      <c r="T99" s="2"/>
      <c r="U99" s="2"/>
      <c r="V99" s="2"/>
      <c r="W99" s="2"/>
      <c r="X99" s="9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>
      <c r="A100" s="2"/>
      <c r="B100" s="2"/>
      <c r="C100" s="2"/>
      <c r="D100" s="2"/>
      <c r="E100" s="2"/>
      <c r="F100" s="2"/>
      <c r="G100" s="2" t="str">
        <f t="shared" si="1"/>
        <v/>
      </c>
      <c r="H100" s="45" t="str">
        <f t="shared" si="2"/>
        <v/>
      </c>
      <c r="I100" s="18" t="str">
        <f t="shared" si="3"/>
        <v/>
      </c>
      <c r="J100" s="18" t="str">
        <f t="shared" si="4"/>
        <v/>
      </c>
      <c r="K100" s="18" t="str">
        <f t="shared" si="5"/>
        <v/>
      </c>
      <c r="L100" s="46" t="str">
        <f t="shared" si="6"/>
        <v/>
      </c>
      <c r="M100" s="18" t="str">
        <f t="shared" si="7"/>
        <v/>
      </c>
      <c r="N100" s="9" t="str">
        <f t="shared" si="8"/>
        <v/>
      </c>
      <c r="O100" s="46" t="str">
        <f t="shared" si="9"/>
        <v/>
      </c>
      <c r="P100" s="18" t="str">
        <f t="shared" si="10"/>
        <v/>
      </c>
      <c r="Q100" s="2"/>
      <c r="R100" s="2"/>
      <c r="S100" s="2"/>
      <c r="T100" s="2"/>
      <c r="U100" s="2"/>
      <c r="V100" s="2"/>
      <c r="W100" s="2"/>
      <c r="X100" s="9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>
      <c r="A101" s="2"/>
      <c r="B101" s="2"/>
      <c r="C101" s="2"/>
      <c r="D101" s="2"/>
      <c r="E101" s="2"/>
      <c r="F101" s="2"/>
      <c r="G101" s="2" t="str">
        <f t="shared" si="1"/>
        <v/>
      </c>
      <c r="H101" s="45" t="str">
        <f t="shared" si="2"/>
        <v/>
      </c>
      <c r="I101" s="18" t="str">
        <f t="shared" si="3"/>
        <v/>
      </c>
      <c r="J101" s="18" t="str">
        <f t="shared" si="4"/>
        <v/>
      </c>
      <c r="K101" s="18" t="str">
        <f t="shared" si="5"/>
        <v/>
      </c>
      <c r="L101" s="46" t="str">
        <f t="shared" si="6"/>
        <v/>
      </c>
      <c r="M101" s="18" t="str">
        <f t="shared" si="7"/>
        <v/>
      </c>
      <c r="N101" s="9" t="str">
        <f t="shared" si="8"/>
        <v/>
      </c>
      <c r="O101" s="46" t="str">
        <f t="shared" si="9"/>
        <v/>
      </c>
      <c r="P101" s="18" t="str">
        <f t="shared" si="10"/>
        <v/>
      </c>
      <c r="Q101" s="2"/>
      <c r="R101" s="2"/>
      <c r="S101" s="2"/>
      <c r="T101" s="2"/>
      <c r="U101" s="2"/>
      <c r="V101" s="2"/>
      <c r="W101" s="2"/>
      <c r="X101" s="9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>
      <c r="A102" s="2"/>
      <c r="B102" s="2"/>
      <c r="C102" s="2"/>
      <c r="D102" s="2"/>
      <c r="E102" s="2"/>
      <c r="F102" s="2"/>
      <c r="G102" s="2" t="str">
        <f t="shared" si="1"/>
        <v/>
      </c>
      <c r="H102" s="45" t="str">
        <f t="shared" si="2"/>
        <v/>
      </c>
      <c r="I102" s="18" t="str">
        <f t="shared" si="3"/>
        <v/>
      </c>
      <c r="J102" s="18" t="str">
        <f t="shared" si="4"/>
        <v/>
      </c>
      <c r="K102" s="18" t="str">
        <f t="shared" si="5"/>
        <v/>
      </c>
      <c r="L102" s="46" t="str">
        <f t="shared" si="6"/>
        <v/>
      </c>
      <c r="M102" s="18" t="str">
        <f t="shared" si="7"/>
        <v/>
      </c>
      <c r="N102" s="9" t="str">
        <f t="shared" si="8"/>
        <v/>
      </c>
      <c r="O102" s="46" t="str">
        <f t="shared" si="9"/>
        <v/>
      </c>
      <c r="P102" s="18" t="str">
        <f t="shared" si="10"/>
        <v/>
      </c>
      <c r="Q102" s="2"/>
      <c r="R102" s="2"/>
      <c r="S102" s="2"/>
      <c r="T102" s="2"/>
      <c r="U102" s="2"/>
      <c r="V102" s="2"/>
      <c r="W102" s="2"/>
      <c r="X102" s="9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>
      <c r="A103" s="2"/>
      <c r="B103" s="2"/>
      <c r="C103" s="2"/>
      <c r="D103" s="2"/>
      <c r="E103" s="2"/>
      <c r="F103" s="2"/>
      <c r="G103" s="2" t="str">
        <f t="shared" si="1"/>
        <v/>
      </c>
      <c r="H103" s="45" t="str">
        <f t="shared" si="2"/>
        <v/>
      </c>
      <c r="I103" s="18" t="str">
        <f t="shared" si="3"/>
        <v/>
      </c>
      <c r="J103" s="18" t="str">
        <f t="shared" si="4"/>
        <v/>
      </c>
      <c r="K103" s="18" t="str">
        <f t="shared" si="5"/>
        <v/>
      </c>
      <c r="L103" s="46" t="str">
        <f t="shared" si="6"/>
        <v/>
      </c>
      <c r="M103" s="18" t="str">
        <f t="shared" si="7"/>
        <v/>
      </c>
      <c r="N103" s="9" t="str">
        <f t="shared" si="8"/>
        <v/>
      </c>
      <c r="O103" s="46" t="str">
        <f t="shared" si="9"/>
        <v/>
      </c>
      <c r="P103" s="18" t="str">
        <f t="shared" si="10"/>
        <v/>
      </c>
      <c r="Q103" s="2"/>
      <c r="R103" s="2"/>
      <c r="S103" s="2"/>
      <c r="T103" s="2"/>
      <c r="U103" s="2"/>
      <c r="V103" s="2"/>
      <c r="W103" s="2"/>
      <c r="X103" s="9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>
      <c r="A104" s="2"/>
      <c r="B104" s="2"/>
      <c r="C104" s="2"/>
      <c r="D104" s="2"/>
      <c r="E104" s="2"/>
      <c r="F104" s="2"/>
      <c r="G104" s="2" t="str">
        <f t="shared" si="1"/>
        <v/>
      </c>
      <c r="H104" s="45" t="str">
        <f t="shared" si="2"/>
        <v/>
      </c>
      <c r="I104" s="18" t="str">
        <f t="shared" si="3"/>
        <v/>
      </c>
      <c r="J104" s="18" t="str">
        <f t="shared" si="4"/>
        <v/>
      </c>
      <c r="K104" s="18" t="str">
        <f t="shared" si="5"/>
        <v/>
      </c>
      <c r="L104" s="46" t="str">
        <f t="shared" si="6"/>
        <v/>
      </c>
      <c r="M104" s="18" t="str">
        <f t="shared" si="7"/>
        <v/>
      </c>
      <c r="N104" s="9" t="str">
        <f t="shared" si="8"/>
        <v/>
      </c>
      <c r="O104" s="46" t="str">
        <f t="shared" si="9"/>
        <v/>
      </c>
      <c r="P104" s="18" t="str">
        <f t="shared" si="10"/>
        <v/>
      </c>
      <c r="Q104" s="2"/>
      <c r="R104" s="2"/>
      <c r="S104" s="2"/>
      <c r="T104" s="2"/>
      <c r="U104" s="2"/>
      <c r="V104" s="2"/>
      <c r="W104" s="2"/>
      <c r="X104" s="9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>
      <c r="A105" s="2"/>
      <c r="B105" s="2"/>
      <c r="C105" s="2"/>
      <c r="D105" s="2"/>
      <c r="E105" s="2"/>
      <c r="F105" s="2"/>
      <c r="G105" s="2" t="str">
        <f t="shared" si="1"/>
        <v/>
      </c>
      <c r="H105" s="45" t="str">
        <f t="shared" si="2"/>
        <v/>
      </c>
      <c r="I105" s="18" t="str">
        <f t="shared" si="3"/>
        <v/>
      </c>
      <c r="J105" s="18" t="str">
        <f t="shared" si="4"/>
        <v/>
      </c>
      <c r="K105" s="18" t="str">
        <f t="shared" si="5"/>
        <v/>
      </c>
      <c r="L105" s="46" t="str">
        <f t="shared" si="6"/>
        <v/>
      </c>
      <c r="M105" s="18" t="str">
        <f t="shared" si="7"/>
        <v/>
      </c>
      <c r="N105" s="9" t="str">
        <f t="shared" si="8"/>
        <v/>
      </c>
      <c r="O105" s="46" t="str">
        <f t="shared" si="9"/>
        <v/>
      </c>
      <c r="P105" s="18" t="str">
        <f t="shared" si="10"/>
        <v/>
      </c>
      <c r="Q105" s="2"/>
      <c r="R105" s="2"/>
      <c r="S105" s="2"/>
      <c r="T105" s="2"/>
      <c r="U105" s="2"/>
      <c r="V105" s="2"/>
      <c r="W105" s="2"/>
      <c r="X105" s="9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>
      <c r="A106" s="2"/>
      <c r="B106" s="2"/>
      <c r="C106" s="2"/>
      <c r="D106" s="2"/>
      <c r="E106" s="2"/>
      <c r="F106" s="2"/>
      <c r="G106" s="2" t="str">
        <f t="shared" si="1"/>
        <v/>
      </c>
      <c r="H106" s="45" t="str">
        <f t="shared" si="2"/>
        <v/>
      </c>
      <c r="I106" s="18" t="str">
        <f t="shared" si="3"/>
        <v/>
      </c>
      <c r="J106" s="18" t="str">
        <f t="shared" si="4"/>
        <v/>
      </c>
      <c r="K106" s="18" t="str">
        <f t="shared" si="5"/>
        <v/>
      </c>
      <c r="L106" s="46" t="str">
        <f t="shared" si="6"/>
        <v/>
      </c>
      <c r="M106" s="18" t="str">
        <f t="shared" si="7"/>
        <v/>
      </c>
      <c r="N106" s="9" t="str">
        <f t="shared" si="8"/>
        <v/>
      </c>
      <c r="O106" s="46" t="str">
        <f t="shared" si="9"/>
        <v/>
      </c>
      <c r="P106" s="18" t="str">
        <f t="shared" si="10"/>
        <v/>
      </c>
      <c r="Q106" s="2"/>
      <c r="R106" s="2"/>
      <c r="S106" s="2"/>
      <c r="T106" s="2"/>
      <c r="U106" s="2"/>
      <c r="V106" s="2"/>
      <c r="W106" s="2"/>
      <c r="X106" s="9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>
      <c r="A107" s="2"/>
      <c r="B107" s="2"/>
      <c r="C107" s="2"/>
      <c r="D107" s="2"/>
      <c r="E107" s="2"/>
      <c r="F107" s="2"/>
      <c r="G107" s="2" t="str">
        <f t="shared" si="1"/>
        <v/>
      </c>
      <c r="H107" s="45" t="str">
        <f t="shared" si="2"/>
        <v/>
      </c>
      <c r="I107" s="18" t="str">
        <f t="shared" si="3"/>
        <v/>
      </c>
      <c r="J107" s="18" t="str">
        <f t="shared" si="4"/>
        <v/>
      </c>
      <c r="K107" s="18" t="str">
        <f t="shared" si="5"/>
        <v/>
      </c>
      <c r="L107" s="46" t="str">
        <f t="shared" si="6"/>
        <v/>
      </c>
      <c r="M107" s="18" t="str">
        <f t="shared" si="7"/>
        <v/>
      </c>
      <c r="N107" s="9" t="str">
        <f t="shared" si="8"/>
        <v/>
      </c>
      <c r="O107" s="46" t="str">
        <f t="shared" si="9"/>
        <v/>
      </c>
      <c r="P107" s="18" t="str">
        <f t="shared" si="10"/>
        <v/>
      </c>
      <c r="Q107" s="2"/>
      <c r="R107" s="2"/>
      <c r="S107" s="2"/>
      <c r="T107" s="2"/>
      <c r="U107" s="2"/>
      <c r="V107" s="2"/>
      <c r="W107" s="2"/>
      <c r="X107" s="9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>
      <c r="A108" s="2"/>
      <c r="B108" s="2"/>
      <c r="C108" s="2"/>
      <c r="D108" s="2"/>
      <c r="E108" s="2"/>
      <c r="F108" s="2"/>
      <c r="G108" s="2" t="str">
        <f t="shared" si="1"/>
        <v/>
      </c>
      <c r="H108" s="45" t="str">
        <f t="shared" si="2"/>
        <v/>
      </c>
      <c r="I108" s="18" t="str">
        <f t="shared" si="3"/>
        <v/>
      </c>
      <c r="J108" s="18" t="str">
        <f t="shared" si="4"/>
        <v/>
      </c>
      <c r="K108" s="18" t="str">
        <f t="shared" si="5"/>
        <v/>
      </c>
      <c r="L108" s="46" t="str">
        <f t="shared" si="6"/>
        <v/>
      </c>
      <c r="M108" s="18" t="str">
        <f t="shared" si="7"/>
        <v/>
      </c>
      <c r="N108" s="9" t="str">
        <f t="shared" si="8"/>
        <v/>
      </c>
      <c r="O108" s="46" t="str">
        <f t="shared" si="9"/>
        <v/>
      </c>
      <c r="P108" s="18" t="str">
        <f t="shared" si="10"/>
        <v/>
      </c>
      <c r="Q108" s="2"/>
      <c r="R108" s="2"/>
      <c r="S108" s="2"/>
      <c r="T108" s="2"/>
      <c r="U108" s="2"/>
      <c r="V108" s="2"/>
      <c r="W108" s="2"/>
      <c r="X108" s="9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>
      <c r="A109" s="2"/>
      <c r="B109" s="2"/>
      <c r="C109" s="2"/>
      <c r="D109" s="2"/>
      <c r="E109" s="2"/>
      <c r="F109" s="2"/>
      <c r="G109" s="2" t="str">
        <f t="shared" si="1"/>
        <v/>
      </c>
      <c r="H109" s="45" t="str">
        <f t="shared" si="2"/>
        <v/>
      </c>
      <c r="I109" s="18" t="str">
        <f t="shared" si="3"/>
        <v/>
      </c>
      <c r="J109" s="18" t="str">
        <f t="shared" si="4"/>
        <v/>
      </c>
      <c r="K109" s="18" t="str">
        <f t="shared" si="5"/>
        <v/>
      </c>
      <c r="L109" s="46" t="str">
        <f t="shared" si="6"/>
        <v/>
      </c>
      <c r="M109" s="18" t="str">
        <f t="shared" si="7"/>
        <v/>
      </c>
      <c r="N109" s="9" t="str">
        <f t="shared" si="8"/>
        <v/>
      </c>
      <c r="O109" s="46" t="str">
        <f t="shared" si="9"/>
        <v/>
      </c>
      <c r="P109" s="18" t="str">
        <f t="shared" si="10"/>
        <v/>
      </c>
      <c r="Q109" s="2"/>
      <c r="R109" s="2"/>
      <c r="S109" s="2"/>
      <c r="T109" s="2"/>
      <c r="U109" s="2"/>
      <c r="V109" s="2"/>
      <c r="W109" s="2"/>
      <c r="X109" s="9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>
      <c r="A110" s="2"/>
      <c r="B110" s="2"/>
      <c r="C110" s="2"/>
      <c r="D110" s="2"/>
      <c r="E110" s="2"/>
      <c r="F110" s="2"/>
      <c r="G110" s="2" t="str">
        <f t="shared" si="1"/>
        <v/>
      </c>
      <c r="H110" s="45" t="str">
        <f t="shared" si="2"/>
        <v/>
      </c>
      <c r="I110" s="18" t="str">
        <f t="shared" si="3"/>
        <v/>
      </c>
      <c r="J110" s="18" t="str">
        <f t="shared" si="4"/>
        <v/>
      </c>
      <c r="K110" s="18" t="str">
        <f t="shared" si="5"/>
        <v/>
      </c>
      <c r="L110" s="46" t="str">
        <f t="shared" si="6"/>
        <v/>
      </c>
      <c r="M110" s="18" t="str">
        <f t="shared" si="7"/>
        <v/>
      </c>
      <c r="N110" s="9" t="str">
        <f t="shared" si="8"/>
        <v/>
      </c>
      <c r="O110" s="46" t="str">
        <f t="shared" si="9"/>
        <v/>
      </c>
      <c r="P110" s="18" t="str">
        <f t="shared" si="10"/>
        <v/>
      </c>
      <c r="Q110" s="2"/>
      <c r="R110" s="2"/>
      <c r="S110" s="2"/>
      <c r="T110" s="2"/>
      <c r="U110" s="2"/>
      <c r="V110" s="2"/>
      <c r="W110" s="2"/>
      <c r="X110" s="9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>
      <c r="A111" s="2"/>
      <c r="B111" s="2"/>
      <c r="C111" s="2"/>
      <c r="D111" s="2"/>
      <c r="E111" s="2"/>
      <c r="F111" s="2"/>
      <c r="G111" s="2" t="str">
        <f t="shared" si="1"/>
        <v/>
      </c>
      <c r="H111" s="45" t="str">
        <f t="shared" si="2"/>
        <v/>
      </c>
      <c r="I111" s="18" t="str">
        <f t="shared" si="3"/>
        <v/>
      </c>
      <c r="J111" s="18" t="str">
        <f t="shared" si="4"/>
        <v/>
      </c>
      <c r="K111" s="18" t="str">
        <f t="shared" si="5"/>
        <v/>
      </c>
      <c r="L111" s="46" t="str">
        <f t="shared" si="6"/>
        <v/>
      </c>
      <c r="M111" s="18" t="str">
        <f t="shared" si="7"/>
        <v/>
      </c>
      <c r="N111" s="9" t="str">
        <f t="shared" si="8"/>
        <v/>
      </c>
      <c r="O111" s="46" t="str">
        <f t="shared" si="9"/>
        <v/>
      </c>
      <c r="P111" s="18" t="str">
        <f t="shared" si="10"/>
        <v/>
      </c>
      <c r="Q111" s="2"/>
      <c r="R111" s="2"/>
      <c r="S111" s="2"/>
      <c r="T111" s="2"/>
      <c r="U111" s="2"/>
      <c r="V111" s="2"/>
      <c r="W111" s="2"/>
      <c r="X111" s="9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>
      <c r="A112" s="2"/>
      <c r="B112" s="2"/>
      <c r="C112" s="2"/>
      <c r="D112" s="2"/>
      <c r="E112" s="2"/>
      <c r="F112" s="2"/>
      <c r="G112" s="2" t="str">
        <f t="shared" si="1"/>
        <v/>
      </c>
      <c r="H112" s="45" t="str">
        <f t="shared" si="2"/>
        <v/>
      </c>
      <c r="I112" s="18" t="str">
        <f t="shared" si="3"/>
        <v/>
      </c>
      <c r="J112" s="18" t="str">
        <f t="shared" si="4"/>
        <v/>
      </c>
      <c r="K112" s="18" t="str">
        <f t="shared" si="5"/>
        <v/>
      </c>
      <c r="L112" s="46" t="str">
        <f t="shared" si="6"/>
        <v/>
      </c>
      <c r="M112" s="18" t="str">
        <f t="shared" si="7"/>
        <v/>
      </c>
      <c r="N112" s="9" t="str">
        <f t="shared" si="8"/>
        <v/>
      </c>
      <c r="O112" s="46" t="str">
        <f t="shared" si="9"/>
        <v/>
      </c>
      <c r="P112" s="18" t="str">
        <f t="shared" si="10"/>
        <v/>
      </c>
      <c r="Q112" s="2"/>
      <c r="R112" s="2"/>
      <c r="S112" s="2"/>
      <c r="T112" s="2"/>
      <c r="U112" s="2"/>
      <c r="V112" s="2"/>
      <c r="W112" s="2"/>
      <c r="X112" s="9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>
      <c r="A113" s="2"/>
      <c r="B113" s="2"/>
      <c r="C113" s="2"/>
      <c r="D113" s="2"/>
      <c r="E113" s="2"/>
      <c r="F113" s="2"/>
      <c r="G113" s="2" t="str">
        <f t="shared" si="1"/>
        <v/>
      </c>
      <c r="H113" s="45" t="str">
        <f t="shared" si="2"/>
        <v/>
      </c>
      <c r="I113" s="18" t="str">
        <f t="shared" si="3"/>
        <v/>
      </c>
      <c r="J113" s="18" t="str">
        <f t="shared" si="4"/>
        <v/>
      </c>
      <c r="K113" s="18" t="str">
        <f t="shared" si="5"/>
        <v/>
      </c>
      <c r="L113" s="46" t="str">
        <f t="shared" si="6"/>
        <v/>
      </c>
      <c r="M113" s="18" t="str">
        <f t="shared" si="7"/>
        <v/>
      </c>
      <c r="N113" s="9" t="str">
        <f t="shared" si="8"/>
        <v/>
      </c>
      <c r="O113" s="46" t="str">
        <f t="shared" si="9"/>
        <v/>
      </c>
      <c r="P113" s="18" t="str">
        <f t="shared" si="10"/>
        <v/>
      </c>
      <c r="Q113" s="2"/>
      <c r="R113" s="2"/>
      <c r="S113" s="2"/>
      <c r="T113" s="2"/>
      <c r="U113" s="2"/>
      <c r="V113" s="2"/>
      <c r="W113" s="2"/>
      <c r="X113" s="9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>
      <c r="A114" s="2"/>
      <c r="B114" s="2"/>
      <c r="C114" s="2"/>
      <c r="D114" s="2"/>
      <c r="E114" s="2"/>
      <c r="F114" s="2"/>
      <c r="G114" s="2" t="str">
        <f t="shared" si="1"/>
        <v/>
      </c>
      <c r="H114" s="45" t="str">
        <f t="shared" si="2"/>
        <v/>
      </c>
      <c r="I114" s="18" t="str">
        <f t="shared" si="3"/>
        <v/>
      </c>
      <c r="J114" s="18" t="str">
        <f t="shared" si="4"/>
        <v/>
      </c>
      <c r="K114" s="18" t="str">
        <f t="shared" si="5"/>
        <v/>
      </c>
      <c r="L114" s="46" t="str">
        <f t="shared" si="6"/>
        <v/>
      </c>
      <c r="M114" s="18" t="str">
        <f t="shared" si="7"/>
        <v/>
      </c>
      <c r="N114" s="9" t="str">
        <f t="shared" si="8"/>
        <v/>
      </c>
      <c r="O114" s="46" t="str">
        <f t="shared" si="9"/>
        <v/>
      </c>
      <c r="P114" s="18" t="str">
        <f t="shared" si="10"/>
        <v/>
      </c>
      <c r="Q114" s="2"/>
      <c r="R114" s="2"/>
      <c r="S114" s="2"/>
      <c r="T114" s="2"/>
      <c r="U114" s="2"/>
      <c r="V114" s="2"/>
      <c r="W114" s="2"/>
      <c r="X114" s="9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>
      <c r="A115" s="2"/>
      <c r="B115" s="2"/>
      <c r="C115" s="2"/>
      <c r="D115" s="2"/>
      <c r="E115" s="2"/>
      <c r="F115" s="2"/>
      <c r="G115" s="2" t="str">
        <f t="shared" si="1"/>
        <v/>
      </c>
      <c r="H115" s="45" t="str">
        <f t="shared" si="2"/>
        <v/>
      </c>
      <c r="I115" s="18" t="str">
        <f t="shared" si="3"/>
        <v/>
      </c>
      <c r="J115" s="18" t="str">
        <f t="shared" si="4"/>
        <v/>
      </c>
      <c r="K115" s="18" t="str">
        <f t="shared" si="5"/>
        <v/>
      </c>
      <c r="L115" s="46" t="str">
        <f t="shared" si="6"/>
        <v/>
      </c>
      <c r="M115" s="18" t="str">
        <f t="shared" si="7"/>
        <v/>
      </c>
      <c r="N115" s="9" t="str">
        <f t="shared" si="8"/>
        <v/>
      </c>
      <c r="O115" s="46" t="str">
        <f t="shared" si="9"/>
        <v/>
      </c>
      <c r="P115" s="18" t="str">
        <f t="shared" si="10"/>
        <v/>
      </c>
      <c r="Q115" s="2"/>
      <c r="R115" s="2"/>
      <c r="S115" s="2"/>
      <c r="T115" s="2"/>
      <c r="U115" s="2"/>
      <c r="V115" s="2"/>
      <c r="W115" s="2"/>
      <c r="X115" s="9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>
      <c r="A116" s="2"/>
      <c r="B116" s="2"/>
      <c r="C116" s="2"/>
      <c r="D116" s="2"/>
      <c r="E116" s="2"/>
      <c r="F116" s="2"/>
      <c r="G116" s="2" t="str">
        <f t="shared" si="1"/>
        <v/>
      </c>
      <c r="H116" s="45" t="str">
        <f t="shared" si="2"/>
        <v/>
      </c>
      <c r="I116" s="18" t="str">
        <f t="shared" si="3"/>
        <v/>
      </c>
      <c r="J116" s="18" t="str">
        <f t="shared" si="4"/>
        <v/>
      </c>
      <c r="K116" s="18" t="str">
        <f t="shared" si="5"/>
        <v/>
      </c>
      <c r="L116" s="46" t="str">
        <f t="shared" si="6"/>
        <v/>
      </c>
      <c r="M116" s="18" t="str">
        <f t="shared" si="7"/>
        <v/>
      </c>
      <c r="N116" s="9" t="str">
        <f t="shared" si="8"/>
        <v/>
      </c>
      <c r="O116" s="46" t="str">
        <f t="shared" si="9"/>
        <v/>
      </c>
      <c r="P116" s="18" t="str">
        <f t="shared" si="10"/>
        <v/>
      </c>
      <c r="Q116" s="2"/>
      <c r="R116" s="2"/>
      <c r="S116" s="2"/>
      <c r="T116" s="2"/>
      <c r="U116" s="2"/>
      <c r="V116" s="2"/>
      <c r="W116" s="2"/>
      <c r="X116" s="9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>
      <c r="A117" s="2"/>
      <c r="B117" s="2"/>
      <c r="C117" s="2"/>
      <c r="D117" s="2"/>
      <c r="E117" s="2"/>
      <c r="F117" s="2"/>
      <c r="G117" s="2" t="str">
        <f t="shared" si="1"/>
        <v/>
      </c>
      <c r="H117" s="45" t="str">
        <f t="shared" si="2"/>
        <v/>
      </c>
      <c r="I117" s="18" t="str">
        <f t="shared" si="3"/>
        <v/>
      </c>
      <c r="J117" s="18" t="str">
        <f t="shared" si="4"/>
        <v/>
      </c>
      <c r="K117" s="18" t="str">
        <f t="shared" si="5"/>
        <v/>
      </c>
      <c r="L117" s="46" t="str">
        <f t="shared" si="6"/>
        <v/>
      </c>
      <c r="M117" s="18" t="str">
        <f t="shared" si="7"/>
        <v/>
      </c>
      <c r="N117" s="9" t="str">
        <f t="shared" si="8"/>
        <v/>
      </c>
      <c r="O117" s="46" t="str">
        <f t="shared" si="9"/>
        <v/>
      </c>
      <c r="P117" s="18" t="str">
        <f t="shared" si="10"/>
        <v/>
      </c>
      <c r="Q117" s="2"/>
      <c r="R117" s="2"/>
      <c r="S117" s="2"/>
      <c r="T117" s="2"/>
      <c r="U117" s="2"/>
      <c r="V117" s="2"/>
      <c r="W117" s="2"/>
      <c r="X117" s="9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>
      <c r="A118" s="2"/>
      <c r="B118" s="2"/>
      <c r="C118" s="2"/>
      <c r="D118" s="2"/>
      <c r="E118" s="2"/>
      <c r="F118" s="2"/>
      <c r="G118" s="2" t="str">
        <f t="shared" si="1"/>
        <v/>
      </c>
      <c r="H118" s="45" t="str">
        <f t="shared" si="2"/>
        <v/>
      </c>
      <c r="I118" s="18" t="str">
        <f t="shared" si="3"/>
        <v/>
      </c>
      <c r="J118" s="18" t="str">
        <f t="shared" si="4"/>
        <v/>
      </c>
      <c r="K118" s="18" t="str">
        <f t="shared" si="5"/>
        <v/>
      </c>
      <c r="L118" s="46" t="str">
        <f t="shared" si="6"/>
        <v/>
      </c>
      <c r="M118" s="18" t="str">
        <f t="shared" si="7"/>
        <v/>
      </c>
      <c r="N118" s="9" t="str">
        <f t="shared" si="8"/>
        <v/>
      </c>
      <c r="O118" s="46" t="str">
        <f t="shared" si="9"/>
        <v/>
      </c>
      <c r="P118" s="18" t="str">
        <f t="shared" si="10"/>
        <v/>
      </c>
      <c r="Q118" s="2"/>
      <c r="R118" s="2"/>
      <c r="S118" s="2"/>
      <c r="T118" s="2"/>
      <c r="U118" s="2"/>
      <c r="V118" s="2"/>
      <c r="W118" s="2"/>
      <c r="X118" s="9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>
      <c r="A119" s="2"/>
      <c r="B119" s="2"/>
      <c r="C119" s="2"/>
      <c r="D119" s="2"/>
      <c r="E119" s="2"/>
      <c r="F119" s="2"/>
      <c r="G119" s="2" t="str">
        <f t="shared" si="1"/>
        <v/>
      </c>
      <c r="H119" s="45" t="str">
        <f t="shared" si="2"/>
        <v/>
      </c>
      <c r="I119" s="18" t="str">
        <f t="shared" si="3"/>
        <v/>
      </c>
      <c r="J119" s="18" t="str">
        <f t="shared" si="4"/>
        <v/>
      </c>
      <c r="K119" s="18" t="str">
        <f t="shared" si="5"/>
        <v/>
      </c>
      <c r="L119" s="46" t="str">
        <f t="shared" si="6"/>
        <v/>
      </c>
      <c r="M119" s="18" t="str">
        <f t="shared" si="7"/>
        <v/>
      </c>
      <c r="N119" s="9" t="str">
        <f t="shared" si="8"/>
        <v/>
      </c>
      <c r="O119" s="46" t="str">
        <f t="shared" si="9"/>
        <v/>
      </c>
      <c r="P119" s="18" t="str">
        <f t="shared" si="10"/>
        <v/>
      </c>
      <c r="Q119" s="2"/>
      <c r="R119" s="2"/>
      <c r="S119" s="2"/>
      <c r="T119" s="2"/>
      <c r="U119" s="2"/>
      <c r="V119" s="2"/>
      <c r="W119" s="2"/>
      <c r="X119" s="9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>
      <c r="A120" s="2"/>
      <c r="B120" s="2"/>
      <c r="C120" s="2"/>
      <c r="D120" s="2"/>
      <c r="E120" s="2"/>
      <c r="F120" s="2"/>
      <c r="G120" s="2" t="str">
        <f t="shared" si="1"/>
        <v/>
      </c>
      <c r="H120" s="45" t="str">
        <f t="shared" si="2"/>
        <v/>
      </c>
      <c r="I120" s="18" t="str">
        <f t="shared" si="3"/>
        <v/>
      </c>
      <c r="J120" s="18" t="str">
        <f t="shared" si="4"/>
        <v/>
      </c>
      <c r="K120" s="18" t="str">
        <f t="shared" si="5"/>
        <v/>
      </c>
      <c r="L120" s="46" t="str">
        <f t="shared" si="6"/>
        <v/>
      </c>
      <c r="M120" s="18" t="str">
        <f t="shared" si="7"/>
        <v/>
      </c>
      <c r="N120" s="9" t="str">
        <f t="shared" si="8"/>
        <v/>
      </c>
      <c r="O120" s="46" t="str">
        <f t="shared" si="9"/>
        <v/>
      </c>
      <c r="P120" s="18" t="str">
        <f t="shared" si="10"/>
        <v/>
      </c>
      <c r="Q120" s="2"/>
      <c r="R120" s="2"/>
      <c r="S120" s="2"/>
      <c r="T120" s="2"/>
      <c r="U120" s="2"/>
      <c r="V120" s="2"/>
      <c r="W120" s="2"/>
      <c r="X120" s="9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>
      <c r="A121" s="2"/>
      <c r="B121" s="2"/>
      <c r="C121" s="2"/>
      <c r="D121" s="2"/>
      <c r="E121" s="2"/>
      <c r="F121" s="2"/>
      <c r="G121" s="2" t="str">
        <f t="shared" si="1"/>
        <v/>
      </c>
      <c r="H121" s="45" t="str">
        <f t="shared" si="2"/>
        <v/>
      </c>
      <c r="I121" s="18" t="str">
        <f t="shared" si="3"/>
        <v/>
      </c>
      <c r="J121" s="18" t="str">
        <f t="shared" si="4"/>
        <v/>
      </c>
      <c r="K121" s="18" t="str">
        <f t="shared" si="5"/>
        <v/>
      </c>
      <c r="L121" s="46" t="str">
        <f t="shared" si="6"/>
        <v/>
      </c>
      <c r="M121" s="18" t="str">
        <f t="shared" si="7"/>
        <v/>
      </c>
      <c r="N121" s="9" t="str">
        <f t="shared" si="8"/>
        <v/>
      </c>
      <c r="O121" s="46" t="str">
        <f t="shared" si="9"/>
        <v/>
      </c>
      <c r="P121" s="18" t="str">
        <f t="shared" si="10"/>
        <v/>
      </c>
      <c r="Q121" s="2"/>
      <c r="R121" s="2"/>
      <c r="S121" s="2"/>
      <c r="T121" s="2"/>
      <c r="U121" s="2"/>
      <c r="V121" s="2"/>
      <c r="W121" s="2"/>
      <c r="X121" s="9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>
      <c r="A122" s="2"/>
      <c r="B122" s="2"/>
      <c r="C122" s="2"/>
      <c r="D122" s="2"/>
      <c r="E122" s="2"/>
      <c r="F122" s="2"/>
      <c r="G122" s="2" t="str">
        <f t="shared" si="1"/>
        <v/>
      </c>
      <c r="H122" s="45" t="str">
        <f t="shared" si="2"/>
        <v/>
      </c>
      <c r="I122" s="18" t="str">
        <f t="shared" si="3"/>
        <v/>
      </c>
      <c r="J122" s="18" t="str">
        <f t="shared" si="4"/>
        <v/>
      </c>
      <c r="K122" s="18" t="str">
        <f t="shared" si="5"/>
        <v/>
      </c>
      <c r="L122" s="46" t="str">
        <f t="shared" si="6"/>
        <v/>
      </c>
      <c r="M122" s="18" t="str">
        <f t="shared" si="7"/>
        <v/>
      </c>
      <c r="N122" s="9" t="str">
        <f t="shared" si="8"/>
        <v/>
      </c>
      <c r="O122" s="46" t="str">
        <f t="shared" si="9"/>
        <v/>
      </c>
      <c r="P122" s="18" t="str">
        <f t="shared" si="10"/>
        <v/>
      </c>
      <c r="Q122" s="2"/>
      <c r="R122" s="2"/>
      <c r="S122" s="2"/>
      <c r="T122" s="2"/>
      <c r="U122" s="2"/>
      <c r="V122" s="2"/>
      <c r="W122" s="2"/>
      <c r="X122" s="9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>
      <c r="A123" s="2"/>
      <c r="B123" s="2"/>
      <c r="C123" s="2"/>
      <c r="D123" s="2"/>
      <c r="E123" s="2"/>
      <c r="F123" s="2"/>
      <c r="G123" s="2" t="str">
        <f t="shared" si="1"/>
        <v/>
      </c>
      <c r="H123" s="45" t="str">
        <f t="shared" si="2"/>
        <v/>
      </c>
      <c r="I123" s="18" t="str">
        <f t="shared" si="3"/>
        <v/>
      </c>
      <c r="J123" s="18" t="str">
        <f t="shared" si="4"/>
        <v/>
      </c>
      <c r="K123" s="18" t="str">
        <f t="shared" si="5"/>
        <v/>
      </c>
      <c r="L123" s="46" t="str">
        <f t="shared" si="6"/>
        <v/>
      </c>
      <c r="M123" s="18" t="str">
        <f t="shared" si="7"/>
        <v/>
      </c>
      <c r="N123" s="9" t="str">
        <f t="shared" si="8"/>
        <v/>
      </c>
      <c r="O123" s="46" t="str">
        <f t="shared" si="9"/>
        <v/>
      </c>
      <c r="P123" s="18" t="str">
        <f t="shared" si="10"/>
        <v/>
      </c>
      <c r="Q123" s="2"/>
      <c r="R123" s="2"/>
      <c r="S123" s="2"/>
      <c r="T123" s="2"/>
      <c r="U123" s="2"/>
      <c r="V123" s="2"/>
      <c r="W123" s="2"/>
      <c r="X123" s="9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>
      <c r="A124" s="2"/>
      <c r="B124" s="2"/>
      <c r="C124" s="2"/>
      <c r="D124" s="2"/>
      <c r="E124" s="2"/>
      <c r="F124" s="2"/>
      <c r="G124" s="2" t="str">
        <f t="shared" si="1"/>
        <v/>
      </c>
      <c r="H124" s="45" t="str">
        <f t="shared" si="2"/>
        <v/>
      </c>
      <c r="I124" s="18" t="str">
        <f t="shared" si="3"/>
        <v/>
      </c>
      <c r="J124" s="18" t="str">
        <f t="shared" si="4"/>
        <v/>
      </c>
      <c r="K124" s="18" t="str">
        <f t="shared" si="5"/>
        <v/>
      </c>
      <c r="L124" s="46" t="str">
        <f t="shared" si="6"/>
        <v/>
      </c>
      <c r="M124" s="18" t="str">
        <f t="shared" si="7"/>
        <v/>
      </c>
      <c r="N124" s="9" t="str">
        <f t="shared" si="8"/>
        <v/>
      </c>
      <c r="O124" s="46" t="str">
        <f t="shared" si="9"/>
        <v/>
      </c>
      <c r="P124" s="18" t="str">
        <f t="shared" si="10"/>
        <v/>
      </c>
      <c r="Q124" s="2"/>
      <c r="R124" s="2"/>
      <c r="S124" s="2"/>
      <c r="T124" s="2"/>
      <c r="U124" s="2"/>
      <c r="V124" s="2"/>
      <c r="W124" s="2"/>
      <c r="X124" s="9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>
      <c r="A125" s="2"/>
      <c r="B125" s="2"/>
      <c r="C125" s="2"/>
      <c r="D125" s="2"/>
      <c r="E125" s="2"/>
      <c r="F125" s="2"/>
      <c r="G125" s="2" t="str">
        <f t="shared" si="1"/>
        <v/>
      </c>
      <c r="H125" s="45" t="str">
        <f t="shared" si="2"/>
        <v/>
      </c>
      <c r="I125" s="18" t="str">
        <f t="shared" si="3"/>
        <v/>
      </c>
      <c r="J125" s="18" t="str">
        <f t="shared" si="4"/>
        <v/>
      </c>
      <c r="K125" s="18" t="str">
        <f t="shared" si="5"/>
        <v/>
      </c>
      <c r="L125" s="46" t="str">
        <f t="shared" si="6"/>
        <v/>
      </c>
      <c r="M125" s="18" t="str">
        <f t="shared" si="7"/>
        <v/>
      </c>
      <c r="N125" s="9" t="str">
        <f t="shared" si="8"/>
        <v/>
      </c>
      <c r="O125" s="46" t="str">
        <f t="shared" si="9"/>
        <v/>
      </c>
      <c r="P125" s="18" t="str">
        <f t="shared" si="10"/>
        <v/>
      </c>
      <c r="Q125" s="2"/>
      <c r="R125" s="2"/>
      <c r="S125" s="2"/>
      <c r="T125" s="2"/>
      <c r="U125" s="2"/>
      <c r="V125" s="2"/>
      <c r="W125" s="2"/>
      <c r="X125" s="9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>
      <c r="A126" s="2"/>
      <c r="B126" s="2"/>
      <c r="C126" s="2"/>
      <c r="D126" s="2"/>
      <c r="E126" s="2"/>
      <c r="F126" s="2"/>
      <c r="G126" s="2" t="str">
        <f t="shared" si="1"/>
        <v/>
      </c>
      <c r="H126" s="45" t="str">
        <f t="shared" si="2"/>
        <v/>
      </c>
      <c r="I126" s="18" t="str">
        <f t="shared" si="3"/>
        <v/>
      </c>
      <c r="J126" s="18" t="str">
        <f t="shared" si="4"/>
        <v/>
      </c>
      <c r="K126" s="18" t="str">
        <f t="shared" si="5"/>
        <v/>
      </c>
      <c r="L126" s="46" t="str">
        <f t="shared" si="6"/>
        <v/>
      </c>
      <c r="M126" s="18" t="str">
        <f t="shared" si="7"/>
        <v/>
      </c>
      <c r="N126" s="9" t="str">
        <f t="shared" si="8"/>
        <v/>
      </c>
      <c r="O126" s="46" t="str">
        <f t="shared" si="9"/>
        <v/>
      </c>
      <c r="P126" s="18" t="str">
        <f t="shared" si="10"/>
        <v/>
      </c>
      <c r="Q126" s="2"/>
      <c r="R126" s="2"/>
      <c r="S126" s="2"/>
      <c r="T126" s="2"/>
      <c r="U126" s="2"/>
      <c r="V126" s="2"/>
      <c r="W126" s="2"/>
      <c r="X126" s="9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>
      <c r="A127" s="2"/>
      <c r="B127" s="2"/>
      <c r="C127" s="2"/>
      <c r="D127" s="2"/>
      <c r="E127" s="2"/>
      <c r="F127" s="2"/>
      <c r="G127" s="2" t="str">
        <f t="shared" si="1"/>
        <v/>
      </c>
      <c r="H127" s="45" t="str">
        <f t="shared" si="2"/>
        <v/>
      </c>
      <c r="I127" s="18" t="str">
        <f t="shared" si="3"/>
        <v/>
      </c>
      <c r="J127" s="18" t="str">
        <f t="shared" si="4"/>
        <v/>
      </c>
      <c r="K127" s="18" t="str">
        <f t="shared" si="5"/>
        <v/>
      </c>
      <c r="L127" s="46" t="str">
        <f t="shared" si="6"/>
        <v/>
      </c>
      <c r="M127" s="18" t="str">
        <f t="shared" si="7"/>
        <v/>
      </c>
      <c r="N127" s="9" t="str">
        <f t="shared" si="8"/>
        <v/>
      </c>
      <c r="O127" s="46" t="str">
        <f t="shared" si="9"/>
        <v/>
      </c>
      <c r="P127" s="18" t="str">
        <f t="shared" si="10"/>
        <v/>
      </c>
      <c r="Q127" s="2"/>
      <c r="R127" s="2"/>
      <c r="S127" s="2"/>
      <c r="T127" s="2"/>
      <c r="U127" s="2"/>
      <c r="V127" s="2"/>
      <c r="W127" s="2"/>
      <c r="X127" s="9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>
      <c r="A128" s="2"/>
      <c r="B128" s="2"/>
      <c r="C128" s="2"/>
      <c r="D128" s="2"/>
      <c r="E128" s="2"/>
      <c r="F128" s="2"/>
      <c r="G128" s="2" t="str">
        <f t="shared" si="1"/>
        <v/>
      </c>
      <c r="H128" s="45" t="str">
        <f t="shared" si="2"/>
        <v/>
      </c>
      <c r="I128" s="18" t="str">
        <f t="shared" si="3"/>
        <v/>
      </c>
      <c r="J128" s="18" t="str">
        <f t="shared" si="4"/>
        <v/>
      </c>
      <c r="K128" s="18" t="str">
        <f t="shared" si="5"/>
        <v/>
      </c>
      <c r="L128" s="46" t="str">
        <f t="shared" si="6"/>
        <v/>
      </c>
      <c r="M128" s="18" t="str">
        <f t="shared" si="7"/>
        <v/>
      </c>
      <c r="N128" s="9" t="str">
        <f t="shared" si="8"/>
        <v/>
      </c>
      <c r="O128" s="46" t="str">
        <f t="shared" si="9"/>
        <v/>
      </c>
      <c r="P128" s="18" t="str">
        <f t="shared" si="10"/>
        <v/>
      </c>
      <c r="Q128" s="2"/>
      <c r="R128" s="2"/>
      <c r="S128" s="2"/>
      <c r="T128" s="2"/>
      <c r="U128" s="2"/>
      <c r="V128" s="2"/>
      <c r="W128" s="2"/>
      <c r="X128" s="9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>
      <c r="A129" s="2"/>
      <c r="B129" s="2"/>
      <c r="C129" s="2"/>
      <c r="D129" s="2"/>
      <c r="E129" s="2"/>
      <c r="F129" s="2"/>
      <c r="G129" s="2" t="str">
        <f t="shared" si="1"/>
        <v/>
      </c>
      <c r="H129" s="45" t="str">
        <f t="shared" si="2"/>
        <v/>
      </c>
      <c r="I129" s="18" t="str">
        <f t="shared" si="3"/>
        <v/>
      </c>
      <c r="J129" s="18" t="str">
        <f t="shared" si="4"/>
        <v/>
      </c>
      <c r="K129" s="18" t="str">
        <f t="shared" si="5"/>
        <v/>
      </c>
      <c r="L129" s="46" t="str">
        <f t="shared" si="6"/>
        <v/>
      </c>
      <c r="M129" s="18" t="str">
        <f t="shared" si="7"/>
        <v/>
      </c>
      <c r="N129" s="9" t="str">
        <f t="shared" si="8"/>
        <v/>
      </c>
      <c r="O129" s="46" t="str">
        <f t="shared" si="9"/>
        <v/>
      </c>
      <c r="P129" s="18" t="str">
        <f t="shared" si="10"/>
        <v/>
      </c>
      <c r="Q129" s="2"/>
      <c r="R129" s="2"/>
      <c r="S129" s="2"/>
      <c r="T129" s="2"/>
      <c r="U129" s="2"/>
      <c r="V129" s="2"/>
      <c r="W129" s="2"/>
      <c r="X129" s="9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>
      <c r="A130" s="2"/>
      <c r="B130" s="2"/>
      <c r="C130" s="2"/>
      <c r="D130" s="2"/>
      <c r="E130" s="2"/>
      <c r="F130" s="2"/>
      <c r="G130" s="2" t="str">
        <f t="shared" si="1"/>
        <v/>
      </c>
      <c r="H130" s="45" t="str">
        <f t="shared" si="2"/>
        <v/>
      </c>
      <c r="I130" s="18" t="str">
        <f t="shared" si="3"/>
        <v/>
      </c>
      <c r="J130" s="18" t="str">
        <f t="shared" si="4"/>
        <v/>
      </c>
      <c r="K130" s="18" t="str">
        <f t="shared" si="5"/>
        <v/>
      </c>
      <c r="L130" s="46" t="str">
        <f t="shared" si="6"/>
        <v/>
      </c>
      <c r="M130" s="18" t="str">
        <f t="shared" si="7"/>
        <v/>
      </c>
      <c r="N130" s="9" t="str">
        <f t="shared" si="8"/>
        <v/>
      </c>
      <c r="O130" s="46" t="str">
        <f t="shared" si="9"/>
        <v/>
      </c>
      <c r="P130" s="18" t="str">
        <f t="shared" si="10"/>
        <v/>
      </c>
      <c r="Q130" s="2"/>
      <c r="R130" s="2"/>
      <c r="S130" s="2"/>
      <c r="T130" s="2"/>
      <c r="U130" s="2"/>
      <c r="V130" s="2"/>
      <c r="W130" s="2"/>
      <c r="X130" s="9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>
      <c r="A131" s="2"/>
      <c r="B131" s="2"/>
      <c r="C131" s="2"/>
      <c r="D131" s="2"/>
      <c r="E131" s="2"/>
      <c r="F131" s="2"/>
      <c r="G131" s="2" t="str">
        <f t="shared" si="1"/>
        <v/>
      </c>
      <c r="H131" s="45" t="str">
        <f t="shared" si="2"/>
        <v/>
      </c>
      <c r="I131" s="18" t="str">
        <f t="shared" si="3"/>
        <v/>
      </c>
      <c r="J131" s="18" t="str">
        <f t="shared" si="4"/>
        <v/>
      </c>
      <c r="K131" s="18" t="str">
        <f t="shared" si="5"/>
        <v/>
      </c>
      <c r="L131" s="46" t="str">
        <f t="shared" si="6"/>
        <v/>
      </c>
      <c r="M131" s="18" t="str">
        <f t="shared" si="7"/>
        <v/>
      </c>
      <c r="N131" s="9" t="str">
        <f t="shared" si="8"/>
        <v/>
      </c>
      <c r="O131" s="46" t="str">
        <f t="shared" si="9"/>
        <v/>
      </c>
      <c r="P131" s="18" t="str">
        <f t="shared" si="10"/>
        <v/>
      </c>
      <c r="Q131" s="2"/>
      <c r="R131" s="2"/>
      <c r="S131" s="2"/>
      <c r="T131" s="2"/>
      <c r="U131" s="2"/>
      <c r="V131" s="2"/>
      <c r="W131" s="2"/>
      <c r="X131" s="9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>
      <c r="A132" s="2"/>
      <c r="B132" s="2"/>
      <c r="C132" s="2"/>
      <c r="D132" s="2"/>
      <c r="E132" s="2"/>
      <c r="F132" s="2"/>
      <c r="G132" s="2" t="str">
        <f t="shared" si="1"/>
        <v/>
      </c>
      <c r="H132" s="45" t="str">
        <f t="shared" si="2"/>
        <v/>
      </c>
      <c r="I132" s="18" t="str">
        <f t="shared" si="3"/>
        <v/>
      </c>
      <c r="J132" s="18" t="str">
        <f t="shared" si="4"/>
        <v/>
      </c>
      <c r="K132" s="18" t="str">
        <f t="shared" si="5"/>
        <v/>
      </c>
      <c r="L132" s="46" t="str">
        <f t="shared" si="6"/>
        <v/>
      </c>
      <c r="M132" s="18" t="str">
        <f t="shared" si="7"/>
        <v/>
      </c>
      <c r="N132" s="9" t="str">
        <f t="shared" si="8"/>
        <v/>
      </c>
      <c r="O132" s="46" t="str">
        <f t="shared" si="9"/>
        <v/>
      </c>
      <c r="P132" s="18" t="str">
        <f t="shared" si="10"/>
        <v/>
      </c>
      <c r="Q132" s="2"/>
      <c r="R132" s="2"/>
      <c r="S132" s="2"/>
      <c r="T132" s="2"/>
      <c r="U132" s="2"/>
      <c r="V132" s="2"/>
      <c r="W132" s="2"/>
      <c r="X132" s="9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>
      <c r="A133" s="2"/>
      <c r="B133" s="2"/>
      <c r="C133" s="2"/>
      <c r="D133" s="2"/>
      <c r="E133" s="2"/>
      <c r="F133" s="2"/>
      <c r="G133" s="2" t="str">
        <f t="shared" si="1"/>
        <v/>
      </c>
      <c r="H133" s="45" t="str">
        <f t="shared" si="2"/>
        <v/>
      </c>
      <c r="I133" s="18" t="str">
        <f t="shared" si="3"/>
        <v/>
      </c>
      <c r="J133" s="18" t="str">
        <f t="shared" si="4"/>
        <v/>
      </c>
      <c r="K133" s="18" t="str">
        <f t="shared" si="5"/>
        <v/>
      </c>
      <c r="L133" s="46" t="str">
        <f t="shared" si="6"/>
        <v/>
      </c>
      <c r="M133" s="18" t="str">
        <f t="shared" si="7"/>
        <v/>
      </c>
      <c r="N133" s="9" t="str">
        <f t="shared" si="8"/>
        <v/>
      </c>
      <c r="O133" s="46" t="str">
        <f t="shared" si="9"/>
        <v/>
      </c>
      <c r="P133" s="18" t="str">
        <f t="shared" si="10"/>
        <v/>
      </c>
      <c r="Q133" s="2"/>
      <c r="R133" s="2"/>
      <c r="S133" s="2"/>
      <c r="T133" s="2"/>
      <c r="U133" s="2"/>
      <c r="V133" s="2"/>
      <c r="W133" s="2"/>
      <c r="X133" s="9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>
      <c r="A134" s="2"/>
      <c r="B134" s="2"/>
      <c r="C134" s="2"/>
      <c r="D134" s="2"/>
      <c r="E134" s="2"/>
      <c r="F134" s="2"/>
      <c r="G134" s="2" t="str">
        <f t="shared" si="1"/>
        <v/>
      </c>
      <c r="H134" s="45" t="str">
        <f t="shared" si="2"/>
        <v/>
      </c>
      <c r="I134" s="18" t="str">
        <f t="shared" si="3"/>
        <v/>
      </c>
      <c r="J134" s="18" t="str">
        <f t="shared" si="4"/>
        <v/>
      </c>
      <c r="K134" s="18" t="str">
        <f t="shared" si="5"/>
        <v/>
      </c>
      <c r="L134" s="46" t="str">
        <f t="shared" si="6"/>
        <v/>
      </c>
      <c r="M134" s="18" t="str">
        <f t="shared" si="7"/>
        <v/>
      </c>
      <c r="N134" s="9" t="str">
        <f t="shared" si="8"/>
        <v/>
      </c>
      <c r="O134" s="46" t="str">
        <f t="shared" si="9"/>
        <v/>
      </c>
      <c r="P134" s="18" t="str">
        <f t="shared" si="10"/>
        <v/>
      </c>
      <c r="Q134" s="2"/>
      <c r="R134" s="2"/>
      <c r="S134" s="2"/>
      <c r="T134" s="2"/>
      <c r="U134" s="2"/>
      <c r="V134" s="2"/>
      <c r="W134" s="2"/>
      <c r="X134" s="9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>
      <c r="A135" s="2"/>
      <c r="B135" s="2"/>
      <c r="C135" s="2"/>
      <c r="D135" s="2"/>
      <c r="E135" s="2"/>
      <c r="F135" s="2"/>
      <c r="G135" s="2" t="str">
        <f t="shared" si="1"/>
        <v/>
      </c>
      <c r="H135" s="45" t="str">
        <f t="shared" si="2"/>
        <v/>
      </c>
      <c r="I135" s="18" t="str">
        <f t="shared" si="3"/>
        <v/>
      </c>
      <c r="J135" s="18" t="str">
        <f t="shared" si="4"/>
        <v/>
      </c>
      <c r="K135" s="18" t="str">
        <f t="shared" si="5"/>
        <v/>
      </c>
      <c r="L135" s="46" t="str">
        <f t="shared" si="6"/>
        <v/>
      </c>
      <c r="M135" s="18" t="str">
        <f t="shared" si="7"/>
        <v/>
      </c>
      <c r="N135" s="9" t="str">
        <f t="shared" si="8"/>
        <v/>
      </c>
      <c r="O135" s="46" t="str">
        <f t="shared" si="9"/>
        <v/>
      </c>
      <c r="P135" s="18" t="str">
        <f t="shared" si="10"/>
        <v/>
      </c>
      <c r="Q135" s="2"/>
      <c r="R135" s="2"/>
      <c r="S135" s="2"/>
      <c r="T135" s="2"/>
      <c r="U135" s="2"/>
      <c r="V135" s="2"/>
      <c r="W135" s="2"/>
      <c r="X135" s="9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>
      <c r="A136" s="2"/>
      <c r="B136" s="2"/>
      <c r="C136" s="2"/>
      <c r="D136" s="2"/>
      <c r="E136" s="2"/>
      <c r="F136" s="2"/>
      <c r="G136" s="2" t="str">
        <f t="shared" si="1"/>
        <v/>
      </c>
      <c r="H136" s="45" t="str">
        <f t="shared" si="2"/>
        <v/>
      </c>
      <c r="I136" s="18" t="str">
        <f t="shared" si="3"/>
        <v/>
      </c>
      <c r="J136" s="18" t="str">
        <f t="shared" si="4"/>
        <v/>
      </c>
      <c r="K136" s="18" t="str">
        <f t="shared" si="5"/>
        <v/>
      </c>
      <c r="L136" s="46" t="str">
        <f t="shared" si="6"/>
        <v/>
      </c>
      <c r="M136" s="18" t="str">
        <f t="shared" si="7"/>
        <v/>
      </c>
      <c r="N136" s="9" t="str">
        <f t="shared" si="8"/>
        <v/>
      </c>
      <c r="O136" s="46" t="str">
        <f t="shared" si="9"/>
        <v/>
      </c>
      <c r="P136" s="18" t="str">
        <f t="shared" si="10"/>
        <v/>
      </c>
      <c r="Q136" s="2"/>
      <c r="R136" s="2"/>
      <c r="S136" s="2"/>
      <c r="T136" s="2"/>
      <c r="U136" s="2"/>
      <c r="V136" s="2"/>
      <c r="W136" s="2"/>
      <c r="X136" s="9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>
      <c r="A137" s="2"/>
      <c r="B137" s="2"/>
      <c r="C137" s="2"/>
      <c r="D137" s="2"/>
      <c r="E137" s="2"/>
      <c r="F137" s="2"/>
      <c r="G137" s="2" t="str">
        <f t="shared" si="1"/>
        <v/>
      </c>
      <c r="H137" s="45" t="str">
        <f t="shared" si="2"/>
        <v/>
      </c>
      <c r="I137" s="18" t="str">
        <f t="shared" si="3"/>
        <v/>
      </c>
      <c r="J137" s="18" t="str">
        <f t="shared" si="4"/>
        <v/>
      </c>
      <c r="K137" s="18" t="str">
        <f t="shared" si="5"/>
        <v/>
      </c>
      <c r="L137" s="46" t="str">
        <f t="shared" si="6"/>
        <v/>
      </c>
      <c r="M137" s="18" t="str">
        <f t="shared" si="7"/>
        <v/>
      </c>
      <c r="N137" s="9" t="str">
        <f t="shared" si="8"/>
        <v/>
      </c>
      <c r="O137" s="46" t="str">
        <f t="shared" si="9"/>
        <v/>
      </c>
      <c r="P137" s="18" t="str">
        <f t="shared" si="10"/>
        <v/>
      </c>
      <c r="Q137" s="2"/>
      <c r="R137" s="2"/>
      <c r="S137" s="2"/>
      <c r="T137" s="2"/>
      <c r="U137" s="2"/>
      <c r="V137" s="2"/>
      <c r="W137" s="2"/>
      <c r="X137" s="9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>
      <c r="A138" s="2"/>
      <c r="B138" s="2"/>
      <c r="C138" s="2"/>
      <c r="D138" s="2"/>
      <c r="E138" s="2"/>
      <c r="F138" s="2"/>
      <c r="G138" s="2" t="str">
        <f t="shared" si="1"/>
        <v/>
      </c>
      <c r="H138" s="45" t="str">
        <f t="shared" si="2"/>
        <v/>
      </c>
      <c r="I138" s="18" t="str">
        <f t="shared" si="3"/>
        <v/>
      </c>
      <c r="J138" s="18" t="str">
        <f t="shared" si="4"/>
        <v/>
      </c>
      <c r="K138" s="18" t="str">
        <f t="shared" si="5"/>
        <v/>
      </c>
      <c r="L138" s="46" t="str">
        <f t="shared" si="6"/>
        <v/>
      </c>
      <c r="M138" s="18" t="str">
        <f t="shared" si="7"/>
        <v/>
      </c>
      <c r="N138" s="9" t="str">
        <f t="shared" si="8"/>
        <v/>
      </c>
      <c r="O138" s="46" t="str">
        <f t="shared" si="9"/>
        <v/>
      </c>
      <c r="P138" s="18" t="str">
        <f t="shared" si="10"/>
        <v/>
      </c>
      <c r="Q138" s="2"/>
      <c r="R138" s="2"/>
      <c r="S138" s="2"/>
      <c r="T138" s="2"/>
      <c r="U138" s="2"/>
      <c r="V138" s="2"/>
      <c r="W138" s="2"/>
      <c r="X138" s="9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>
      <c r="A139" s="2"/>
      <c r="B139" s="2"/>
      <c r="C139" s="2"/>
      <c r="D139" s="2"/>
      <c r="E139" s="2"/>
      <c r="F139" s="2"/>
      <c r="G139" s="2" t="str">
        <f t="shared" si="1"/>
        <v/>
      </c>
      <c r="H139" s="45" t="str">
        <f t="shared" si="2"/>
        <v/>
      </c>
      <c r="I139" s="18" t="str">
        <f t="shared" si="3"/>
        <v/>
      </c>
      <c r="J139" s="18" t="str">
        <f t="shared" si="4"/>
        <v/>
      </c>
      <c r="K139" s="18" t="str">
        <f t="shared" si="5"/>
        <v/>
      </c>
      <c r="L139" s="46" t="str">
        <f t="shared" si="6"/>
        <v/>
      </c>
      <c r="M139" s="18" t="str">
        <f t="shared" si="7"/>
        <v/>
      </c>
      <c r="N139" s="9" t="str">
        <f t="shared" si="8"/>
        <v/>
      </c>
      <c r="O139" s="46" t="str">
        <f t="shared" si="9"/>
        <v/>
      </c>
      <c r="P139" s="18" t="str">
        <f t="shared" si="10"/>
        <v/>
      </c>
      <c r="Q139" s="2"/>
      <c r="R139" s="2"/>
      <c r="S139" s="2"/>
      <c r="T139" s="2"/>
      <c r="U139" s="2"/>
      <c r="V139" s="2"/>
      <c r="W139" s="2"/>
      <c r="X139" s="9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>
      <c r="A140" s="2"/>
      <c r="B140" s="2"/>
      <c r="C140" s="2"/>
      <c r="D140" s="2"/>
      <c r="E140" s="2"/>
      <c r="F140" s="2"/>
      <c r="G140" s="2" t="str">
        <f t="shared" si="1"/>
        <v/>
      </c>
      <c r="H140" s="45" t="str">
        <f t="shared" si="2"/>
        <v/>
      </c>
      <c r="I140" s="18" t="str">
        <f t="shared" si="3"/>
        <v/>
      </c>
      <c r="J140" s="18" t="str">
        <f t="shared" si="4"/>
        <v/>
      </c>
      <c r="K140" s="18" t="str">
        <f t="shared" si="5"/>
        <v/>
      </c>
      <c r="L140" s="46" t="str">
        <f t="shared" si="6"/>
        <v/>
      </c>
      <c r="M140" s="18" t="str">
        <f t="shared" si="7"/>
        <v/>
      </c>
      <c r="N140" s="9" t="str">
        <f t="shared" si="8"/>
        <v/>
      </c>
      <c r="O140" s="46" t="str">
        <f t="shared" si="9"/>
        <v/>
      </c>
      <c r="P140" s="18" t="str">
        <f t="shared" si="10"/>
        <v/>
      </c>
      <c r="Q140" s="2"/>
      <c r="R140" s="2"/>
      <c r="S140" s="2"/>
      <c r="T140" s="2"/>
      <c r="U140" s="2"/>
      <c r="V140" s="2"/>
      <c r="W140" s="2"/>
      <c r="X140" s="9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>
      <c r="A141" s="2"/>
      <c r="B141" s="2"/>
      <c r="C141" s="2"/>
      <c r="D141" s="2"/>
      <c r="E141" s="2"/>
      <c r="F141" s="2"/>
      <c r="G141" s="2" t="str">
        <f t="shared" si="1"/>
        <v/>
      </c>
      <c r="H141" s="45" t="str">
        <f t="shared" si="2"/>
        <v/>
      </c>
      <c r="I141" s="18" t="str">
        <f t="shared" si="3"/>
        <v/>
      </c>
      <c r="J141" s="18" t="str">
        <f t="shared" si="4"/>
        <v/>
      </c>
      <c r="K141" s="18" t="str">
        <f t="shared" si="5"/>
        <v/>
      </c>
      <c r="L141" s="46" t="str">
        <f t="shared" si="6"/>
        <v/>
      </c>
      <c r="M141" s="18" t="str">
        <f t="shared" si="7"/>
        <v/>
      </c>
      <c r="N141" s="9" t="str">
        <f t="shared" si="8"/>
        <v/>
      </c>
      <c r="O141" s="46" t="str">
        <f t="shared" si="9"/>
        <v/>
      </c>
      <c r="P141" s="18" t="str">
        <f t="shared" si="10"/>
        <v/>
      </c>
      <c r="Q141" s="2"/>
      <c r="R141" s="2"/>
      <c r="S141" s="2"/>
      <c r="T141" s="2"/>
      <c r="U141" s="2"/>
      <c r="V141" s="2"/>
      <c r="W141" s="2"/>
      <c r="X141" s="9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>
      <c r="A142" s="2"/>
      <c r="B142" s="2"/>
      <c r="C142" s="2"/>
      <c r="D142" s="2"/>
      <c r="E142" s="2"/>
      <c r="F142" s="2"/>
      <c r="G142" s="2" t="str">
        <f t="shared" si="1"/>
        <v/>
      </c>
      <c r="H142" s="45" t="str">
        <f t="shared" si="2"/>
        <v/>
      </c>
      <c r="I142" s="18" t="str">
        <f t="shared" si="3"/>
        <v/>
      </c>
      <c r="J142" s="18" t="str">
        <f t="shared" si="4"/>
        <v/>
      </c>
      <c r="K142" s="18" t="str">
        <f t="shared" si="5"/>
        <v/>
      </c>
      <c r="L142" s="46" t="str">
        <f t="shared" si="6"/>
        <v/>
      </c>
      <c r="M142" s="18" t="str">
        <f t="shared" si="7"/>
        <v/>
      </c>
      <c r="N142" s="9" t="str">
        <f t="shared" si="8"/>
        <v/>
      </c>
      <c r="O142" s="46" t="str">
        <f t="shared" si="9"/>
        <v/>
      </c>
      <c r="P142" s="18" t="str">
        <f t="shared" si="10"/>
        <v/>
      </c>
      <c r="Q142" s="2"/>
      <c r="R142" s="2"/>
      <c r="S142" s="2"/>
      <c r="T142" s="2"/>
      <c r="U142" s="2"/>
      <c r="V142" s="2"/>
      <c r="W142" s="2"/>
      <c r="X142" s="9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>
      <c r="A143" s="2"/>
      <c r="B143" s="2"/>
      <c r="C143" s="2"/>
      <c r="D143" s="2"/>
      <c r="E143" s="2"/>
      <c r="F143" s="2"/>
      <c r="G143" s="2" t="str">
        <f t="shared" si="1"/>
        <v/>
      </c>
      <c r="H143" s="45" t="str">
        <f t="shared" si="2"/>
        <v/>
      </c>
      <c r="I143" s="18" t="str">
        <f t="shared" si="3"/>
        <v/>
      </c>
      <c r="J143" s="18" t="str">
        <f t="shared" si="4"/>
        <v/>
      </c>
      <c r="K143" s="18" t="str">
        <f t="shared" si="5"/>
        <v/>
      </c>
      <c r="L143" s="46" t="str">
        <f t="shared" si="6"/>
        <v/>
      </c>
      <c r="M143" s="18" t="str">
        <f t="shared" si="7"/>
        <v/>
      </c>
      <c r="N143" s="9" t="str">
        <f t="shared" si="8"/>
        <v/>
      </c>
      <c r="O143" s="46" t="str">
        <f t="shared" si="9"/>
        <v/>
      </c>
      <c r="P143" s="18" t="str">
        <f t="shared" si="10"/>
        <v/>
      </c>
      <c r="Q143" s="2"/>
      <c r="R143" s="2"/>
      <c r="S143" s="2"/>
      <c r="T143" s="2"/>
      <c r="U143" s="2"/>
      <c r="V143" s="2"/>
      <c r="W143" s="2"/>
      <c r="X143" s="9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>
      <c r="A144" s="2"/>
      <c r="B144" s="2"/>
      <c r="C144" s="2"/>
      <c r="D144" s="2"/>
      <c r="E144" s="2"/>
      <c r="F144" s="2"/>
      <c r="G144" s="2" t="str">
        <f t="shared" si="1"/>
        <v/>
      </c>
      <c r="H144" s="45" t="str">
        <f t="shared" si="2"/>
        <v/>
      </c>
      <c r="I144" s="18" t="str">
        <f t="shared" si="3"/>
        <v/>
      </c>
      <c r="J144" s="18" t="str">
        <f t="shared" si="4"/>
        <v/>
      </c>
      <c r="K144" s="18" t="str">
        <f t="shared" si="5"/>
        <v/>
      </c>
      <c r="L144" s="46" t="str">
        <f t="shared" si="6"/>
        <v/>
      </c>
      <c r="M144" s="18" t="str">
        <f t="shared" si="7"/>
        <v/>
      </c>
      <c r="N144" s="9" t="str">
        <f t="shared" si="8"/>
        <v/>
      </c>
      <c r="O144" s="46" t="str">
        <f t="shared" si="9"/>
        <v/>
      </c>
      <c r="P144" s="18" t="str">
        <f t="shared" si="10"/>
        <v/>
      </c>
      <c r="Q144" s="2"/>
      <c r="R144" s="2"/>
      <c r="S144" s="2"/>
      <c r="T144" s="2"/>
      <c r="U144" s="2"/>
      <c r="V144" s="2"/>
      <c r="W144" s="2"/>
      <c r="X144" s="9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>
      <c r="A145" s="2"/>
      <c r="B145" s="2"/>
      <c r="C145" s="2"/>
      <c r="D145" s="2"/>
      <c r="E145" s="2"/>
      <c r="F145" s="2"/>
      <c r="G145" s="2" t="str">
        <f t="shared" si="1"/>
        <v/>
      </c>
      <c r="H145" s="45" t="str">
        <f t="shared" si="2"/>
        <v/>
      </c>
      <c r="I145" s="18" t="str">
        <f t="shared" si="3"/>
        <v/>
      </c>
      <c r="J145" s="18" t="str">
        <f t="shared" si="4"/>
        <v/>
      </c>
      <c r="K145" s="18" t="str">
        <f t="shared" si="5"/>
        <v/>
      </c>
      <c r="L145" s="46" t="str">
        <f t="shared" si="6"/>
        <v/>
      </c>
      <c r="M145" s="18" t="str">
        <f t="shared" si="7"/>
        <v/>
      </c>
      <c r="N145" s="9" t="str">
        <f t="shared" si="8"/>
        <v/>
      </c>
      <c r="O145" s="46" t="str">
        <f t="shared" si="9"/>
        <v/>
      </c>
      <c r="P145" s="18" t="str">
        <f t="shared" si="10"/>
        <v/>
      </c>
      <c r="Q145" s="2"/>
      <c r="R145" s="2"/>
      <c r="S145" s="2"/>
      <c r="T145" s="2"/>
      <c r="U145" s="2"/>
      <c r="V145" s="2"/>
      <c r="W145" s="2"/>
      <c r="X145" s="9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>
      <c r="A146" s="2"/>
      <c r="B146" s="2"/>
      <c r="C146" s="2"/>
      <c r="D146" s="2"/>
      <c r="E146" s="2"/>
      <c r="F146" s="2"/>
      <c r="G146" s="2" t="str">
        <f t="shared" si="1"/>
        <v/>
      </c>
      <c r="H146" s="45" t="str">
        <f t="shared" si="2"/>
        <v/>
      </c>
      <c r="I146" s="18" t="str">
        <f t="shared" si="3"/>
        <v/>
      </c>
      <c r="J146" s="18" t="str">
        <f t="shared" si="4"/>
        <v/>
      </c>
      <c r="K146" s="18" t="str">
        <f t="shared" si="5"/>
        <v/>
      </c>
      <c r="L146" s="46" t="str">
        <f t="shared" si="6"/>
        <v/>
      </c>
      <c r="M146" s="18" t="str">
        <f t="shared" si="7"/>
        <v/>
      </c>
      <c r="N146" s="9" t="str">
        <f t="shared" si="8"/>
        <v/>
      </c>
      <c r="O146" s="46" t="str">
        <f t="shared" si="9"/>
        <v/>
      </c>
      <c r="P146" s="18" t="str">
        <f t="shared" si="10"/>
        <v/>
      </c>
      <c r="Q146" s="2"/>
      <c r="R146" s="2"/>
      <c r="S146" s="2"/>
      <c r="T146" s="2"/>
      <c r="U146" s="2"/>
      <c r="V146" s="2"/>
      <c r="W146" s="2"/>
      <c r="X146" s="9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>
      <c r="A147" s="2"/>
      <c r="B147" s="2"/>
      <c r="C147" s="2"/>
      <c r="D147" s="2"/>
      <c r="E147" s="2"/>
      <c r="F147" s="2"/>
      <c r="G147" s="2" t="str">
        <f t="shared" si="1"/>
        <v/>
      </c>
      <c r="H147" s="45" t="str">
        <f t="shared" si="2"/>
        <v/>
      </c>
      <c r="I147" s="18" t="str">
        <f t="shared" si="3"/>
        <v/>
      </c>
      <c r="J147" s="18" t="str">
        <f t="shared" si="4"/>
        <v/>
      </c>
      <c r="K147" s="18" t="str">
        <f t="shared" si="5"/>
        <v/>
      </c>
      <c r="L147" s="46" t="str">
        <f t="shared" si="6"/>
        <v/>
      </c>
      <c r="M147" s="18" t="str">
        <f t="shared" si="7"/>
        <v/>
      </c>
      <c r="N147" s="9" t="str">
        <f t="shared" si="8"/>
        <v/>
      </c>
      <c r="O147" s="46" t="str">
        <f t="shared" si="9"/>
        <v/>
      </c>
      <c r="P147" s="18" t="str">
        <f t="shared" si="10"/>
        <v/>
      </c>
      <c r="Q147" s="2"/>
      <c r="R147" s="2"/>
      <c r="S147" s="2"/>
      <c r="T147" s="2"/>
      <c r="U147" s="2"/>
      <c r="V147" s="2"/>
      <c r="W147" s="2"/>
      <c r="X147" s="9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>
      <c r="A148" s="2"/>
      <c r="B148" s="2"/>
      <c r="C148" s="2"/>
      <c r="D148" s="2"/>
      <c r="E148" s="2"/>
      <c r="F148" s="2"/>
      <c r="G148" s="2" t="str">
        <f t="shared" si="1"/>
        <v/>
      </c>
      <c r="H148" s="45" t="str">
        <f t="shared" si="2"/>
        <v/>
      </c>
      <c r="I148" s="18" t="str">
        <f t="shared" si="3"/>
        <v/>
      </c>
      <c r="J148" s="18" t="str">
        <f t="shared" si="4"/>
        <v/>
      </c>
      <c r="K148" s="18" t="str">
        <f t="shared" si="5"/>
        <v/>
      </c>
      <c r="L148" s="46" t="str">
        <f t="shared" si="6"/>
        <v/>
      </c>
      <c r="M148" s="18" t="str">
        <f t="shared" si="7"/>
        <v/>
      </c>
      <c r="N148" s="9" t="str">
        <f t="shared" si="8"/>
        <v/>
      </c>
      <c r="O148" s="46" t="str">
        <f t="shared" si="9"/>
        <v/>
      </c>
      <c r="P148" s="18" t="str">
        <f t="shared" si="10"/>
        <v/>
      </c>
      <c r="Q148" s="2"/>
      <c r="R148" s="2"/>
      <c r="S148" s="2"/>
      <c r="T148" s="2"/>
      <c r="U148" s="2"/>
      <c r="V148" s="2"/>
      <c r="W148" s="2"/>
      <c r="X148" s="9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>
      <c r="A149" s="2"/>
      <c r="B149" s="2"/>
      <c r="C149" s="2"/>
      <c r="D149" s="2"/>
      <c r="E149" s="2"/>
      <c r="F149" s="2"/>
      <c r="G149" s="2" t="str">
        <f t="shared" si="1"/>
        <v/>
      </c>
      <c r="H149" s="45" t="str">
        <f t="shared" si="2"/>
        <v/>
      </c>
      <c r="I149" s="18" t="str">
        <f t="shared" si="3"/>
        <v/>
      </c>
      <c r="J149" s="18" t="str">
        <f t="shared" si="4"/>
        <v/>
      </c>
      <c r="K149" s="18" t="str">
        <f t="shared" si="5"/>
        <v/>
      </c>
      <c r="L149" s="46" t="str">
        <f t="shared" si="6"/>
        <v/>
      </c>
      <c r="M149" s="18" t="str">
        <f t="shared" si="7"/>
        <v/>
      </c>
      <c r="N149" s="9" t="str">
        <f t="shared" si="8"/>
        <v/>
      </c>
      <c r="O149" s="46" t="str">
        <f t="shared" si="9"/>
        <v/>
      </c>
      <c r="P149" s="18" t="str">
        <f t="shared" si="10"/>
        <v/>
      </c>
      <c r="Q149" s="2"/>
      <c r="R149" s="2"/>
      <c r="S149" s="2"/>
      <c r="T149" s="2"/>
      <c r="U149" s="2"/>
      <c r="V149" s="2"/>
      <c r="W149" s="2"/>
      <c r="X149" s="9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>
      <c r="A150" s="2"/>
      <c r="B150" s="2"/>
      <c r="C150" s="2"/>
      <c r="D150" s="2"/>
      <c r="E150" s="2"/>
      <c r="F150" s="2"/>
      <c r="G150" s="2" t="str">
        <f t="shared" si="1"/>
        <v/>
      </c>
      <c r="H150" s="45" t="str">
        <f t="shared" si="2"/>
        <v/>
      </c>
      <c r="I150" s="18" t="str">
        <f t="shared" si="3"/>
        <v/>
      </c>
      <c r="J150" s="18" t="str">
        <f t="shared" si="4"/>
        <v/>
      </c>
      <c r="K150" s="18" t="str">
        <f t="shared" si="5"/>
        <v/>
      </c>
      <c r="L150" s="46" t="str">
        <f t="shared" si="6"/>
        <v/>
      </c>
      <c r="M150" s="18" t="str">
        <f t="shared" si="7"/>
        <v/>
      </c>
      <c r="N150" s="9" t="str">
        <f t="shared" si="8"/>
        <v/>
      </c>
      <c r="O150" s="46" t="str">
        <f t="shared" si="9"/>
        <v/>
      </c>
      <c r="P150" s="18" t="str">
        <f t="shared" si="10"/>
        <v/>
      </c>
      <c r="Q150" s="2"/>
      <c r="R150" s="2"/>
      <c r="S150" s="2"/>
      <c r="T150" s="2"/>
      <c r="U150" s="2"/>
      <c r="V150" s="2"/>
      <c r="W150" s="2"/>
      <c r="X150" s="9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>
      <c r="A151" s="2"/>
      <c r="B151" s="2"/>
      <c r="C151" s="2"/>
      <c r="D151" s="2"/>
      <c r="E151" s="2"/>
      <c r="F151" s="2"/>
      <c r="G151" s="2" t="str">
        <f t="shared" si="1"/>
        <v/>
      </c>
      <c r="H151" s="45" t="str">
        <f t="shared" si="2"/>
        <v/>
      </c>
      <c r="I151" s="18" t="str">
        <f t="shared" si="3"/>
        <v/>
      </c>
      <c r="J151" s="18" t="str">
        <f t="shared" si="4"/>
        <v/>
      </c>
      <c r="K151" s="18" t="str">
        <f t="shared" si="5"/>
        <v/>
      </c>
      <c r="L151" s="46" t="str">
        <f t="shared" si="6"/>
        <v/>
      </c>
      <c r="M151" s="18" t="str">
        <f t="shared" si="7"/>
        <v/>
      </c>
      <c r="N151" s="9" t="str">
        <f t="shared" si="8"/>
        <v/>
      </c>
      <c r="O151" s="46" t="str">
        <f t="shared" si="9"/>
        <v/>
      </c>
      <c r="P151" s="18" t="str">
        <f t="shared" si="10"/>
        <v/>
      </c>
      <c r="Q151" s="2"/>
      <c r="R151" s="2"/>
      <c r="S151" s="2"/>
      <c r="T151" s="2"/>
      <c r="U151" s="2"/>
      <c r="V151" s="2"/>
      <c r="W151" s="2"/>
      <c r="X151" s="9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>
      <c r="A152" s="2"/>
      <c r="B152" s="2"/>
      <c r="C152" s="2"/>
      <c r="D152" s="2"/>
      <c r="E152" s="2"/>
      <c r="F152" s="2"/>
      <c r="G152" s="2" t="str">
        <f t="shared" si="1"/>
        <v/>
      </c>
      <c r="H152" s="45" t="str">
        <f t="shared" si="2"/>
        <v/>
      </c>
      <c r="I152" s="18" t="str">
        <f t="shared" si="3"/>
        <v/>
      </c>
      <c r="J152" s="18" t="str">
        <f t="shared" si="4"/>
        <v/>
      </c>
      <c r="K152" s="18" t="str">
        <f t="shared" si="5"/>
        <v/>
      </c>
      <c r="L152" s="46" t="str">
        <f t="shared" si="6"/>
        <v/>
      </c>
      <c r="M152" s="18" t="str">
        <f t="shared" si="7"/>
        <v/>
      </c>
      <c r="N152" s="9" t="str">
        <f t="shared" si="8"/>
        <v/>
      </c>
      <c r="O152" s="46" t="str">
        <f t="shared" si="9"/>
        <v/>
      </c>
      <c r="P152" s="18" t="str">
        <f t="shared" si="10"/>
        <v/>
      </c>
      <c r="Q152" s="2"/>
      <c r="R152" s="2"/>
      <c r="S152" s="2"/>
      <c r="T152" s="2"/>
      <c r="U152" s="2"/>
      <c r="V152" s="2"/>
      <c r="W152" s="2"/>
      <c r="X152" s="9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>
      <c r="A153" s="2"/>
      <c r="B153" s="2"/>
      <c r="C153" s="2"/>
      <c r="D153" s="2"/>
      <c r="E153" s="2"/>
      <c r="F153" s="2"/>
      <c r="G153" s="2" t="str">
        <f t="shared" si="1"/>
        <v/>
      </c>
      <c r="H153" s="45" t="str">
        <f t="shared" si="2"/>
        <v/>
      </c>
      <c r="I153" s="18" t="str">
        <f t="shared" si="3"/>
        <v/>
      </c>
      <c r="J153" s="18" t="str">
        <f t="shared" si="4"/>
        <v/>
      </c>
      <c r="K153" s="18" t="str">
        <f t="shared" si="5"/>
        <v/>
      </c>
      <c r="L153" s="46" t="str">
        <f t="shared" si="6"/>
        <v/>
      </c>
      <c r="M153" s="18" t="str">
        <f t="shared" si="7"/>
        <v/>
      </c>
      <c r="N153" s="9" t="str">
        <f t="shared" si="8"/>
        <v/>
      </c>
      <c r="O153" s="46" t="str">
        <f t="shared" si="9"/>
        <v/>
      </c>
      <c r="P153" s="18" t="str">
        <f t="shared" si="10"/>
        <v/>
      </c>
      <c r="Q153" s="2"/>
      <c r="R153" s="2"/>
      <c r="S153" s="2"/>
      <c r="T153" s="2"/>
      <c r="U153" s="2"/>
      <c r="V153" s="2"/>
      <c r="W153" s="2"/>
      <c r="X153" s="9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>
      <c r="A154" s="2"/>
      <c r="B154" s="2"/>
      <c r="C154" s="2"/>
      <c r="D154" s="2"/>
      <c r="E154" s="2"/>
      <c r="F154" s="2"/>
      <c r="G154" s="2" t="str">
        <f t="shared" si="1"/>
        <v/>
      </c>
      <c r="H154" s="45" t="str">
        <f t="shared" si="2"/>
        <v/>
      </c>
      <c r="I154" s="18" t="str">
        <f t="shared" si="3"/>
        <v/>
      </c>
      <c r="J154" s="18" t="str">
        <f t="shared" si="4"/>
        <v/>
      </c>
      <c r="K154" s="18" t="str">
        <f t="shared" si="5"/>
        <v/>
      </c>
      <c r="L154" s="46" t="str">
        <f t="shared" si="6"/>
        <v/>
      </c>
      <c r="M154" s="18" t="str">
        <f t="shared" si="7"/>
        <v/>
      </c>
      <c r="N154" s="9" t="str">
        <f t="shared" si="8"/>
        <v/>
      </c>
      <c r="O154" s="46" t="str">
        <f t="shared" si="9"/>
        <v/>
      </c>
      <c r="P154" s="18" t="str">
        <f t="shared" si="10"/>
        <v/>
      </c>
      <c r="Q154" s="2"/>
      <c r="R154" s="2"/>
      <c r="S154" s="2"/>
      <c r="T154" s="2"/>
      <c r="U154" s="2"/>
      <c r="V154" s="2"/>
      <c r="W154" s="2"/>
      <c r="X154" s="9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>
      <c r="A155" s="2"/>
      <c r="B155" s="2"/>
      <c r="C155" s="2"/>
      <c r="D155" s="2"/>
      <c r="E155" s="2"/>
      <c r="F155" s="2"/>
      <c r="G155" s="2" t="str">
        <f t="shared" si="1"/>
        <v/>
      </c>
      <c r="H155" s="45" t="str">
        <f t="shared" si="2"/>
        <v/>
      </c>
      <c r="I155" s="18" t="str">
        <f t="shared" si="3"/>
        <v/>
      </c>
      <c r="J155" s="18" t="str">
        <f t="shared" si="4"/>
        <v/>
      </c>
      <c r="K155" s="18" t="str">
        <f t="shared" si="5"/>
        <v/>
      </c>
      <c r="L155" s="46" t="str">
        <f t="shared" si="6"/>
        <v/>
      </c>
      <c r="M155" s="18" t="str">
        <f t="shared" si="7"/>
        <v/>
      </c>
      <c r="N155" s="9" t="str">
        <f t="shared" si="8"/>
        <v/>
      </c>
      <c r="O155" s="46" t="str">
        <f t="shared" si="9"/>
        <v/>
      </c>
      <c r="P155" s="18" t="str">
        <f t="shared" si="10"/>
        <v/>
      </c>
      <c r="Q155" s="2"/>
      <c r="R155" s="2"/>
      <c r="S155" s="2"/>
      <c r="T155" s="2"/>
      <c r="U155" s="2"/>
      <c r="V155" s="2"/>
      <c r="W155" s="2"/>
      <c r="X155" s="9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>
      <c r="A156" s="2"/>
      <c r="B156" s="2"/>
      <c r="C156" s="2"/>
      <c r="D156" s="2"/>
      <c r="E156" s="2"/>
      <c r="F156" s="2"/>
      <c r="G156" s="2" t="str">
        <f t="shared" si="1"/>
        <v/>
      </c>
      <c r="H156" s="45" t="str">
        <f t="shared" si="2"/>
        <v/>
      </c>
      <c r="I156" s="18" t="str">
        <f t="shared" si="3"/>
        <v/>
      </c>
      <c r="J156" s="18" t="str">
        <f t="shared" si="4"/>
        <v/>
      </c>
      <c r="K156" s="18" t="str">
        <f t="shared" si="5"/>
        <v/>
      </c>
      <c r="L156" s="46" t="str">
        <f t="shared" si="6"/>
        <v/>
      </c>
      <c r="M156" s="18" t="str">
        <f t="shared" si="7"/>
        <v/>
      </c>
      <c r="N156" s="9" t="str">
        <f t="shared" si="8"/>
        <v/>
      </c>
      <c r="O156" s="46" t="str">
        <f t="shared" si="9"/>
        <v/>
      </c>
      <c r="P156" s="18" t="str">
        <f t="shared" si="10"/>
        <v/>
      </c>
      <c r="Q156" s="2"/>
      <c r="R156" s="2"/>
      <c r="S156" s="2"/>
      <c r="T156" s="2"/>
      <c r="U156" s="2"/>
      <c r="V156" s="2"/>
      <c r="W156" s="2"/>
      <c r="X156" s="9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>
      <c r="A157" s="2"/>
      <c r="B157" s="2"/>
      <c r="C157" s="2"/>
      <c r="D157" s="2"/>
      <c r="E157" s="2"/>
      <c r="F157" s="2"/>
      <c r="G157" s="2" t="str">
        <f t="shared" si="1"/>
        <v/>
      </c>
      <c r="H157" s="45" t="str">
        <f t="shared" si="2"/>
        <v/>
      </c>
      <c r="I157" s="18" t="str">
        <f t="shared" si="3"/>
        <v/>
      </c>
      <c r="J157" s="18" t="str">
        <f t="shared" si="4"/>
        <v/>
      </c>
      <c r="K157" s="18" t="str">
        <f t="shared" si="5"/>
        <v/>
      </c>
      <c r="L157" s="46" t="str">
        <f t="shared" si="6"/>
        <v/>
      </c>
      <c r="M157" s="18" t="str">
        <f t="shared" si="7"/>
        <v/>
      </c>
      <c r="N157" s="9" t="str">
        <f t="shared" si="8"/>
        <v/>
      </c>
      <c r="O157" s="46" t="str">
        <f t="shared" si="9"/>
        <v/>
      </c>
      <c r="P157" s="18" t="str">
        <f t="shared" si="10"/>
        <v/>
      </c>
      <c r="Q157" s="2"/>
      <c r="R157" s="2"/>
      <c r="S157" s="2"/>
      <c r="T157" s="2"/>
      <c r="U157" s="2"/>
      <c r="V157" s="2"/>
      <c r="W157" s="2"/>
      <c r="X157" s="9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>
      <c r="A158" s="2"/>
      <c r="B158" s="2"/>
      <c r="C158" s="2"/>
      <c r="D158" s="2"/>
      <c r="E158" s="2"/>
      <c r="F158" s="2"/>
      <c r="G158" s="2" t="str">
        <f t="shared" si="1"/>
        <v/>
      </c>
      <c r="H158" s="45" t="str">
        <f t="shared" si="2"/>
        <v/>
      </c>
      <c r="I158" s="18" t="str">
        <f t="shared" si="3"/>
        <v/>
      </c>
      <c r="J158" s="18" t="str">
        <f t="shared" si="4"/>
        <v/>
      </c>
      <c r="K158" s="18" t="str">
        <f t="shared" si="5"/>
        <v/>
      </c>
      <c r="L158" s="46" t="str">
        <f t="shared" si="6"/>
        <v/>
      </c>
      <c r="M158" s="18" t="str">
        <f t="shared" si="7"/>
        <v/>
      </c>
      <c r="N158" s="9" t="str">
        <f t="shared" si="8"/>
        <v/>
      </c>
      <c r="O158" s="46" t="str">
        <f t="shared" si="9"/>
        <v/>
      </c>
      <c r="P158" s="18" t="str">
        <f t="shared" si="10"/>
        <v/>
      </c>
      <c r="Q158" s="2"/>
      <c r="R158" s="2"/>
      <c r="S158" s="2"/>
      <c r="T158" s="2"/>
      <c r="U158" s="2"/>
      <c r="V158" s="2"/>
      <c r="W158" s="2"/>
      <c r="X158" s="9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>
      <c r="A159" s="2"/>
      <c r="B159" s="2"/>
      <c r="C159" s="2"/>
      <c r="D159" s="2"/>
      <c r="E159" s="2"/>
      <c r="F159" s="2"/>
      <c r="G159" s="2" t="str">
        <f t="shared" si="1"/>
        <v/>
      </c>
      <c r="H159" s="45" t="str">
        <f t="shared" si="2"/>
        <v/>
      </c>
      <c r="I159" s="18" t="str">
        <f t="shared" si="3"/>
        <v/>
      </c>
      <c r="J159" s="18" t="str">
        <f t="shared" si="4"/>
        <v/>
      </c>
      <c r="K159" s="18" t="str">
        <f t="shared" si="5"/>
        <v/>
      </c>
      <c r="L159" s="46" t="str">
        <f t="shared" si="6"/>
        <v/>
      </c>
      <c r="M159" s="18" t="str">
        <f t="shared" si="7"/>
        <v/>
      </c>
      <c r="N159" s="9" t="str">
        <f t="shared" si="8"/>
        <v/>
      </c>
      <c r="O159" s="46" t="str">
        <f t="shared" si="9"/>
        <v/>
      </c>
      <c r="P159" s="18" t="str">
        <f t="shared" si="10"/>
        <v/>
      </c>
      <c r="Q159" s="2"/>
      <c r="R159" s="2"/>
      <c r="S159" s="2"/>
      <c r="T159" s="2"/>
      <c r="U159" s="2"/>
      <c r="V159" s="2"/>
      <c r="W159" s="2"/>
      <c r="X159" s="9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>
      <c r="A160" s="2"/>
      <c r="B160" s="2"/>
      <c r="C160" s="2"/>
      <c r="D160" s="2"/>
      <c r="E160" s="2"/>
      <c r="F160" s="2"/>
      <c r="G160" s="2" t="str">
        <f t="shared" si="1"/>
        <v/>
      </c>
      <c r="H160" s="45" t="str">
        <f t="shared" si="2"/>
        <v/>
      </c>
      <c r="I160" s="18" t="str">
        <f t="shared" si="3"/>
        <v/>
      </c>
      <c r="J160" s="18" t="str">
        <f t="shared" si="4"/>
        <v/>
      </c>
      <c r="K160" s="18" t="str">
        <f t="shared" si="5"/>
        <v/>
      </c>
      <c r="L160" s="46" t="str">
        <f t="shared" si="6"/>
        <v/>
      </c>
      <c r="M160" s="18" t="str">
        <f t="shared" si="7"/>
        <v/>
      </c>
      <c r="N160" s="9" t="str">
        <f t="shared" si="8"/>
        <v/>
      </c>
      <c r="O160" s="46" t="str">
        <f t="shared" si="9"/>
        <v/>
      </c>
      <c r="P160" s="18" t="str">
        <f t="shared" si="10"/>
        <v/>
      </c>
      <c r="Q160" s="2"/>
      <c r="R160" s="2"/>
      <c r="S160" s="2"/>
      <c r="T160" s="2"/>
      <c r="U160" s="2"/>
      <c r="V160" s="2"/>
      <c r="W160" s="2"/>
      <c r="X160" s="9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>
      <c r="A161" s="2"/>
      <c r="B161" s="2"/>
      <c r="C161" s="2"/>
      <c r="D161" s="2"/>
      <c r="E161" s="2"/>
      <c r="F161" s="2"/>
      <c r="G161" s="2" t="str">
        <f t="shared" si="1"/>
        <v/>
      </c>
      <c r="H161" s="45" t="str">
        <f t="shared" si="2"/>
        <v/>
      </c>
      <c r="I161" s="18" t="str">
        <f t="shared" si="3"/>
        <v/>
      </c>
      <c r="J161" s="18" t="str">
        <f t="shared" si="4"/>
        <v/>
      </c>
      <c r="K161" s="18" t="str">
        <f t="shared" si="5"/>
        <v/>
      </c>
      <c r="L161" s="46" t="str">
        <f t="shared" si="6"/>
        <v/>
      </c>
      <c r="M161" s="18" t="str">
        <f t="shared" si="7"/>
        <v/>
      </c>
      <c r="N161" s="9" t="str">
        <f t="shared" si="8"/>
        <v/>
      </c>
      <c r="O161" s="46" t="str">
        <f t="shared" si="9"/>
        <v/>
      </c>
      <c r="P161" s="18" t="str">
        <f t="shared" si="10"/>
        <v/>
      </c>
      <c r="Q161" s="2"/>
      <c r="R161" s="2"/>
      <c r="S161" s="2"/>
      <c r="T161" s="2"/>
      <c r="U161" s="2"/>
      <c r="V161" s="2"/>
      <c r="W161" s="2"/>
      <c r="X161" s="9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>
      <c r="A162" s="2"/>
      <c r="B162" s="2"/>
      <c r="C162" s="2"/>
      <c r="D162" s="2"/>
      <c r="E162" s="2"/>
      <c r="F162" s="2"/>
      <c r="G162" s="2" t="str">
        <f t="shared" si="1"/>
        <v/>
      </c>
      <c r="H162" s="45" t="str">
        <f t="shared" si="2"/>
        <v/>
      </c>
      <c r="I162" s="18" t="str">
        <f t="shared" si="3"/>
        <v/>
      </c>
      <c r="J162" s="18" t="str">
        <f t="shared" si="4"/>
        <v/>
      </c>
      <c r="K162" s="18" t="str">
        <f t="shared" si="5"/>
        <v/>
      </c>
      <c r="L162" s="46" t="str">
        <f t="shared" si="6"/>
        <v/>
      </c>
      <c r="M162" s="18" t="str">
        <f t="shared" si="7"/>
        <v/>
      </c>
      <c r="N162" s="9" t="str">
        <f t="shared" si="8"/>
        <v/>
      </c>
      <c r="O162" s="46" t="str">
        <f t="shared" si="9"/>
        <v/>
      </c>
      <c r="P162" s="18" t="str">
        <f t="shared" si="10"/>
        <v/>
      </c>
      <c r="Q162" s="2"/>
      <c r="R162" s="2"/>
      <c r="S162" s="2"/>
      <c r="T162" s="2"/>
      <c r="U162" s="2"/>
      <c r="V162" s="2"/>
      <c r="W162" s="2"/>
      <c r="X162" s="9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>
      <c r="A163" s="2"/>
      <c r="B163" s="2"/>
      <c r="C163" s="2"/>
      <c r="D163" s="2"/>
      <c r="E163" s="2"/>
      <c r="F163" s="2"/>
      <c r="G163" s="2" t="str">
        <f t="shared" si="1"/>
        <v/>
      </c>
      <c r="H163" s="45" t="str">
        <f t="shared" si="2"/>
        <v/>
      </c>
      <c r="I163" s="18" t="str">
        <f t="shared" si="3"/>
        <v/>
      </c>
      <c r="J163" s="18" t="str">
        <f t="shared" si="4"/>
        <v/>
      </c>
      <c r="K163" s="18" t="str">
        <f t="shared" si="5"/>
        <v/>
      </c>
      <c r="L163" s="46" t="str">
        <f t="shared" si="6"/>
        <v/>
      </c>
      <c r="M163" s="18" t="str">
        <f t="shared" si="7"/>
        <v/>
      </c>
      <c r="N163" s="9" t="str">
        <f t="shared" si="8"/>
        <v/>
      </c>
      <c r="O163" s="46" t="str">
        <f t="shared" si="9"/>
        <v/>
      </c>
      <c r="P163" s="18" t="str">
        <f t="shared" si="10"/>
        <v/>
      </c>
      <c r="Q163" s="2"/>
      <c r="R163" s="2"/>
      <c r="S163" s="2"/>
      <c r="T163" s="2"/>
      <c r="U163" s="2"/>
      <c r="V163" s="2"/>
      <c r="W163" s="2"/>
      <c r="X163" s="9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>
      <c r="A164" s="2"/>
      <c r="B164" s="2"/>
      <c r="C164" s="2"/>
      <c r="D164" s="2"/>
      <c r="E164" s="2"/>
      <c r="F164" s="2"/>
      <c r="G164" s="2" t="str">
        <f t="shared" si="1"/>
        <v/>
      </c>
      <c r="H164" s="45" t="str">
        <f t="shared" si="2"/>
        <v/>
      </c>
      <c r="I164" s="18" t="str">
        <f t="shared" si="3"/>
        <v/>
      </c>
      <c r="J164" s="18" t="str">
        <f t="shared" si="4"/>
        <v/>
      </c>
      <c r="K164" s="18" t="str">
        <f t="shared" si="5"/>
        <v/>
      </c>
      <c r="L164" s="46" t="str">
        <f t="shared" si="6"/>
        <v/>
      </c>
      <c r="M164" s="18" t="str">
        <f t="shared" si="7"/>
        <v/>
      </c>
      <c r="N164" s="9" t="str">
        <f t="shared" si="8"/>
        <v/>
      </c>
      <c r="O164" s="46" t="str">
        <f t="shared" si="9"/>
        <v/>
      </c>
      <c r="P164" s="18" t="str">
        <f t="shared" si="10"/>
        <v/>
      </c>
      <c r="Q164" s="2"/>
      <c r="R164" s="2"/>
      <c r="S164" s="2"/>
      <c r="T164" s="2"/>
      <c r="U164" s="2"/>
      <c r="V164" s="2"/>
      <c r="W164" s="2"/>
      <c r="X164" s="9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>
      <c r="A165" s="2"/>
      <c r="B165" s="2"/>
      <c r="C165" s="2"/>
      <c r="D165" s="2"/>
      <c r="E165" s="2"/>
      <c r="F165" s="2"/>
      <c r="G165" s="2" t="str">
        <f t="shared" si="1"/>
        <v/>
      </c>
      <c r="H165" s="45" t="str">
        <f t="shared" si="2"/>
        <v/>
      </c>
      <c r="I165" s="18" t="str">
        <f t="shared" si="3"/>
        <v/>
      </c>
      <c r="J165" s="18" t="str">
        <f t="shared" si="4"/>
        <v/>
      </c>
      <c r="K165" s="18" t="str">
        <f t="shared" si="5"/>
        <v/>
      </c>
      <c r="L165" s="46" t="str">
        <f t="shared" si="6"/>
        <v/>
      </c>
      <c r="M165" s="18" t="str">
        <f t="shared" si="7"/>
        <v/>
      </c>
      <c r="N165" s="9" t="str">
        <f t="shared" si="8"/>
        <v/>
      </c>
      <c r="O165" s="46" t="str">
        <f t="shared" si="9"/>
        <v/>
      </c>
      <c r="P165" s="18" t="str">
        <f t="shared" si="10"/>
        <v/>
      </c>
      <c r="Q165" s="2"/>
      <c r="R165" s="2"/>
      <c r="S165" s="2"/>
      <c r="T165" s="2"/>
      <c r="U165" s="2"/>
      <c r="V165" s="2"/>
      <c r="W165" s="2"/>
      <c r="X165" s="9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>
      <c r="A166" s="2"/>
      <c r="B166" s="2"/>
      <c r="C166" s="2"/>
      <c r="D166" s="2"/>
      <c r="E166" s="2"/>
      <c r="F166" s="2"/>
      <c r="G166" s="2" t="str">
        <f t="shared" si="1"/>
        <v/>
      </c>
      <c r="H166" s="45" t="str">
        <f t="shared" si="2"/>
        <v/>
      </c>
      <c r="I166" s="18" t="str">
        <f t="shared" si="3"/>
        <v/>
      </c>
      <c r="J166" s="18" t="str">
        <f t="shared" si="4"/>
        <v/>
      </c>
      <c r="K166" s="18" t="str">
        <f t="shared" si="5"/>
        <v/>
      </c>
      <c r="L166" s="46" t="str">
        <f t="shared" si="6"/>
        <v/>
      </c>
      <c r="M166" s="18" t="str">
        <f t="shared" si="7"/>
        <v/>
      </c>
      <c r="N166" s="9" t="str">
        <f t="shared" si="8"/>
        <v/>
      </c>
      <c r="O166" s="46" t="str">
        <f t="shared" si="9"/>
        <v/>
      </c>
      <c r="P166" s="18" t="str">
        <f t="shared" si="10"/>
        <v/>
      </c>
      <c r="Q166" s="2"/>
      <c r="R166" s="2"/>
      <c r="S166" s="2"/>
      <c r="T166" s="2"/>
      <c r="U166" s="2"/>
      <c r="V166" s="2"/>
      <c r="W166" s="2"/>
      <c r="X166" s="9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>
      <c r="A167" s="2"/>
      <c r="B167" s="2"/>
      <c r="C167" s="2"/>
      <c r="D167" s="2"/>
      <c r="E167" s="2"/>
      <c r="F167" s="2"/>
      <c r="G167" s="2" t="str">
        <f t="shared" si="1"/>
        <v/>
      </c>
      <c r="H167" s="45" t="str">
        <f t="shared" si="2"/>
        <v/>
      </c>
      <c r="I167" s="18" t="str">
        <f t="shared" si="3"/>
        <v/>
      </c>
      <c r="J167" s="18" t="str">
        <f t="shared" si="4"/>
        <v/>
      </c>
      <c r="K167" s="18" t="str">
        <f t="shared" si="5"/>
        <v/>
      </c>
      <c r="L167" s="46" t="str">
        <f t="shared" si="6"/>
        <v/>
      </c>
      <c r="M167" s="18" t="str">
        <f t="shared" si="7"/>
        <v/>
      </c>
      <c r="N167" s="9" t="str">
        <f t="shared" si="8"/>
        <v/>
      </c>
      <c r="O167" s="46" t="str">
        <f t="shared" si="9"/>
        <v/>
      </c>
      <c r="P167" s="18" t="str">
        <f t="shared" si="10"/>
        <v/>
      </c>
      <c r="Q167" s="2"/>
      <c r="R167" s="2"/>
      <c r="S167" s="2"/>
      <c r="T167" s="2"/>
      <c r="U167" s="2"/>
      <c r="V167" s="2"/>
      <c r="W167" s="2"/>
      <c r="X167" s="9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>
      <c r="A168" s="2"/>
      <c r="B168" s="2"/>
      <c r="C168" s="2"/>
      <c r="D168" s="2"/>
      <c r="E168" s="2"/>
      <c r="F168" s="2"/>
      <c r="G168" s="2" t="str">
        <f t="shared" si="1"/>
        <v/>
      </c>
      <c r="H168" s="45" t="str">
        <f t="shared" si="2"/>
        <v/>
      </c>
      <c r="I168" s="18" t="str">
        <f t="shared" si="3"/>
        <v/>
      </c>
      <c r="J168" s="18" t="str">
        <f t="shared" si="4"/>
        <v/>
      </c>
      <c r="K168" s="18" t="str">
        <f t="shared" si="5"/>
        <v/>
      </c>
      <c r="L168" s="46" t="str">
        <f t="shared" si="6"/>
        <v/>
      </c>
      <c r="M168" s="18" t="str">
        <f t="shared" si="7"/>
        <v/>
      </c>
      <c r="N168" s="9" t="str">
        <f t="shared" si="8"/>
        <v/>
      </c>
      <c r="O168" s="46" t="str">
        <f t="shared" si="9"/>
        <v/>
      </c>
      <c r="P168" s="18" t="str">
        <f t="shared" si="10"/>
        <v/>
      </c>
      <c r="Q168" s="2"/>
      <c r="R168" s="2"/>
      <c r="S168" s="2"/>
      <c r="T168" s="2"/>
      <c r="U168" s="2"/>
      <c r="V168" s="2"/>
      <c r="W168" s="2"/>
      <c r="X168" s="9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>
      <c r="A169" s="2"/>
      <c r="B169" s="2"/>
      <c r="C169" s="2"/>
      <c r="D169" s="2"/>
      <c r="E169" s="2"/>
      <c r="F169" s="2"/>
      <c r="G169" s="2" t="str">
        <f t="shared" si="1"/>
        <v/>
      </c>
      <c r="H169" s="45" t="str">
        <f t="shared" si="2"/>
        <v/>
      </c>
      <c r="I169" s="18" t="str">
        <f t="shared" si="3"/>
        <v/>
      </c>
      <c r="J169" s="18" t="str">
        <f t="shared" si="4"/>
        <v/>
      </c>
      <c r="K169" s="18" t="str">
        <f t="shared" si="5"/>
        <v/>
      </c>
      <c r="L169" s="46" t="str">
        <f t="shared" si="6"/>
        <v/>
      </c>
      <c r="M169" s="18" t="str">
        <f t="shared" si="7"/>
        <v/>
      </c>
      <c r="N169" s="9" t="str">
        <f t="shared" si="8"/>
        <v/>
      </c>
      <c r="O169" s="46" t="str">
        <f t="shared" si="9"/>
        <v/>
      </c>
      <c r="P169" s="18" t="str">
        <f t="shared" si="10"/>
        <v/>
      </c>
      <c r="Q169" s="2"/>
      <c r="R169" s="2"/>
      <c r="S169" s="2"/>
      <c r="T169" s="2"/>
      <c r="U169" s="2"/>
      <c r="V169" s="2"/>
      <c r="W169" s="2"/>
      <c r="X169" s="9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>
      <c r="A170" s="2"/>
      <c r="B170" s="2"/>
      <c r="C170" s="2"/>
      <c r="D170" s="2"/>
      <c r="E170" s="2"/>
      <c r="F170" s="2"/>
      <c r="G170" s="2" t="str">
        <f t="shared" si="1"/>
        <v/>
      </c>
      <c r="H170" s="45" t="str">
        <f t="shared" si="2"/>
        <v/>
      </c>
      <c r="I170" s="18" t="str">
        <f t="shared" si="3"/>
        <v/>
      </c>
      <c r="J170" s="18" t="str">
        <f t="shared" si="4"/>
        <v/>
      </c>
      <c r="K170" s="18" t="str">
        <f t="shared" si="5"/>
        <v/>
      </c>
      <c r="L170" s="46" t="str">
        <f t="shared" si="6"/>
        <v/>
      </c>
      <c r="M170" s="18" t="str">
        <f t="shared" si="7"/>
        <v/>
      </c>
      <c r="N170" s="9" t="str">
        <f t="shared" si="8"/>
        <v/>
      </c>
      <c r="O170" s="46" t="str">
        <f t="shared" si="9"/>
        <v/>
      </c>
      <c r="P170" s="18" t="str">
        <f t="shared" si="10"/>
        <v/>
      </c>
      <c r="Q170" s="2"/>
      <c r="R170" s="2"/>
      <c r="S170" s="2"/>
      <c r="T170" s="2"/>
      <c r="U170" s="2"/>
      <c r="V170" s="2"/>
      <c r="W170" s="2"/>
      <c r="X170" s="9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>
      <c r="A171" s="2"/>
      <c r="B171" s="2"/>
      <c r="C171" s="2"/>
      <c r="D171" s="2"/>
      <c r="E171" s="2"/>
      <c r="F171" s="2"/>
      <c r="G171" s="2" t="str">
        <f t="shared" si="1"/>
        <v/>
      </c>
      <c r="H171" s="45" t="str">
        <f t="shared" si="2"/>
        <v/>
      </c>
      <c r="I171" s="18" t="str">
        <f t="shared" si="3"/>
        <v/>
      </c>
      <c r="J171" s="18" t="str">
        <f t="shared" si="4"/>
        <v/>
      </c>
      <c r="K171" s="18" t="str">
        <f t="shared" si="5"/>
        <v/>
      </c>
      <c r="L171" s="46" t="str">
        <f t="shared" si="6"/>
        <v/>
      </c>
      <c r="M171" s="18" t="str">
        <f t="shared" si="7"/>
        <v/>
      </c>
      <c r="N171" s="9" t="str">
        <f t="shared" si="8"/>
        <v/>
      </c>
      <c r="O171" s="46" t="str">
        <f t="shared" si="9"/>
        <v/>
      </c>
      <c r="P171" s="18" t="str">
        <f t="shared" si="10"/>
        <v/>
      </c>
      <c r="Q171" s="2"/>
      <c r="R171" s="2"/>
      <c r="S171" s="2"/>
      <c r="T171" s="2"/>
      <c r="U171" s="2"/>
      <c r="V171" s="2"/>
      <c r="W171" s="2"/>
      <c r="X171" s="9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>
      <c r="A172" s="2"/>
      <c r="B172" s="2"/>
      <c r="C172" s="2"/>
      <c r="D172" s="2"/>
      <c r="E172" s="2"/>
      <c r="F172" s="2"/>
      <c r="G172" s="2" t="str">
        <f t="shared" si="1"/>
        <v/>
      </c>
      <c r="H172" s="45" t="str">
        <f t="shared" si="2"/>
        <v/>
      </c>
      <c r="I172" s="18" t="str">
        <f t="shared" si="3"/>
        <v/>
      </c>
      <c r="J172" s="18" t="str">
        <f t="shared" si="4"/>
        <v/>
      </c>
      <c r="K172" s="18" t="str">
        <f t="shared" si="5"/>
        <v/>
      </c>
      <c r="L172" s="46" t="str">
        <f t="shared" si="6"/>
        <v/>
      </c>
      <c r="M172" s="18" t="str">
        <f t="shared" si="7"/>
        <v/>
      </c>
      <c r="N172" s="9" t="str">
        <f t="shared" si="8"/>
        <v/>
      </c>
      <c r="O172" s="46" t="str">
        <f t="shared" si="9"/>
        <v/>
      </c>
      <c r="P172" s="18" t="str">
        <f t="shared" si="10"/>
        <v/>
      </c>
      <c r="Q172" s="2"/>
      <c r="R172" s="2"/>
      <c r="S172" s="2"/>
      <c r="T172" s="2"/>
      <c r="U172" s="2"/>
      <c r="V172" s="2"/>
      <c r="W172" s="2"/>
      <c r="X172" s="9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>
      <c r="A173" s="2"/>
      <c r="B173" s="2"/>
      <c r="C173" s="2"/>
      <c r="D173" s="2"/>
      <c r="E173" s="2"/>
      <c r="F173" s="2"/>
      <c r="G173" s="2" t="str">
        <f t="shared" si="1"/>
        <v/>
      </c>
      <c r="H173" s="45" t="str">
        <f t="shared" si="2"/>
        <v/>
      </c>
      <c r="I173" s="18" t="str">
        <f t="shared" si="3"/>
        <v/>
      </c>
      <c r="J173" s="18" t="str">
        <f t="shared" si="4"/>
        <v/>
      </c>
      <c r="K173" s="18" t="str">
        <f t="shared" si="5"/>
        <v/>
      </c>
      <c r="L173" s="46" t="str">
        <f t="shared" si="6"/>
        <v/>
      </c>
      <c r="M173" s="18" t="str">
        <f t="shared" si="7"/>
        <v/>
      </c>
      <c r="N173" s="9" t="str">
        <f t="shared" si="8"/>
        <v/>
      </c>
      <c r="O173" s="46" t="str">
        <f t="shared" si="9"/>
        <v/>
      </c>
      <c r="P173" s="18" t="str">
        <f t="shared" si="10"/>
        <v/>
      </c>
      <c r="Q173" s="2"/>
      <c r="R173" s="2"/>
      <c r="S173" s="2"/>
      <c r="T173" s="2"/>
      <c r="U173" s="2"/>
      <c r="V173" s="2"/>
      <c r="W173" s="2"/>
      <c r="X173" s="9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>
      <c r="A174" s="2"/>
      <c r="B174" s="2"/>
      <c r="C174" s="2"/>
      <c r="D174" s="2"/>
      <c r="E174" s="2"/>
      <c r="F174" s="2"/>
      <c r="G174" s="2" t="str">
        <f t="shared" si="1"/>
        <v/>
      </c>
      <c r="H174" s="45" t="str">
        <f t="shared" si="2"/>
        <v/>
      </c>
      <c r="I174" s="18" t="str">
        <f t="shared" si="3"/>
        <v/>
      </c>
      <c r="J174" s="18" t="str">
        <f t="shared" si="4"/>
        <v/>
      </c>
      <c r="K174" s="18" t="str">
        <f t="shared" si="5"/>
        <v/>
      </c>
      <c r="L174" s="46" t="str">
        <f t="shared" si="6"/>
        <v/>
      </c>
      <c r="M174" s="18" t="str">
        <f t="shared" si="7"/>
        <v/>
      </c>
      <c r="N174" s="9" t="str">
        <f t="shared" si="8"/>
        <v/>
      </c>
      <c r="O174" s="46" t="str">
        <f t="shared" si="9"/>
        <v/>
      </c>
      <c r="P174" s="18" t="str">
        <f t="shared" si="10"/>
        <v/>
      </c>
      <c r="Q174" s="2"/>
      <c r="R174" s="2"/>
      <c r="S174" s="2"/>
      <c r="T174" s="2"/>
      <c r="U174" s="2"/>
      <c r="V174" s="2"/>
      <c r="W174" s="2"/>
      <c r="X174" s="9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>
      <c r="A175" s="2"/>
      <c r="B175" s="2"/>
      <c r="C175" s="2"/>
      <c r="D175" s="2"/>
      <c r="E175" s="2"/>
      <c r="F175" s="2"/>
      <c r="G175" s="2" t="str">
        <f t="shared" si="1"/>
        <v/>
      </c>
      <c r="H175" s="45" t="str">
        <f t="shared" si="2"/>
        <v/>
      </c>
      <c r="I175" s="18" t="str">
        <f t="shared" si="3"/>
        <v/>
      </c>
      <c r="J175" s="18" t="str">
        <f t="shared" si="4"/>
        <v/>
      </c>
      <c r="K175" s="18" t="str">
        <f t="shared" si="5"/>
        <v/>
      </c>
      <c r="L175" s="46" t="str">
        <f t="shared" si="6"/>
        <v/>
      </c>
      <c r="M175" s="18" t="str">
        <f t="shared" si="7"/>
        <v/>
      </c>
      <c r="N175" s="9" t="str">
        <f t="shared" si="8"/>
        <v/>
      </c>
      <c r="O175" s="46" t="str">
        <f t="shared" si="9"/>
        <v/>
      </c>
      <c r="P175" s="18" t="str">
        <f t="shared" si="10"/>
        <v/>
      </c>
      <c r="Q175" s="2"/>
      <c r="R175" s="2"/>
      <c r="S175" s="2"/>
      <c r="T175" s="2"/>
      <c r="U175" s="2"/>
      <c r="V175" s="2"/>
      <c r="W175" s="2"/>
      <c r="X175" s="9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>
      <c r="A176" s="2"/>
      <c r="B176" s="2"/>
      <c r="C176" s="2"/>
      <c r="D176" s="2"/>
      <c r="E176" s="2"/>
      <c r="F176" s="2"/>
      <c r="G176" s="2" t="str">
        <f t="shared" si="1"/>
        <v/>
      </c>
      <c r="H176" s="45" t="str">
        <f t="shared" si="2"/>
        <v/>
      </c>
      <c r="I176" s="18" t="str">
        <f t="shared" si="3"/>
        <v/>
      </c>
      <c r="J176" s="18" t="str">
        <f t="shared" si="4"/>
        <v/>
      </c>
      <c r="K176" s="18" t="str">
        <f t="shared" si="5"/>
        <v/>
      </c>
      <c r="L176" s="46" t="str">
        <f t="shared" si="6"/>
        <v/>
      </c>
      <c r="M176" s="18" t="str">
        <f t="shared" si="7"/>
        <v/>
      </c>
      <c r="N176" s="9" t="str">
        <f t="shared" si="8"/>
        <v/>
      </c>
      <c r="O176" s="46" t="str">
        <f t="shared" si="9"/>
        <v/>
      </c>
      <c r="P176" s="18" t="str">
        <f t="shared" si="10"/>
        <v/>
      </c>
      <c r="Q176" s="2"/>
      <c r="R176" s="2"/>
      <c r="S176" s="2"/>
      <c r="T176" s="2"/>
      <c r="U176" s="2"/>
      <c r="V176" s="2"/>
      <c r="W176" s="2"/>
      <c r="X176" s="9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>
      <c r="A177" s="2"/>
      <c r="B177" s="2"/>
      <c r="C177" s="2"/>
      <c r="D177" s="2"/>
      <c r="E177" s="2"/>
      <c r="F177" s="2"/>
      <c r="G177" s="2" t="str">
        <f t="shared" si="1"/>
        <v/>
      </c>
      <c r="H177" s="45" t="str">
        <f t="shared" si="2"/>
        <v/>
      </c>
      <c r="I177" s="18" t="str">
        <f t="shared" si="3"/>
        <v/>
      </c>
      <c r="J177" s="18" t="str">
        <f t="shared" si="4"/>
        <v/>
      </c>
      <c r="K177" s="18" t="str">
        <f t="shared" si="5"/>
        <v/>
      </c>
      <c r="L177" s="46" t="str">
        <f t="shared" si="6"/>
        <v/>
      </c>
      <c r="M177" s="18" t="str">
        <f t="shared" si="7"/>
        <v/>
      </c>
      <c r="N177" s="9" t="str">
        <f t="shared" si="8"/>
        <v/>
      </c>
      <c r="O177" s="46" t="str">
        <f t="shared" si="9"/>
        <v/>
      </c>
      <c r="P177" s="18" t="str">
        <f t="shared" si="10"/>
        <v/>
      </c>
      <c r="Q177" s="2"/>
      <c r="R177" s="2"/>
      <c r="S177" s="2"/>
      <c r="T177" s="2"/>
      <c r="U177" s="2"/>
      <c r="V177" s="2"/>
      <c r="W177" s="2"/>
      <c r="X177" s="9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>
      <c r="A178" s="2"/>
      <c r="B178" s="2"/>
      <c r="C178" s="2"/>
      <c r="D178" s="2"/>
      <c r="E178" s="2"/>
      <c r="F178" s="2"/>
      <c r="G178" s="2" t="str">
        <f t="shared" si="1"/>
        <v/>
      </c>
      <c r="H178" s="45" t="str">
        <f t="shared" si="2"/>
        <v/>
      </c>
      <c r="I178" s="18" t="str">
        <f t="shared" si="3"/>
        <v/>
      </c>
      <c r="J178" s="18" t="str">
        <f t="shared" si="4"/>
        <v/>
      </c>
      <c r="K178" s="18" t="str">
        <f t="shared" si="5"/>
        <v/>
      </c>
      <c r="L178" s="46" t="str">
        <f t="shared" si="6"/>
        <v/>
      </c>
      <c r="M178" s="18" t="str">
        <f t="shared" si="7"/>
        <v/>
      </c>
      <c r="N178" s="9" t="str">
        <f t="shared" si="8"/>
        <v/>
      </c>
      <c r="O178" s="46" t="str">
        <f t="shared" si="9"/>
        <v/>
      </c>
      <c r="P178" s="18" t="str">
        <f t="shared" si="10"/>
        <v/>
      </c>
      <c r="Q178" s="2"/>
      <c r="R178" s="2"/>
      <c r="S178" s="2"/>
      <c r="T178" s="2"/>
      <c r="U178" s="2"/>
      <c r="V178" s="2"/>
      <c r="W178" s="2"/>
      <c r="X178" s="9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>
      <c r="A179" s="2"/>
      <c r="B179" s="2"/>
      <c r="C179" s="2"/>
      <c r="D179" s="2"/>
      <c r="E179" s="2"/>
      <c r="F179" s="2"/>
      <c r="G179" s="2" t="str">
        <f t="shared" si="1"/>
        <v/>
      </c>
      <c r="H179" s="45" t="str">
        <f t="shared" si="2"/>
        <v/>
      </c>
      <c r="I179" s="18" t="str">
        <f t="shared" si="3"/>
        <v/>
      </c>
      <c r="J179" s="18" t="str">
        <f t="shared" si="4"/>
        <v/>
      </c>
      <c r="K179" s="18" t="str">
        <f t="shared" si="5"/>
        <v/>
      </c>
      <c r="L179" s="46" t="str">
        <f t="shared" si="6"/>
        <v/>
      </c>
      <c r="M179" s="18" t="str">
        <f t="shared" si="7"/>
        <v/>
      </c>
      <c r="N179" s="9" t="str">
        <f t="shared" si="8"/>
        <v/>
      </c>
      <c r="O179" s="46" t="str">
        <f t="shared" si="9"/>
        <v/>
      </c>
      <c r="P179" s="18" t="str">
        <f t="shared" si="10"/>
        <v/>
      </c>
      <c r="Q179" s="2"/>
      <c r="R179" s="2"/>
      <c r="S179" s="2"/>
      <c r="T179" s="2"/>
      <c r="U179" s="2"/>
      <c r="V179" s="2"/>
      <c r="W179" s="2"/>
      <c r="X179" s="9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>
      <c r="A180" s="2"/>
      <c r="B180" s="2"/>
      <c r="C180" s="2"/>
      <c r="D180" s="2"/>
      <c r="E180" s="2"/>
      <c r="F180" s="2"/>
      <c r="G180" s="2" t="str">
        <f t="shared" si="1"/>
        <v/>
      </c>
      <c r="H180" s="45" t="str">
        <f t="shared" si="2"/>
        <v/>
      </c>
      <c r="I180" s="18" t="str">
        <f t="shared" si="3"/>
        <v/>
      </c>
      <c r="J180" s="18" t="str">
        <f t="shared" si="4"/>
        <v/>
      </c>
      <c r="K180" s="18" t="str">
        <f t="shared" si="5"/>
        <v/>
      </c>
      <c r="L180" s="46" t="str">
        <f t="shared" si="6"/>
        <v/>
      </c>
      <c r="M180" s="18" t="str">
        <f t="shared" si="7"/>
        <v/>
      </c>
      <c r="N180" s="9" t="str">
        <f t="shared" si="8"/>
        <v/>
      </c>
      <c r="O180" s="46" t="str">
        <f t="shared" si="9"/>
        <v/>
      </c>
      <c r="P180" s="18" t="str">
        <f t="shared" si="10"/>
        <v/>
      </c>
      <c r="Q180" s="2"/>
      <c r="R180" s="2"/>
      <c r="S180" s="2"/>
      <c r="T180" s="2"/>
      <c r="U180" s="2"/>
      <c r="V180" s="2"/>
      <c r="W180" s="2"/>
      <c r="X180" s="9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>
      <c r="A181" s="2"/>
      <c r="B181" s="2"/>
      <c r="C181" s="2"/>
      <c r="D181" s="2"/>
      <c r="E181" s="2"/>
      <c r="F181" s="2"/>
      <c r="G181" s="2" t="str">
        <f t="shared" si="1"/>
        <v/>
      </c>
      <c r="H181" s="45" t="str">
        <f t="shared" si="2"/>
        <v/>
      </c>
      <c r="I181" s="18" t="str">
        <f t="shared" si="3"/>
        <v/>
      </c>
      <c r="J181" s="18" t="str">
        <f t="shared" si="4"/>
        <v/>
      </c>
      <c r="K181" s="18" t="str">
        <f t="shared" si="5"/>
        <v/>
      </c>
      <c r="L181" s="46" t="str">
        <f t="shared" si="6"/>
        <v/>
      </c>
      <c r="M181" s="18" t="str">
        <f t="shared" si="7"/>
        <v/>
      </c>
      <c r="N181" s="9" t="str">
        <f t="shared" si="8"/>
        <v/>
      </c>
      <c r="O181" s="46" t="str">
        <f t="shared" si="9"/>
        <v/>
      </c>
      <c r="P181" s="18" t="str">
        <f t="shared" si="10"/>
        <v/>
      </c>
      <c r="Q181" s="2"/>
      <c r="R181" s="2"/>
      <c r="S181" s="2"/>
      <c r="T181" s="2"/>
      <c r="U181" s="2"/>
      <c r="V181" s="2"/>
      <c r="W181" s="2"/>
      <c r="X181" s="9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>
      <c r="A182" s="2"/>
      <c r="B182" s="2"/>
      <c r="C182" s="2"/>
      <c r="D182" s="2"/>
      <c r="E182" s="2"/>
      <c r="F182" s="2"/>
      <c r="G182" s="2" t="str">
        <f t="shared" si="1"/>
        <v/>
      </c>
      <c r="H182" s="45" t="str">
        <f t="shared" si="2"/>
        <v/>
      </c>
      <c r="I182" s="18" t="str">
        <f t="shared" si="3"/>
        <v/>
      </c>
      <c r="J182" s="18" t="str">
        <f t="shared" si="4"/>
        <v/>
      </c>
      <c r="K182" s="18" t="str">
        <f t="shared" si="5"/>
        <v/>
      </c>
      <c r="L182" s="46" t="str">
        <f t="shared" si="6"/>
        <v/>
      </c>
      <c r="M182" s="18" t="str">
        <f t="shared" si="7"/>
        <v/>
      </c>
      <c r="N182" s="9" t="str">
        <f t="shared" si="8"/>
        <v/>
      </c>
      <c r="O182" s="46" t="str">
        <f t="shared" si="9"/>
        <v/>
      </c>
      <c r="P182" s="18" t="str">
        <f t="shared" si="10"/>
        <v/>
      </c>
      <c r="Q182" s="2"/>
      <c r="R182" s="2"/>
      <c r="S182" s="2"/>
      <c r="T182" s="2"/>
      <c r="U182" s="2"/>
      <c r="V182" s="2"/>
      <c r="W182" s="2"/>
      <c r="X182" s="9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>
      <c r="A183" s="2"/>
      <c r="B183" s="2"/>
      <c r="C183" s="2"/>
      <c r="D183" s="2"/>
      <c r="E183" s="2"/>
      <c r="F183" s="2"/>
      <c r="G183" s="2" t="str">
        <f t="shared" si="1"/>
        <v/>
      </c>
      <c r="H183" s="45" t="str">
        <f t="shared" si="2"/>
        <v/>
      </c>
      <c r="I183" s="18" t="str">
        <f t="shared" si="3"/>
        <v/>
      </c>
      <c r="J183" s="18" t="str">
        <f t="shared" si="4"/>
        <v/>
      </c>
      <c r="K183" s="18" t="str">
        <f t="shared" si="5"/>
        <v/>
      </c>
      <c r="L183" s="46" t="str">
        <f t="shared" si="6"/>
        <v/>
      </c>
      <c r="M183" s="18" t="str">
        <f t="shared" si="7"/>
        <v/>
      </c>
      <c r="N183" s="9" t="str">
        <f t="shared" si="8"/>
        <v/>
      </c>
      <c r="O183" s="46" t="str">
        <f t="shared" si="9"/>
        <v/>
      </c>
      <c r="P183" s="18" t="str">
        <f t="shared" si="10"/>
        <v/>
      </c>
      <c r="Q183" s="2"/>
      <c r="R183" s="2"/>
      <c r="S183" s="2"/>
      <c r="T183" s="2"/>
      <c r="U183" s="2"/>
      <c r="V183" s="2"/>
      <c r="W183" s="2"/>
      <c r="X183" s="9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>
      <c r="A184" s="2"/>
      <c r="B184" s="2"/>
      <c r="C184" s="2"/>
      <c r="D184" s="2"/>
      <c r="E184" s="2"/>
      <c r="F184" s="2"/>
      <c r="G184" s="2" t="str">
        <f t="shared" si="1"/>
        <v/>
      </c>
      <c r="H184" s="45" t="str">
        <f t="shared" si="2"/>
        <v/>
      </c>
      <c r="I184" s="18" t="str">
        <f t="shared" si="3"/>
        <v/>
      </c>
      <c r="J184" s="18" t="str">
        <f t="shared" si="4"/>
        <v/>
      </c>
      <c r="K184" s="18" t="str">
        <f t="shared" si="5"/>
        <v/>
      </c>
      <c r="L184" s="46" t="str">
        <f t="shared" si="6"/>
        <v/>
      </c>
      <c r="M184" s="18" t="str">
        <f t="shared" si="7"/>
        <v/>
      </c>
      <c r="N184" s="9" t="str">
        <f t="shared" si="8"/>
        <v/>
      </c>
      <c r="O184" s="46" t="str">
        <f t="shared" si="9"/>
        <v/>
      </c>
      <c r="P184" s="18" t="str">
        <f t="shared" si="10"/>
        <v/>
      </c>
      <c r="Q184" s="2"/>
      <c r="R184" s="2"/>
      <c r="S184" s="2"/>
      <c r="T184" s="2"/>
      <c r="U184" s="2"/>
      <c r="V184" s="2"/>
      <c r="W184" s="2"/>
      <c r="X184" s="9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>
      <c r="A185" s="2"/>
      <c r="B185" s="2"/>
      <c r="C185" s="2"/>
      <c r="D185" s="2"/>
      <c r="E185" s="2"/>
      <c r="F185" s="2"/>
      <c r="G185" s="2" t="str">
        <f t="shared" si="1"/>
        <v/>
      </c>
      <c r="H185" s="45" t="str">
        <f t="shared" si="2"/>
        <v/>
      </c>
      <c r="I185" s="18" t="str">
        <f t="shared" si="3"/>
        <v/>
      </c>
      <c r="J185" s="18" t="str">
        <f t="shared" si="4"/>
        <v/>
      </c>
      <c r="K185" s="18" t="str">
        <f t="shared" si="5"/>
        <v/>
      </c>
      <c r="L185" s="46" t="str">
        <f t="shared" si="6"/>
        <v/>
      </c>
      <c r="M185" s="18" t="str">
        <f t="shared" si="7"/>
        <v/>
      </c>
      <c r="N185" s="9" t="str">
        <f t="shared" si="8"/>
        <v/>
      </c>
      <c r="O185" s="46" t="str">
        <f t="shared" si="9"/>
        <v/>
      </c>
      <c r="P185" s="18" t="str">
        <f t="shared" si="10"/>
        <v/>
      </c>
      <c r="Q185" s="2"/>
      <c r="R185" s="2"/>
      <c r="S185" s="2"/>
      <c r="T185" s="2"/>
      <c r="U185" s="2"/>
      <c r="V185" s="2"/>
      <c r="W185" s="2"/>
      <c r="X185" s="9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>
      <c r="A186" s="2"/>
      <c r="B186" s="2"/>
      <c r="C186" s="2"/>
      <c r="D186" s="2"/>
      <c r="E186" s="2"/>
      <c r="F186" s="2"/>
      <c r="G186" s="2" t="str">
        <f t="shared" si="1"/>
        <v/>
      </c>
      <c r="H186" s="45" t="str">
        <f t="shared" si="2"/>
        <v/>
      </c>
      <c r="I186" s="18" t="str">
        <f t="shared" si="3"/>
        <v/>
      </c>
      <c r="J186" s="18" t="str">
        <f t="shared" si="4"/>
        <v/>
      </c>
      <c r="K186" s="18" t="str">
        <f t="shared" si="5"/>
        <v/>
      </c>
      <c r="L186" s="46" t="str">
        <f t="shared" si="6"/>
        <v/>
      </c>
      <c r="M186" s="18" t="str">
        <f t="shared" si="7"/>
        <v/>
      </c>
      <c r="N186" s="9" t="str">
        <f t="shared" si="8"/>
        <v/>
      </c>
      <c r="O186" s="46" t="str">
        <f t="shared" si="9"/>
        <v/>
      </c>
      <c r="P186" s="18" t="str">
        <f t="shared" si="10"/>
        <v/>
      </c>
      <c r="Q186" s="2"/>
      <c r="R186" s="2"/>
      <c r="S186" s="2"/>
      <c r="T186" s="2"/>
      <c r="U186" s="2"/>
      <c r="V186" s="2"/>
      <c r="W186" s="2"/>
      <c r="X186" s="9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>
      <c r="A187" s="2"/>
      <c r="B187" s="2"/>
      <c r="C187" s="2"/>
      <c r="D187" s="2"/>
      <c r="E187" s="2"/>
      <c r="F187" s="2"/>
      <c r="G187" s="2" t="str">
        <f t="shared" si="1"/>
        <v/>
      </c>
      <c r="H187" s="45" t="str">
        <f t="shared" si="2"/>
        <v/>
      </c>
      <c r="I187" s="18" t="str">
        <f t="shared" si="3"/>
        <v/>
      </c>
      <c r="J187" s="18" t="str">
        <f t="shared" si="4"/>
        <v/>
      </c>
      <c r="K187" s="18" t="str">
        <f t="shared" si="5"/>
        <v/>
      </c>
      <c r="L187" s="46" t="str">
        <f t="shared" si="6"/>
        <v/>
      </c>
      <c r="M187" s="18" t="str">
        <f t="shared" si="7"/>
        <v/>
      </c>
      <c r="N187" s="9" t="str">
        <f t="shared" si="8"/>
        <v/>
      </c>
      <c r="O187" s="46" t="str">
        <f t="shared" si="9"/>
        <v/>
      </c>
      <c r="P187" s="18" t="str">
        <f t="shared" si="10"/>
        <v/>
      </c>
      <c r="Q187" s="2"/>
      <c r="R187" s="2"/>
      <c r="S187" s="2"/>
      <c r="T187" s="2"/>
      <c r="U187" s="2"/>
      <c r="V187" s="2"/>
      <c r="W187" s="2"/>
      <c r="X187" s="9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>
      <c r="A188" s="2"/>
      <c r="B188" s="2"/>
      <c r="C188" s="2"/>
      <c r="D188" s="2"/>
      <c r="E188" s="2"/>
      <c r="F188" s="2"/>
      <c r="G188" s="2" t="str">
        <f t="shared" si="1"/>
        <v/>
      </c>
      <c r="H188" s="45" t="str">
        <f t="shared" si="2"/>
        <v/>
      </c>
      <c r="I188" s="18" t="str">
        <f t="shared" si="3"/>
        <v/>
      </c>
      <c r="J188" s="18" t="str">
        <f t="shared" si="4"/>
        <v/>
      </c>
      <c r="K188" s="18" t="str">
        <f t="shared" si="5"/>
        <v/>
      </c>
      <c r="L188" s="46" t="str">
        <f t="shared" si="6"/>
        <v/>
      </c>
      <c r="M188" s="18" t="str">
        <f t="shared" si="7"/>
        <v/>
      </c>
      <c r="N188" s="9" t="str">
        <f t="shared" si="8"/>
        <v/>
      </c>
      <c r="O188" s="46" t="str">
        <f t="shared" si="9"/>
        <v/>
      </c>
      <c r="P188" s="18" t="str">
        <f t="shared" si="10"/>
        <v/>
      </c>
      <c r="Q188" s="2"/>
      <c r="R188" s="2"/>
      <c r="S188" s="2"/>
      <c r="T188" s="2"/>
      <c r="U188" s="2"/>
      <c r="V188" s="2"/>
      <c r="W188" s="2"/>
      <c r="X188" s="9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>
      <c r="A189" s="2"/>
      <c r="B189" s="2"/>
      <c r="C189" s="2"/>
      <c r="D189" s="2"/>
      <c r="E189" s="2"/>
      <c r="F189" s="2"/>
      <c r="G189" s="2" t="str">
        <f t="shared" si="1"/>
        <v/>
      </c>
      <c r="H189" s="45" t="str">
        <f t="shared" si="2"/>
        <v/>
      </c>
      <c r="I189" s="18" t="str">
        <f t="shared" si="3"/>
        <v/>
      </c>
      <c r="J189" s="18" t="str">
        <f t="shared" si="4"/>
        <v/>
      </c>
      <c r="K189" s="18" t="str">
        <f t="shared" si="5"/>
        <v/>
      </c>
      <c r="L189" s="46" t="str">
        <f t="shared" si="6"/>
        <v/>
      </c>
      <c r="M189" s="18" t="str">
        <f t="shared" si="7"/>
        <v/>
      </c>
      <c r="N189" s="9" t="str">
        <f t="shared" si="8"/>
        <v/>
      </c>
      <c r="O189" s="46" t="str">
        <f t="shared" si="9"/>
        <v/>
      </c>
      <c r="P189" s="18" t="str">
        <f t="shared" si="10"/>
        <v/>
      </c>
      <c r="Q189" s="2"/>
      <c r="R189" s="2"/>
      <c r="S189" s="2"/>
      <c r="T189" s="2"/>
      <c r="U189" s="2"/>
      <c r="V189" s="2"/>
      <c r="W189" s="2"/>
      <c r="X189" s="9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>
      <c r="A190" s="2"/>
      <c r="B190" s="2"/>
      <c r="C190" s="2"/>
      <c r="D190" s="2"/>
      <c r="E190" s="2"/>
      <c r="F190" s="2"/>
      <c r="G190" s="2" t="str">
        <f t="shared" si="1"/>
        <v/>
      </c>
      <c r="H190" s="45" t="str">
        <f t="shared" si="2"/>
        <v/>
      </c>
      <c r="I190" s="18" t="str">
        <f t="shared" si="3"/>
        <v/>
      </c>
      <c r="J190" s="18" t="str">
        <f t="shared" si="4"/>
        <v/>
      </c>
      <c r="K190" s="18" t="str">
        <f t="shared" si="5"/>
        <v/>
      </c>
      <c r="L190" s="46" t="str">
        <f t="shared" si="6"/>
        <v/>
      </c>
      <c r="M190" s="18" t="str">
        <f t="shared" si="7"/>
        <v/>
      </c>
      <c r="N190" s="9" t="str">
        <f t="shared" si="8"/>
        <v/>
      </c>
      <c r="O190" s="46" t="str">
        <f t="shared" si="9"/>
        <v/>
      </c>
      <c r="P190" s="18" t="str">
        <f t="shared" si="10"/>
        <v/>
      </c>
      <c r="Q190" s="2"/>
      <c r="R190" s="2"/>
      <c r="S190" s="2"/>
      <c r="T190" s="2"/>
      <c r="U190" s="2"/>
      <c r="V190" s="2"/>
      <c r="W190" s="2"/>
      <c r="X190" s="9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>
      <c r="A191" s="2"/>
      <c r="B191" s="2"/>
      <c r="C191" s="2"/>
      <c r="D191" s="2"/>
      <c r="E191" s="2"/>
      <c r="F191" s="2"/>
      <c r="G191" s="2" t="str">
        <f t="shared" si="1"/>
        <v/>
      </c>
      <c r="H191" s="45" t="str">
        <f t="shared" si="2"/>
        <v/>
      </c>
      <c r="I191" s="18" t="str">
        <f t="shared" si="3"/>
        <v/>
      </c>
      <c r="J191" s="18" t="str">
        <f t="shared" si="4"/>
        <v/>
      </c>
      <c r="K191" s="18" t="str">
        <f t="shared" si="5"/>
        <v/>
      </c>
      <c r="L191" s="46" t="str">
        <f t="shared" si="6"/>
        <v/>
      </c>
      <c r="M191" s="18" t="str">
        <f t="shared" si="7"/>
        <v/>
      </c>
      <c r="N191" s="9" t="str">
        <f t="shared" si="8"/>
        <v/>
      </c>
      <c r="O191" s="46" t="str">
        <f t="shared" si="9"/>
        <v/>
      </c>
      <c r="P191" s="18" t="str">
        <f t="shared" si="10"/>
        <v/>
      </c>
      <c r="Q191" s="2"/>
      <c r="R191" s="2"/>
      <c r="S191" s="2"/>
      <c r="T191" s="2"/>
      <c r="U191" s="2"/>
      <c r="V191" s="2"/>
      <c r="W191" s="2"/>
      <c r="X191" s="9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>
      <c r="A192" s="2"/>
      <c r="B192" s="2"/>
      <c r="C192" s="2"/>
      <c r="D192" s="2"/>
      <c r="E192" s="2"/>
      <c r="F192" s="2"/>
      <c r="G192" s="2" t="str">
        <f t="shared" si="1"/>
        <v/>
      </c>
      <c r="H192" s="45" t="str">
        <f t="shared" si="2"/>
        <v/>
      </c>
      <c r="I192" s="18" t="str">
        <f t="shared" si="3"/>
        <v/>
      </c>
      <c r="J192" s="18" t="str">
        <f t="shared" si="4"/>
        <v/>
      </c>
      <c r="K192" s="18" t="str">
        <f t="shared" si="5"/>
        <v/>
      </c>
      <c r="L192" s="46" t="str">
        <f t="shared" si="6"/>
        <v/>
      </c>
      <c r="M192" s="18" t="str">
        <f t="shared" si="7"/>
        <v/>
      </c>
      <c r="N192" s="9" t="str">
        <f t="shared" si="8"/>
        <v/>
      </c>
      <c r="O192" s="46" t="str">
        <f t="shared" si="9"/>
        <v/>
      </c>
      <c r="P192" s="18" t="str">
        <f t="shared" si="10"/>
        <v/>
      </c>
      <c r="Q192" s="2"/>
      <c r="R192" s="2"/>
      <c r="S192" s="2"/>
      <c r="T192" s="2"/>
      <c r="U192" s="2"/>
      <c r="V192" s="2"/>
      <c r="W192" s="2"/>
      <c r="X192" s="9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>
      <c r="A193" s="2"/>
      <c r="B193" s="2"/>
      <c r="C193" s="2"/>
      <c r="D193" s="2"/>
      <c r="E193" s="2"/>
      <c r="F193" s="2"/>
      <c r="G193" s="2" t="str">
        <f t="shared" si="1"/>
        <v/>
      </c>
      <c r="H193" s="45" t="str">
        <f t="shared" si="2"/>
        <v/>
      </c>
      <c r="I193" s="18" t="str">
        <f t="shared" si="3"/>
        <v/>
      </c>
      <c r="J193" s="18" t="str">
        <f t="shared" si="4"/>
        <v/>
      </c>
      <c r="K193" s="18" t="str">
        <f t="shared" si="5"/>
        <v/>
      </c>
      <c r="L193" s="46" t="str">
        <f t="shared" si="6"/>
        <v/>
      </c>
      <c r="M193" s="18" t="str">
        <f t="shared" si="7"/>
        <v/>
      </c>
      <c r="N193" s="9" t="str">
        <f t="shared" si="8"/>
        <v/>
      </c>
      <c r="O193" s="46" t="str">
        <f t="shared" si="9"/>
        <v/>
      </c>
      <c r="P193" s="18" t="str">
        <f t="shared" si="10"/>
        <v/>
      </c>
      <c r="Q193" s="2"/>
      <c r="R193" s="2"/>
      <c r="S193" s="2"/>
      <c r="T193" s="2"/>
      <c r="U193" s="2"/>
      <c r="V193" s="2"/>
      <c r="W193" s="2"/>
      <c r="X193" s="9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>
      <c r="A194" s="2"/>
      <c r="B194" s="2"/>
      <c r="C194" s="2"/>
      <c r="D194" s="2"/>
      <c r="E194" s="2"/>
      <c r="F194" s="2"/>
      <c r="G194" s="2" t="str">
        <f t="shared" si="1"/>
        <v/>
      </c>
      <c r="H194" s="45" t="str">
        <f t="shared" si="2"/>
        <v/>
      </c>
      <c r="I194" s="18" t="str">
        <f t="shared" si="3"/>
        <v/>
      </c>
      <c r="J194" s="18" t="str">
        <f t="shared" si="4"/>
        <v/>
      </c>
      <c r="K194" s="18" t="str">
        <f t="shared" si="5"/>
        <v/>
      </c>
      <c r="L194" s="46" t="str">
        <f t="shared" si="6"/>
        <v/>
      </c>
      <c r="M194" s="18" t="str">
        <f t="shared" si="7"/>
        <v/>
      </c>
      <c r="N194" s="9" t="str">
        <f t="shared" si="8"/>
        <v/>
      </c>
      <c r="O194" s="46" t="str">
        <f t="shared" si="9"/>
        <v/>
      </c>
      <c r="P194" s="18" t="str">
        <f t="shared" si="10"/>
        <v/>
      </c>
      <c r="Q194" s="2"/>
      <c r="R194" s="2"/>
      <c r="S194" s="2"/>
      <c r="T194" s="2"/>
      <c r="U194" s="2"/>
      <c r="V194" s="2"/>
      <c r="W194" s="2"/>
      <c r="X194" s="9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>
      <c r="A195" s="2"/>
      <c r="B195" s="2"/>
      <c r="C195" s="2"/>
      <c r="D195" s="2"/>
      <c r="E195" s="2"/>
      <c r="F195" s="2"/>
      <c r="G195" s="2" t="str">
        <f t="shared" si="1"/>
        <v/>
      </c>
      <c r="H195" s="45" t="str">
        <f t="shared" si="2"/>
        <v/>
      </c>
      <c r="I195" s="18" t="str">
        <f t="shared" si="3"/>
        <v/>
      </c>
      <c r="J195" s="18" t="str">
        <f t="shared" si="4"/>
        <v/>
      </c>
      <c r="K195" s="18" t="str">
        <f t="shared" si="5"/>
        <v/>
      </c>
      <c r="L195" s="46" t="str">
        <f t="shared" si="6"/>
        <v/>
      </c>
      <c r="M195" s="18" t="str">
        <f t="shared" si="7"/>
        <v/>
      </c>
      <c r="N195" s="9" t="str">
        <f t="shared" si="8"/>
        <v/>
      </c>
      <c r="O195" s="46" t="str">
        <f t="shared" si="9"/>
        <v/>
      </c>
      <c r="P195" s="18" t="str">
        <f t="shared" si="10"/>
        <v/>
      </c>
      <c r="Q195" s="2"/>
      <c r="R195" s="2"/>
      <c r="S195" s="2"/>
      <c r="T195" s="2"/>
      <c r="U195" s="2"/>
      <c r="V195" s="2"/>
      <c r="W195" s="2"/>
      <c r="X195" s="9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</sheetData>
  <dataValidations>
    <dataValidation type="decimal" operator="greaterThan" allowBlank="1" showDropDown="1" showErrorMessage="1" sqref="B3">
      <formula1>0.0</formula1>
    </dataValidation>
    <dataValidation type="list" allowBlank="1" showErrorMessage="1" sqref="B7">
      <formula1>"Bi-Weekly,Semi-Monthly,Monthly"</formula1>
    </dataValidation>
    <dataValidation type="custom" allowBlank="1" showDropDown="1" showInputMessage="1" showErrorMessage="1" prompt="Enter a whole number between 1 and 30" sqref="B6">
      <formula1>AND(INT(B6)=B6,B6&gt;0,B6&lt;31)</formula1>
    </dataValidation>
  </dataValidations>
  <drawing r:id="rId1"/>
</worksheet>
</file>