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ctice with APR" sheetId="1" r:id="rId4"/>
    <sheet state="visible" name="Your friend, the payday loan sh" sheetId="2" r:id="rId5"/>
    <sheet state="visible" name="Calculating APR on the schedule" sheetId="3" r:id="rId6"/>
    <sheet state="visible" name="Manually calculating interest a" sheetId="4" r:id="rId7"/>
    <sheet state="visible" name="Modifying closing balances for " sheetId="5" r:id="rId8"/>
    <sheet state="visible" name="Hiding unused rows review" sheetId="6" r:id="rId9"/>
    <sheet state="visible" name="Fixing the payment function" sheetId="7" r:id="rId10"/>
    <sheet state="visible" name="Impact of rising interest rates" sheetId="8" r:id="rId11"/>
    <sheet state="visible" name="Longer-term loans and negative " sheetId="9" r:id="rId12"/>
    <sheet state="visible" name="Maximum annual rate" sheetId="10" r:id="rId13"/>
    <sheet state="visible" name="Max interest rate with APR" sheetId="11" r:id="rId14"/>
  </sheets>
  <definedNames/>
  <calcPr/>
</workbook>
</file>

<file path=xl/sharedStrings.xml><?xml version="1.0" encoding="utf-8"?>
<sst xmlns="http://schemas.openxmlformats.org/spreadsheetml/2006/main" count="236" uniqueCount="44">
  <si>
    <t>Practice with calculating APR</t>
  </si>
  <si>
    <t>Principal</t>
  </si>
  <si>
    <t>Amortization Years</t>
  </si>
  <si>
    <t>Annual Rate</t>
  </si>
  <si>
    <t>Payments / Year</t>
  </si>
  <si>
    <t>Payment</t>
  </si>
  <si>
    <t>Points</t>
  </si>
  <si>
    <t>Fee</t>
  </si>
  <si>
    <t>APR</t>
  </si>
  <si>
    <t>APR Calculation</t>
  </si>
  <si>
    <t>Principal Balance</t>
  </si>
  <si>
    <t>Add: Amortized Fees</t>
  </si>
  <si>
    <t>Adjusted Principal</t>
  </si>
  <si>
    <t>Adjusted Payment</t>
  </si>
  <si>
    <t>The Payday Loan Shark</t>
  </si>
  <si>
    <t>Repayment</t>
  </si>
  <si>
    <t>Cost of Loan</t>
  </si>
  <si>
    <t>Nominal Percentage on Loan</t>
  </si>
  <si>
    <t>Length of Loan (in days)</t>
  </si>
  <si>
    <t>Annualization Factor</t>
  </si>
  <si>
    <t>Amortization Dashboard</t>
  </si>
  <si>
    <t>Asset Value</t>
  </si>
  <si>
    <t>Amortized Fees</t>
  </si>
  <si>
    <t>Annual Interest Rate</t>
  </si>
  <si>
    <t>Loan Years</t>
  </si>
  <si>
    <t>Payment Frequency</t>
  </si>
  <si>
    <t>Monthly</t>
  </si>
  <si>
    <t># of Amortization Periods</t>
  </si>
  <si>
    <t># of Loan Periods</t>
  </si>
  <si>
    <t>Loan Date</t>
  </si>
  <si>
    <t>Cumulative Interest Paid</t>
  </si>
  <si>
    <t>Period</t>
  </si>
  <si>
    <t>Date</t>
  </si>
  <si>
    <t>Opening Balance</t>
  </si>
  <si>
    <t>Lump Sum</t>
  </si>
  <si>
    <t>Interest</t>
  </si>
  <si>
    <t>Closing Balance</t>
  </si>
  <si>
    <t>Interest Rate</t>
  </si>
  <si>
    <t>Annual</t>
  </si>
  <si>
    <t>Maximum Rate</t>
  </si>
  <si>
    <t>Maximum Periodic Rate</t>
  </si>
  <si>
    <t>Maximum Annual Rate</t>
  </si>
  <si>
    <t>Maximum Interest Rate</t>
  </si>
  <si>
    <t>Maximum Annual Interest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</si>
</sst>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&quot;$&quot;#,##0"/>
    <numFmt numFmtId="166" formatCode="m/d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  <xf borderId="0" fillId="2" fontId="2" numFmtId="164" xfId="0" applyAlignment="1" applyFill="1" applyFont="1" applyNumberFormat="1">
      <alignment horizontal="right" vertical="bottom"/>
    </xf>
    <xf borderId="0" fillId="2" fontId="2" numFmtId="164" xfId="0" applyAlignment="1" applyFont="1" applyNumberFormat="1">
      <alignment horizontal="right" vertical="bottom"/>
    </xf>
    <xf borderId="0" fillId="2" fontId="2" numFmtId="10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2" fontId="2" numFmtId="164" xfId="0" applyAlignment="1" applyFont="1" applyNumberFormat="1">
      <alignment vertical="bottom"/>
    </xf>
    <xf borderId="0" fillId="2" fontId="2" numFmtId="10" xfId="0" applyAlignment="1" applyFont="1" applyNumberFormat="1">
      <alignment vertical="bottom"/>
    </xf>
    <xf borderId="0" fillId="2" fontId="2" numFmtId="0" xfId="0" applyAlignment="1" applyFont="1">
      <alignment vertical="bottom"/>
    </xf>
    <xf borderId="0" fillId="2" fontId="2" numFmtId="10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  <xf borderId="0" fillId="0" fontId="2" numFmtId="166" xfId="0" applyAlignment="1" applyFont="1" applyNumberFormat="1">
      <alignment vertical="bottom"/>
    </xf>
    <xf borderId="0" fillId="2" fontId="2" numFmtId="165" xfId="0" applyAlignment="1" applyFont="1" applyNumberForma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4" xfId="0" applyAlignment="1" applyFont="1" applyNumberFormat="1">
      <alignment vertical="bottom"/>
    </xf>
    <xf borderId="0" fillId="2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4" xfId="0" applyAlignment="1" applyFont="1" applyNumberFormat="1">
      <alignment horizontal="right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2" numFmtId="164" xfId="0" applyAlignment="1" applyFont="1" applyNumberForma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2" numFmtId="14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2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2" t="s">
        <v>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>
        <v>200000.0</v>
      </c>
      <c r="B4" s="3">
        <v>15.0</v>
      </c>
      <c r="C4" s="6">
        <v>0.0725</v>
      </c>
      <c r="D4" s="4">
        <v>12.0</v>
      </c>
      <c r="E4" s="7">
        <f t="shared" ref="E4:E8" si="1">-PMT(C4/D4,B4*D4,A4+G4)</f>
        <v>1853.111648</v>
      </c>
      <c r="F4" s="4">
        <v>150.0</v>
      </c>
      <c r="G4" s="8">
        <f t="shared" ref="G4:G8" si="2">A4*F4/10000</f>
        <v>3000</v>
      </c>
      <c r="H4" s="9">
        <f t="shared" ref="H4:H8" si="3">RATE(B4*D4,-E4,A4)*D4</f>
        <v>0.07491965096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>
        <v>1000000.0</v>
      </c>
      <c r="B5" s="3">
        <v>30.0</v>
      </c>
      <c r="C5" s="6">
        <v>0.06</v>
      </c>
      <c r="D5" s="4">
        <v>26.0</v>
      </c>
      <c r="E5" s="7">
        <f t="shared" si="1"/>
        <v>2821.146603</v>
      </c>
      <c r="F5" s="4">
        <v>200.0</v>
      </c>
      <c r="G5" s="8">
        <f t="shared" si="2"/>
        <v>20000</v>
      </c>
      <c r="H5" s="9">
        <f t="shared" si="3"/>
        <v>0.0618567843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>
        <v>550000.0</v>
      </c>
      <c r="B6" s="3">
        <v>10.0</v>
      </c>
      <c r="C6" s="6">
        <v>0.0725</v>
      </c>
      <c r="D6" s="4">
        <v>24.0</v>
      </c>
      <c r="E6" s="7">
        <f t="shared" si="1"/>
        <v>3273.597601</v>
      </c>
      <c r="F6" s="4">
        <v>150.0</v>
      </c>
      <c r="G6" s="8">
        <f t="shared" si="2"/>
        <v>8250</v>
      </c>
      <c r="H6" s="9">
        <f t="shared" si="3"/>
        <v>0.07588723502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>
        <v>200000.0</v>
      </c>
      <c r="B7" s="3">
        <v>25.0</v>
      </c>
      <c r="C7" s="6">
        <v>0.08</v>
      </c>
      <c r="D7" s="4">
        <v>12.0</v>
      </c>
      <c r="E7" s="7">
        <f t="shared" si="1"/>
        <v>1570.646006</v>
      </c>
      <c r="F7" s="4">
        <v>175.0</v>
      </c>
      <c r="G7" s="8">
        <f t="shared" si="2"/>
        <v>3500</v>
      </c>
      <c r="H7" s="9">
        <f t="shared" si="3"/>
        <v>0.08203165861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>
        <v>825000.0</v>
      </c>
      <c r="B8" s="3">
        <v>30.0</v>
      </c>
      <c r="C8" s="6">
        <v>0.0325</v>
      </c>
      <c r="D8" s="4">
        <v>26.0</v>
      </c>
      <c r="E8" s="7">
        <f t="shared" si="1"/>
        <v>1701.970705</v>
      </c>
      <c r="F8" s="4">
        <v>275.0</v>
      </c>
      <c r="G8" s="8">
        <f t="shared" si="2"/>
        <v>22687.5</v>
      </c>
      <c r="H8" s="9">
        <f t="shared" si="3"/>
        <v>0.03466552233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0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10</v>
      </c>
      <c r="B20" s="11" t="str">
        <f>B3</f>
        <v>Amortization Years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11</v>
      </c>
      <c r="B21" s="12">
        <f>B5</f>
        <v>30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12</v>
      </c>
      <c r="B23" s="12">
        <f>SUM(B20:B21)</f>
        <v>30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13</v>
      </c>
      <c r="B24" s="12" t="str">
        <f>-PMT(B6/12,B12,B23)</f>
        <v>#NUM!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8</v>
      </c>
      <c r="B25" s="13" t="str">
        <f>RATE(B12,-B24,B20)*12</f>
        <v>#NUM!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0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5">
        <v>500.0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15</v>
      </c>
      <c r="B4" s="15">
        <v>550.0</v>
      </c>
      <c r="C4" s="13"/>
      <c r="D4" s="2"/>
      <c r="E4" s="2"/>
      <c r="F4" s="2"/>
      <c r="G4" s="2"/>
      <c r="H4" s="1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16</v>
      </c>
      <c r="B5" s="15">
        <f>B4-B3</f>
        <v>50</v>
      </c>
      <c r="C5" s="13"/>
      <c r="D5" s="2"/>
      <c r="E5" s="2"/>
      <c r="F5" s="2"/>
      <c r="G5" s="2"/>
      <c r="H5" s="1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17</v>
      </c>
      <c r="B6" s="16">
        <f>B5/B3</f>
        <v>0.1</v>
      </c>
      <c r="C6" s="13"/>
      <c r="D6" s="2"/>
      <c r="E6" s="2"/>
      <c r="F6" s="2"/>
      <c r="G6" s="2"/>
      <c r="H6" s="1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/>
      <c r="C7" s="13"/>
      <c r="D7" s="2"/>
      <c r="E7" s="2"/>
      <c r="F7" s="2"/>
      <c r="G7" s="2"/>
      <c r="H7" s="1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18</v>
      </c>
      <c r="B8" s="17">
        <v>30.0</v>
      </c>
      <c r="C8" s="13"/>
      <c r="D8" s="2"/>
      <c r="E8" s="2"/>
      <c r="F8" s="2"/>
      <c r="G8" s="2"/>
      <c r="H8" s="1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19</v>
      </c>
      <c r="B9" s="2">
        <f>365/B8</f>
        <v>12.16666667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8</v>
      </c>
      <c r="B11" s="18">
        <f>B9*B6</f>
        <v>1.216666667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0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12</v>
      </c>
      <c r="B23" s="12">
        <f>SUM(B20:B21)</f>
        <v>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13</v>
      </c>
      <c r="B24" s="12" t="str">
        <f>-PMT(B6/12,B12,B23)</f>
        <v>#NUM!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8</v>
      </c>
      <c r="B25" s="13" t="str">
        <f>RATE(B12,-B24,B20)*12</f>
        <v>#NUM!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0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19">
        <v>700000.0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21</v>
      </c>
      <c r="B4" s="19">
        <v>1000000.0</v>
      </c>
      <c r="C4" s="13"/>
      <c r="D4" s="2"/>
      <c r="E4" s="2"/>
      <c r="F4" s="2"/>
      <c r="G4" s="2"/>
      <c r="H4" s="1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22</v>
      </c>
      <c r="B5" s="19">
        <v>7000.0</v>
      </c>
      <c r="C5" s="13"/>
      <c r="D5" s="2"/>
      <c r="E5" s="2"/>
      <c r="F5" s="2"/>
      <c r="G5" s="2"/>
      <c r="H5" s="1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23</v>
      </c>
      <c r="B6" s="20">
        <v>0.065</v>
      </c>
      <c r="C6" s="13"/>
      <c r="D6" s="2"/>
      <c r="E6" s="2"/>
      <c r="F6" s="2"/>
      <c r="G6" s="2"/>
      <c r="H6" s="1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/>
      <c r="C7" s="13"/>
      <c r="D7" s="2"/>
      <c r="E7" s="2"/>
      <c r="F7" s="2"/>
      <c r="G7" s="2"/>
      <c r="H7" s="1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3"/>
      <c r="C8" s="13"/>
      <c r="D8" s="2"/>
      <c r="E8" s="2"/>
      <c r="F8" s="2"/>
      <c r="G8" s="2"/>
      <c r="H8" s="1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24</v>
      </c>
      <c r="B9" s="2">
        <v>15.0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</v>
      </c>
      <c r="B10" s="2">
        <v>30.0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25</v>
      </c>
      <c r="B11" s="13" t="s">
        <v>26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27</v>
      </c>
      <c r="B12" s="2">
        <f>B10*12</f>
        <v>360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28</v>
      </c>
      <c r="B13" s="2">
        <f>B9*12</f>
        <v>180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29</v>
      </c>
      <c r="B14" s="21">
        <v>43465.0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30</v>
      </c>
      <c r="B16" s="10">
        <f>-CUMIPMT(B6/12,B13,B3,1,B13,0)</f>
        <v>397595.2803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10</v>
      </c>
      <c r="B20" s="22">
        <f>B3</f>
        <v>700000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11</v>
      </c>
      <c r="B21" s="22">
        <f>B5</f>
        <v>7000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12</v>
      </c>
      <c r="B23" s="12">
        <f>SUM(B20:B21)</f>
        <v>707000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13</v>
      </c>
      <c r="B24" s="22">
        <f>-PMT(B6/12,B12,B23)</f>
        <v>4468.720926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8</v>
      </c>
      <c r="B25" s="18">
        <f>RATE(B12,-B24,B20)*12</f>
        <v>0.06595910116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0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19">
        <v>5000.0</v>
      </c>
      <c r="C3" s="2"/>
      <c r="D3" s="4" t="s">
        <v>31</v>
      </c>
      <c r="E3" s="4" t="s">
        <v>32</v>
      </c>
      <c r="F3" s="4" t="s">
        <v>33</v>
      </c>
      <c r="G3" s="4" t="s">
        <v>5</v>
      </c>
      <c r="H3" s="2" t="s">
        <v>34</v>
      </c>
      <c r="I3" s="2" t="s">
        <v>35</v>
      </c>
      <c r="J3" s="2" t="s">
        <v>1</v>
      </c>
      <c r="K3" s="23" t="s">
        <v>36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21</v>
      </c>
      <c r="B4" s="19">
        <v>10000.0</v>
      </c>
      <c r="C4" s="2"/>
      <c r="D4" s="4">
        <v>0.0</v>
      </c>
      <c r="E4" s="21">
        <f>B14</f>
        <v>43281</v>
      </c>
      <c r="F4" s="24">
        <v>0.0</v>
      </c>
      <c r="G4" s="24">
        <v>0.0</v>
      </c>
      <c r="H4" s="10"/>
      <c r="I4" s="25">
        <v>0.0</v>
      </c>
      <c r="J4" s="25">
        <v>0.0</v>
      </c>
      <c r="K4" s="25">
        <f>B3</f>
        <v>5000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22</v>
      </c>
      <c r="B5" s="19">
        <v>100.0</v>
      </c>
      <c r="C5" s="2"/>
      <c r="D5" s="4">
        <v>1.0</v>
      </c>
      <c r="E5" s="26">
        <f t="shared" ref="E5:E28" si="1">EOMONTH($B$14,D5)</f>
        <v>43312</v>
      </c>
      <c r="F5" s="24">
        <f t="shared" ref="F5:F28" si="2">K4</f>
        <v>5000</v>
      </c>
      <c r="G5" s="24">
        <f t="shared" ref="G5:G28" si="3">-PMT($B$25/12,$B$12,$B$3)</f>
        <v>223.7440876</v>
      </c>
      <c r="H5" s="10"/>
      <c r="I5" s="27">
        <f t="shared" ref="I5:I28" si="4">F5*$B$25/12</f>
        <v>28.94823908</v>
      </c>
      <c r="J5" s="27">
        <f t="shared" ref="J5:J28" si="5">G5-I5</f>
        <v>194.7958486</v>
      </c>
      <c r="K5" s="25">
        <f t="shared" ref="K5:K28" si="6">F5-J5</f>
        <v>4805.204151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23</v>
      </c>
      <c r="B6" s="20">
        <v>0.05</v>
      </c>
      <c r="C6" s="2"/>
      <c r="D6" s="4">
        <v>2.0</v>
      </c>
      <c r="E6" s="26">
        <f t="shared" si="1"/>
        <v>43343</v>
      </c>
      <c r="F6" s="24">
        <f t="shared" si="2"/>
        <v>4805.204151</v>
      </c>
      <c r="G6" s="24">
        <f t="shared" si="3"/>
        <v>223.7440876</v>
      </c>
      <c r="H6" s="10"/>
      <c r="I6" s="27">
        <f t="shared" si="4"/>
        <v>27.82043972</v>
      </c>
      <c r="J6" s="27">
        <f t="shared" si="5"/>
        <v>195.9236479</v>
      </c>
      <c r="K6" s="25">
        <f t="shared" si="6"/>
        <v>4609.280504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4">
        <v>3.0</v>
      </c>
      <c r="E7" s="26">
        <f t="shared" si="1"/>
        <v>43373</v>
      </c>
      <c r="F7" s="24">
        <f t="shared" si="2"/>
        <v>4609.280504</v>
      </c>
      <c r="G7" s="24">
        <f t="shared" si="3"/>
        <v>223.7440876</v>
      </c>
      <c r="H7" s="10"/>
      <c r="I7" s="27">
        <f t="shared" si="4"/>
        <v>26.6861108</v>
      </c>
      <c r="J7" s="27">
        <f t="shared" si="5"/>
        <v>197.0579768</v>
      </c>
      <c r="K7" s="25">
        <f t="shared" si="6"/>
        <v>4412.222527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4">
        <v>4.0</v>
      </c>
      <c r="E8" s="26">
        <f t="shared" si="1"/>
        <v>43404</v>
      </c>
      <c r="F8" s="24">
        <f t="shared" si="2"/>
        <v>4412.222527</v>
      </c>
      <c r="G8" s="24">
        <f t="shared" si="3"/>
        <v>223.7440876</v>
      </c>
      <c r="H8" s="10"/>
      <c r="I8" s="27">
        <f t="shared" si="4"/>
        <v>25.54521451</v>
      </c>
      <c r="J8" s="27">
        <f t="shared" si="5"/>
        <v>198.1988731</v>
      </c>
      <c r="K8" s="25">
        <f t="shared" si="6"/>
        <v>4214.023654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24</v>
      </c>
      <c r="B9" s="2">
        <v>2.0</v>
      </c>
      <c r="C9" s="2"/>
      <c r="D9" s="28">
        <v>5.0</v>
      </c>
      <c r="E9" s="29">
        <f t="shared" si="1"/>
        <v>43434</v>
      </c>
      <c r="F9" s="25">
        <f t="shared" si="2"/>
        <v>4214.023654</v>
      </c>
      <c r="G9" s="25">
        <f t="shared" si="3"/>
        <v>223.7440876</v>
      </c>
      <c r="H9" s="10"/>
      <c r="I9" s="27">
        <f t="shared" si="4"/>
        <v>24.39771284</v>
      </c>
      <c r="J9" s="27">
        <f t="shared" si="5"/>
        <v>199.3463748</v>
      </c>
      <c r="K9" s="25">
        <f t="shared" si="6"/>
        <v>4014.677279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</v>
      </c>
      <c r="B10" s="2">
        <v>2.0</v>
      </c>
      <c r="C10" s="2"/>
      <c r="D10" s="28">
        <v>6.0</v>
      </c>
      <c r="E10" s="29">
        <f t="shared" si="1"/>
        <v>43465</v>
      </c>
      <c r="F10" s="25">
        <f t="shared" si="2"/>
        <v>4014.677279</v>
      </c>
      <c r="G10" s="25">
        <f t="shared" si="3"/>
        <v>223.7440876</v>
      </c>
      <c r="H10" s="10"/>
      <c r="I10" s="27">
        <f t="shared" si="4"/>
        <v>23.24356754</v>
      </c>
      <c r="J10" s="27">
        <f t="shared" si="5"/>
        <v>200.5005201</v>
      </c>
      <c r="K10" s="25">
        <f t="shared" si="6"/>
        <v>3814.176759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25</v>
      </c>
      <c r="B11" s="13" t="s">
        <v>26</v>
      </c>
      <c r="C11" s="2"/>
      <c r="D11" s="28">
        <v>7.0</v>
      </c>
      <c r="E11" s="29">
        <f t="shared" si="1"/>
        <v>43496</v>
      </c>
      <c r="F11" s="25">
        <f t="shared" si="2"/>
        <v>3814.176759</v>
      </c>
      <c r="G11" s="25">
        <f t="shared" si="3"/>
        <v>223.7440876</v>
      </c>
      <c r="H11" s="10"/>
      <c r="I11" s="27">
        <f t="shared" si="4"/>
        <v>22.08274014</v>
      </c>
      <c r="J11" s="27">
        <f t="shared" si="5"/>
        <v>201.6613475</v>
      </c>
      <c r="K11" s="25">
        <f t="shared" si="6"/>
        <v>3612.515411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27</v>
      </c>
      <c r="B12" s="2">
        <f>B10*12</f>
        <v>24</v>
      </c>
      <c r="C12" s="2"/>
      <c r="D12" s="28">
        <v>8.0</v>
      </c>
      <c r="E12" s="29">
        <f t="shared" si="1"/>
        <v>43524</v>
      </c>
      <c r="F12" s="25">
        <f t="shared" si="2"/>
        <v>3612.515411</v>
      </c>
      <c r="G12" s="25">
        <f t="shared" si="3"/>
        <v>223.7440876</v>
      </c>
      <c r="H12" s="10"/>
      <c r="I12" s="27">
        <f t="shared" si="4"/>
        <v>20.91519196</v>
      </c>
      <c r="J12" s="27">
        <f t="shared" si="5"/>
        <v>202.8288957</v>
      </c>
      <c r="K12" s="25">
        <f t="shared" si="6"/>
        <v>3409.686515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28</v>
      </c>
      <c r="B13" s="2">
        <f>B9*12</f>
        <v>24</v>
      </c>
      <c r="C13" s="2"/>
      <c r="D13" s="28">
        <v>9.0</v>
      </c>
      <c r="E13" s="29">
        <f t="shared" si="1"/>
        <v>43555</v>
      </c>
      <c r="F13" s="25">
        <f t="shared" si="2"/>
        <v>3409.686515</v>
      </c>
      <c r="G13" s="25">
        <f t="shared" si="3"/>
        <v>223.7440876</v>
      </c>
      <c r="H13" s="10"/>
      <c r="I13" s="27">
        <f t="shared" si="4"/>
        <v>19.74088409</v>
      </c>
      <c r="J13" s="27">
        <f t="shared" si="5"/>
        <v>204.0032035</v>
      </c>
      <c r="K13" s="25">
        <f t="shared" si="6"/>
        <v>3205.683312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29</v>
      </c>
      <c r="B14" s="21">
        <v>43281.0</v>
      </c>
      <c r="C14" s="2"/>
      <c r="D14" s="28">
        <v>10.0</v>
      </c>
      <c r="E14" s="29">
        <f t="shared" si="1"/>
        <v>43585</v>
      </c>
      <c r="F14" s="25">
        <f t="shared" si="2"/>
        <v>3205.683312</v>
      </c>
      <c r="G14" s="25">
        <f t="shared" si="3"/>
        <v>223.7440876</v>
      </c>
      <c r="H14" s="10"/>
      <c r="I14" s="27">
        <f t="shared" si="4"/>
        <v>18.55977738</v>
      </c>
      <c r="J14" s="27">
        <f t="shared" si="5"/>
        <v>205.1843103</v>
      </c>
      <c r="K14" s="25">
        <f t="shared" si="6"/>
        <v>3000.499002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8">
        <v>11.0</v>
      </c>
      <c r="E15" s="29">
        <f t="shared" si="1"/>
        <v>43616</v>
      </c>
      <c r="F15" s="25">
        <f t="shared" si="2"/>
        <v>3000.499002</v>
      </c>
      <c r="G15" s="25">
        <f t="shared" si="3"/>
        <v>223.7440876</v>
      </c>
      <c r="H15" s="10"/>
      <c r="I15" s="27">
        <f t="shared" si="4"/>
        <v>17.37183249</v>
      </c>
      <c r="J15" s="27">
        <f t="shared" si="5"/>
        <v>206.3722551</v>
      </c>
      <c r="K15" s="25">
        <f t="shared" si="6"/>
        <v>2794.126747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30</v>
      </c>
      <c r="B16" s="10">
        <f>-CUMIPMT(B6/12,B13,B3,1,B13,0)</f>
        <v>264.5667681</v>
      </c>
      <c r="C16" s="2"/>
      <c r="D16" s="28">
        <v>12.0</v>
      </c>
      <c r="E16" s="29">
        <f t="shared" si="1"/>
        <v>43646</v>
      </c>
      <c r="F16" s="25">
        <f t="shared" si="2"/>
        <v>2794.126747</v>
      </c>
      <c r="G16" s="25">
        <f t="shared" si="3"/>
        <v>223.7440876</v>
      </c>
      <c r="H16" s="10"/>
      <c r="I16" s="27">
        <f t="shared" si="4"/>
        <v>16.17700982</v>
      </c>
      <c r="J16" s="27">
        <f t="shared" si="5"/>
        <v>207.5670778</v>
      </c>
      <c r="K16" s="25">
        <f t="shared" si="6"/>
        <v>2586.559669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8">
        <v>13.0</v>
      </c>
      <c r="E17" s="29">
        <f t="shared" si="1"/>
        <v>43677</v>
      </c>
      <c r="F17" s="25">
        <f t="shared" si="2"/>
        <v>2586.559669</v>
      </c>
      <c r="G17" s="25">
        <f t="shared" si="3"/>
        <v>223.7440876</v>
      </c>
      <c r="H17" s="10"/>
      <c r="I17" s="27">
        <f t="shared" si="4"/>
        <v>14.97526954</v>
      </c>
      <c r="J17" s="27">
        <f t="shared" si="5"/>
        <v>208.7688181</v>
      </c>
      <c r="K17" s="25">
        <f t="shared" si="6"/>
        <v>2377.790851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8">
        <v>14.0</v>
      </c>
      <c r="E18" s="29">
        <f t="shared" si="1"/>
        <v>43708</v>
      </c>
      <c r="F18" s="25">
        <f t="shared" si="2"/>
        <v>2377.790851</v>
      </c>
      <c r="G18" s="25">
        <f t="shared" si="3"/>
        <v>223.7440876</v>
      </c>
      <c r="H18" s="10"/>
      <c r="I18" s="27">
        <f t="shared" si="4"/>
        <v>13.7665716</v>
      </c>
      <c r="J18" s="27">
        <f t="shared" si="5"/>
        <v>209.977516</v>
      </c>
      <c r="K18" s="25">
        <f t="shared" si="6"/>
        <v>2167.813335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9</v>
      </c>
      <c r="B19" s="2"/>
      <c r="C19" s="2"/>
      <c r="D19" s="28">
        <v>15.0</v>
      </c>
      <c r="E19" s="29">
        <f t="shared" si="1"/>
        <v>43738</v>
      </c>
      <c r="F19" s="25">
        <f t="shared" si="2"/>
        <v>2167.813335</v>
      </c>
      <c r="G19" s="25">
        <f t="shared" si="3"/>
        <v>223.7440876</v>
      </c>
      <c r="H19" s="10"/>
      <c r="I19" s="27">
        <f t="shared" si="4"/>
        <v>12.55087574</v>
      </c>
      <c r="J19" s="27">
        <f t="shared" si="5"/>
        <v>211.1932119</v>
      </c>
      <c r="K19" s="25">
        <f t="shared" si="6"/>
        <v>1956.620123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10</v>
      </c>
      <c r="B20" s="12">
        <f>B3</f>
        <v>5000</v>
      </c>
      <c r="C20" s="2"/>
      <c r="D20" s="28">
        <v>16.0</v>
      </c>
      <c r="E20" s="29">
        <f t="shared" si="1"/>
        <v>43769</v>
      </c>
      <c r="F20" s="25">
        <f t="shared" si="2"/>
        <v>1956.620123</v>
      </c>
      <c r="G20" s="25">
        <f t="shared" si="3"/>
        <v>223.7440876</v>
      </c>
      <c r="H20" s="10"/>
      <c r="I20" s="27">
        <f t="shared" si="4"/>
        <v>11.32814142</v>
      </c>
      <c r="J20" s="27">
        <f t="shared" si="5"/>
        <v>212.4159462</v>
      </c>
      <c r="K20" s="25">
        <f t="shared" si="6"/>
        <v>1744.204176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11</v>
      </c>
      <c r="B21" s="12">
        <f>B5</f>
        <v>100</v>
      </c>
      <c r="C21" s="2"/>
      <c r="D21" s="28">
        <v>17.0</v>
      </c>
      <c r="E21" s="29">
        <f t="shared" si="1"/>
        <v>43799</v>
      </c>
      <c r="F21" s="25">
        <f t="shared" si="2"/>
        <v>1744.204176</v>
      </c>
      <c r="G21" s="25">
        <f t="shared" si="3"/>
        <v>223.7440876</v>
      </c>
      <c r="H21" s="10"/>
      <c r="I21" s="27">
        <f t="shared" si="4"/>
        <v>10.0983279</v>
      </c>
      <c r="J21" s="27">
        <f t="shared" si="5"/>
        <v>213.6457597</v>
      </c>
      <c r="K21" s="25">
        <f t="shared" si="6"/>
        <v>1530.558417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8">
        <v>18.0</v>
      </c>
      <c r="E22" s="29">
        <f t="shared" si="1"/>
        <v>43830</v>
      </c>
      <c r="F22" s="25">
        <f t="shared" si="2"/>
        <v>1530.558417</v>
      </c>
      <c r="G22" s="25">
        <f t="shared" si="3"/>
        <v>223.7440876</v>
      </c>
      <c r="H22" s="10"/>
      <c r="I22" s="27">
        <f t="shared" si="4"/>
        <v>8.861394194</v>
      </c>
      <c r="J22" s="27">
        <f t="shared" si="5"/>
        <v>214.8826934</v>
      </c>
      <c r="K22" s="25">
        <f t="shared" si="6"/>
        <v>1315.675723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12</v>
      </c>
      <c r="B23" s="12">
        <f>SUM(B20:B21)</f>
        <v>5100</v>
      </c>
      <c r="C23" s="2"/>
      <c r="D23" s="28">
        <v>19.0</v>
      </c>
      <c r="E23" s="29">
        <f t="shared" si="1"/>
        <v>43861</v>
      </c>
      <c r="F23" s="25">
        <f t="shared" si="2"/>
        <v>1315.675723</v>
      </c>
      <c r="G23" s="25">
        <f t="shared" si="3"/>
        <v>223.7440876</v>
      </c>
      <c r="H23" s="10"/>
      <c r="I23" s="27">
        <f t="shared" si="4"/>
        <v>7.617299078</v>
      </c>
      <c r="J23" s="27">
        <f t="shared" si="5"/>
        <v>216.1267886</v>
      </c>
      <c r="K23" s="25">
        <f t="shared" si="6"/>
        <v>1099.548935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13</v>
      </c>
      <c r="B24" s="12">
        <f>-PMT(B6/12,B12,B23)</f>
        <v>223.7440876</v>
      </c>
      <c r="C24" s="2"/>
      <c r="D24" s="28">
        <v>20.0</v>
      </c>
      <c r="E24" s="29">
        <f t="shared" si="1"/>
        <v>43890</v>
      </c>
      <c r="F24" s="25">
        <f t="shared" si="2"/>
        <v>1099.548935</v>
      </c>
      <c r="G24" s="25">
        <f t="shared" si="3"/>
        <v>223.7440876</v>
      </c>
      <c r="H24" s="10"/>
      <c r="I24" s="27">
        <f t="shared" si="4"/>
        <v>6.366001088</v>
      </c>
      <c r="J24" s="27">
        <f t="shared" si="5"/>
        <v>217.3780865</v>
      </c>
      <c r="K24" s="25">
        <f t="shared" si="6"/>
        <v>882.1708482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8</v>
      </c>
      <c r="B25" s="13">
        <f>RATE(B12,-B24,B20)*12</f>
        <v>0.06947577379</v>
      </c>
      <c r="C25" s="2"/>
      <c r="D25" s="28">
        <v>21.0</v>
      </c>
      <c r="E25" s="29">
        <f t="shared" si="1"/>
        <v>43921</v>
      </c>
      <c r="F25" s="25">
        <f t="shared" si="2"/>
        <v>882.1708482</v>
      </c>
      <c r="G25" s="25">
        <f t="shared" si="3"/>
        <v>223.7440876</v>
      </c>
      <c r="H25" s="10"/>
      <c r="I25" s="27">
        <f t="shared" si="4"/>
        <v>5.107458524</v>
      </c>
      <c r="J25" s="27">
        <f t="shared" si="5"/>
        <v>218.6366291</v>
      </c>
      <c r="K25" s="25">
        <f t="shared" si="6"/>
        <v>663.5342191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8">
        <v>22.0</v>
      </c>
      <c r="E26" s="29">
        <f t="shared" si="1"/>
        <v>43951</v>
      </c>
      <c r="F26" s="25">
        <f t="shared" si="2"/>
        <v>663.5342191</v>
      </c>
      <c r="G26" s="25">
        <f t="shared" si="3"/>
        <v>223.7440876</v>
      </c>
      <c r="H26" s="10"/>
      <c r="I26" s="27">
        <f t="shared" si="4"/>
        <v>3.841629442</v>
      </c>
      <c r="J26" s="27">
        <f t="shared" si="5"/>
        <v>219.9024582</v>
      </c>
      <c r="K26" s="25">
        <f t="shared" si="6"/>
        <v>443.6317609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8">
        <v>23.0</v>
      </c>
      <c r="E27" s="29">
        <f t="shared" si="1"/>
        <v>43982</v>
      </c>
      <c r="F27" s="25">
        <f t="shared" si="2"/>
        <v>443.6317609</v>
      </c>
      <c r="G27" s="25">
        <f t="shared" si="3"/>
        <v>223.7440876</v>
      </c>
      <c r="H27" s="10"/>
      <c r="I27" s="27">
        <f t="shared" si="4"/>
        <v>2.568471655</v>
      </c>
      <c r="J27" s="27">
        <f t="shared" si="5"/>
        <v>221.175616</v>
      </c>
      <c r="K27" s="25">
        <f t="shared" si="6"/>
        <v>222.4561449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8">
        <v>24.0</v>
      </c>
      <c r="E28" s="29">
        <f t="shared" si="1"/>
        <v>44012</v>
      </c>
      <c r="F28" s="25">
        <f t="shared" si="2"/>
        <v>222.4561449</v>
      </c>
      <c r="G28" s="25">
        <f t="shared" si="3"/>
        <v>223.7440876</v>
      </c>
      <c r="H28" s="10"/>
      <c r="I28" s="27">
        <f t="shared" si="4"/>
        <v>1.287942733</v>
      </c>
      <c r="J28" s="27">
        <f t="shared" si="5"/>
        <v>222.4561449</v>
      </c>
      <c r="K28" s="25">
        <f t="shared" si="6"/>
        <v>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19">
        <v>5000.0</v>
      </c>
      <c r="C3" s="2"/>
      <c r="D3" s="4" t="s">
        <v>31</v>
      </c>
      <c r="E3" s="4" t="s">
        <v>32</v>
      </c>
      <c r="F3" s="4" t="s">
        <v>33</v>
      </c>
      <c r="G3" s="4" t="s">
        <v>5</v>
      </c>
      <c r="H3" s="2" t="s">
        <v>34</v>
      </c>
      <c r="I3" s="2" t="s">
        <v>35</v>
      </c>
      <c r="J3" s="2" t="s">
        <v>1</v>
      </c>
      <c r="K3" s="23" t="s">
        <v>36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21</v>
      </c>
      <c r="B4" s="19">
        <v>10000.0</v>
      </c>
      <c r="C4" s="2"/>
      <c r="D4" s="4">
        <v>0.0</v>
      </c>
      <c r="E4" s="21">
        <f>B14</f>
        <v>43281</v>
      </c>
      <c r="F4" s="24">
        <v>0.0</v>
      </c>
      <c r="G4" s="24">
        <v>0.0</v>
      </c>
      <c r="H4" s="10"/>
      <c r="I4" s="25">
        <v>0.0</v>
      </c>
      <c r="J4" s="25">
        <v>0.0</v>
      </c>
      <c r="K4" s="25">
        <f>B3</f>
        <v>5000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22</v>
      </c>
      <c r="B5" s="19">
        <v>100.0</v>
      </c>
      <c r="C5" s="2"/>
      <c r="D5" s="4">
        <v>1.0</v>
      </c>
      <c r="E5" s="26">
        <f t="shared" ref="E5:E28" si="1">EOMONTH($B$14,D5)</f>
        <v>43312</v>
      </c>
      <c r="F5" s="24">
        <f t="shared" ref="F5:F28" si="2">K4</f>
        <v>5000</v>
      </c>
      <c r="G5" s="24">
        <f>-PMT($B$25/12,$B$12,$B$3)</f>
        <v>223.7440876</v>
      </c>
      <c r="H5" s="10"/>
      <c r="I5" s="25">
        <f t="shared" ref="I5:I28" si="3">F5*$B$25/12</f>
        <v>28.94823908</v>
      </c>
      <c r="J5" s="25">
        <f t="shared" ref="J5:J28" si="4">G5-I5</f>
        <v>194.7958486</v>
      </c>
      <c r="K5" s="27">
        <f t="shared" ref="K5:K28" si="5">F5-J5-H5</f>
        <v>4805.204151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23</v>
      </c>
      <c r="B6" s="20">
        <v>0.05</v>
      </c>
      <c r="C6" s="2"/>
      <c r="D6" s="4">
        <v>2.0</v>
      </c>
      <c r="E6" s="26">
        <f t="shared" si="1"/>
        <v>43343</v>
      </c>
      <c r="F6" s="24">
        <f t="shared" si="2"/>
        <v>4805.204151</v>
      </c>
      <c r="G6" s="24">
        <f t="shared" ref="G6:G28" si="6">IF(F6&gt;=$G$5-F6*$B$25/12,-PMT($B$25/12,$B$12,$B$3),F6+F6*$B$25/12)</f>
        <v>223.7440876</v>
      </c>
      <c r="H6" s="10"/>
      <c r="I6" s="25">
        <f t="shared" si="3"/>
        <v>27.82043972</v>
      </c>
      <c r="J6" s="25">
        <f t="shared" si="4"/>
        <v>195.9236479</v>
      </c>
      <c r="K6" s="27">
        <f t="shared" si="5"/>
        <v>4609.280504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4">
        <v>3.0</v>
      </c>
      <c r="E7" s="26">
        <f t="shared" si="1"/>
        <v>43373</v>
      </c>
      <c r="F7" s="24">
        <f t="shared" si="2"/>
        <v>4609.280504</v>
      </c>
      <c r="G7" s="24">
        <f t="shared" si="6"/>
        <v>223.7440876</v>
      </c>
      <c r="H7" s="10"/>
      <c r="I7" s="25">
        <f t="shared" si="3"/>
        <v>26.6861108</v>
      </c>
      <c r="J7" s="25">
        <f t="shared" si="4"/>
        <v>197.0579768</v>
      </c>
      <c r="K7" s="27">
        <f t="shared" si="5"/>
        <v>4412.222527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4">
        <v>4.0</v>
      </c>
      <c r="E8" s="26">
        <f t="shared" si="1"/>
        <v>43404</v>
      </c>
      <c r="F8" s="24">
        <f t="shared" si="2"/>
        <v>4412.222527</v>
      </c>
      <c r="G8" s="24">
        <f t="shared" si="6"/>
        <v>223.7440876</v>
      </c>
      <c r="H8" s="10"/>
      <c r="I8" s="25">
        <f t="shared" si="3"/>
        <v>25.54521451</v>
      </c>
      <c r="J8" s="25">
        <f t="shared" si="4"/>
        <v>198.1988731</v>
      </c>
      <c r="K8" s="27">
        <f t="shared" si="5"/>
        <v>4214.023654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24</v>
      </c>
      <c r="B9" s="2">
        <v>2.0</v>
      </c>
      <c r="C9" s="2"/>
      <c r="D9" s="28">
        <v>5.0</v>
      </c>
      <c r="E9" s="29">
        <f t="shared" si="1"/>
        <v>43434</v>
      </c>
      <c r="F9" s="25">
        <f t="shared" si="2"/>
        <v>4214.023654</v>
      </c>
      <c r="G9" s="25">
        <f t="shared" si="6"/>
        <v>223.7440876</v>
      </c>
      <c r="H9" s="10"/>
      <c r="I9" s="25">
        <f t="shared" si="3"/>
        <v>24.39771284</v>
      </c>
      <c r="J9" s="25">
        <f t="shared" si="4"/>
        <v>199.3463748</v>
      </c>
      <c r="K9" s="27">
        <f t="shared" si="5"/>
        <v>4014.677279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</v>
      </c>
      <c r="B10" s="2">
        <v>2.0</v>
      </c>
      <c r="C10" s="2"/>
      <c r="D10" s="28">
        <v>6.0</v>
      </c>
      <c r="E10" s="29">
        <f t="shared" si="1"/>
        <v>43465</v>
      </c>
      <c r="F10" s="25">
        <f t="shared" si="2"/>
        <v>4014.677279</v>
      </c>
      <c r="G10" s="25">
        <f t="shared" si="6"/>
        <v>223.7440876</v>
      </c>
      <c r="H10" s="27">
        <v>1000.0</v>
      </c>
      <c r="I10" s="25">
        <f t="shared" si="3"/>
        <v>23.24356754</v>
      </c>
      <c r="J10" s="25">
        <f t="shared" si="4"/>
        <v>200.5005201</v>
      </c>
      <c r="K10" s="27">
        <f t="shared" si="5"/>
        <v>2814.176759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25</v>
      </c>
      <c r="B11" s="13" t="s">
        <v>26</v>
      </c>
      <c r="C11" s="2"/>
      <c r="D11" s="28">
        <v>7.0</v>
      </c>
      <c r="E11" s="29">
        <f t="shared" si="1"/>
        <v>43496</v>
      </c>
      <c r="F11" s="25">
        <f t="shared" si="2"/>
        <v>2814.176759</v>
      </c>
      <c r="G11" s="25">
        <f t="shared" si="6"/>
        <v>223.7440876</v>
      </c>
      <c r="H11" s="10"/>
      <c r="I11" s="25">
        <f t="shared" si="3"/>
        <v>16.29309232</v>
      </c>
      <c r="J11" s="25">
        <f t="shared" si="4"/>
        <v>207.4509953</v>
      </c>
      <c r="K11" s="27">
        <f t="shared" si="5"/>
        <v>2606.725763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27</v>
      </c>
      <c r="B12" s="2">
        <f>B10*12</f>
        <v>24</v>
      </c>
      <c r="C12" s="2"/>
      <c r="D12" s="28">
        <v>8.0</v>
      </c>
      <c r="E12" s="29">
        <f t="shared" si="1"/>
        <v>43524</v>
      </c>
      <c r="F12" s="25">
        <f t="shared" si="2"/>
        <v>2606.725763</v>
      </c>
      <c r="G12" s="25">
        <f t="shared" si="6"/>
        <v>223.7440876</v>
      </c>
      <c r="H12" s="10"/>
      <c r="I12" s="25">
        <f t="shared" si="3"/>
        <v>15.09202412</v>
      </c>
      <c r="J12" s="25">
        <f t="shared" si="4"/>
        <v>208.6520635</v>
      </c>
      <c r="K12" s="27">
        <f t="shared" si="5"/>
        <v>2398.0737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28</v>
      </c>
      <c r="B13" s="2">
        <f>B9*12</f>
        <v>24</v>
      </c>
      <c r="C13" s="2"/>
      <c r="D13" s="28">
        <v>9.0</v>
      </c>
      <c r="E13" s="29">
        <f t="shared" si="1"/>
        <v>43555</v>
      </c>
      <c r="F13" s="25">
        <f t="shared" si="2"/>
        <v>2398.0737</v>
      </c>
      <c r="G13" s="25">
        <f t="shared" si="6"/>
        <v>223.7440876</v>
      </c>
      <c r="H13" s="10"/>
      <c r="I13" s="25">
        <f t="shared" si="3"/>
        <v>13.88400216</v>
      </c>
      <c r="J13" s="25">
        <f t="shared" si="4"/>
        <v>209.8600855</v>
      </c>
      <c r="K13" s="27">
        <f t="shared" si="5"/>
        <v>2188.213614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29</v>
      </c>
      <c r="B14" s="21">
        <v>43281.0</v>
      </c>
      <c r="C14" s="2"/>
      <c r="D14" s="28">
        <v>10.0</v>
      </c>
      <c r="E14" s="29">
        <f t="shared" si="1"/>
        <v>43585</v>
      </c>
      <c r="F14" s="25">
        <f t="shared" si="2"/>
        <v>2188.213614</v>
      </c>
      <c r="G14" s="25">
        <f t="shared" si="6"/>
        <v>223.7440876</v>
      </c>
      <c r="H14" s="10"/>
      <c r="I14" s="25">
        <f t="shared" si="3"/>
        <v>12.66898617</v>
      </c>
      <c r="J14" s="25">
        <f t="shared" si="4"/>
        <v>211.0751015</v>
      </c>
      <c r="K14" s="27">
        <f t="shared" si="5"/>
        <v>1977.138513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8">
        <v>11.0</v>
      </c>
      <c r="E15" s="29">
        <f t="shared" si="1"/>
        <v>43616</v>
      </c>
      <c r="F15" s="25">
        <f t="shared" si="2"/>
        <v>1977.138513</v>
      </c>
      <c r="G15" s="25">
        <f t="shared" si="6"/>
        <v>223.7440876</v>
      </c>
      <c r="H15" s="10"/>
      <c r="I15" s="25">
        <f t="shared" si="3"/>
        <v>11.44693567</v>
      </c>
      <c r="J15" s="25">
        <f t="shared" si="4"/>
        <v>212.297152</v>
      </c>
      <c r="K15" s="27">
        <f t="shared" si="5"/>
        <v>1764.841361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30</v>
      </c>
      <c r="B16" s="10">
        <f>-CUMIPMT(B6/12,B13,B3,1,B13,0)</f>
        <v>264.5667681</v>
      </c>
      <c r="C16" s="2"/>
      <c r="D16" s="28">
        <v>12.0</v>
      </c>
      <c r="E16" s="29">
        <f t="shared" si="1"/>
        <v>43646</v>
      </c>
      <c r="F16" s="25">
        <f t="shared" si="2"/>
        <v>1764.841361</v>
      </c>
      <c r="G16" s="25">
        <f t="shared" si="6"/>
        <v>223.7440876</v>
      </c>
      <c r="H16" s="10"/>
      <c r="I16" s="25">
        <f t="shared" si="3"/>
        <v>10.21780993</v>
      </c>
      <c r="J16" s="25">
        <f t="shared" si="4"/>
        <v>213.5262777</v>
      </c>
      <c r="K16" s="27">
        <f t="shared" si="5"/>
        <v>1551.315083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8">
        <v>13.0</v>
      </c>
      <c r="E17" s="29">
        <f t="shared" si="1"/>
        <v>43677</v>
      </c>
      <c r="F17" s="25">
        <f t="shared" si="2"/>
        <v>1551.315083</v>
      </c>
      <c r="G17" s="25">
        <f t="shared" si="6"/>
        <v>223.7440876</v>
      </c>
      <c r="H17" s="10"/>
      <c r="I17" s="25">
        <f t="shared" si="3"/>
        <v>8.981567983</v>
      </c>
      <c r="J17" s="25">
        <f t="shared" si="4"/>
        <v>214.7625197</v>
      </c>
      <c r="K17" s="27">
        <f t="shared" si="5"/>
        <v>1336.552564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8">
        <v>14.0</v>
      </c>
      <c r="E18" s="29">
        <f t="shared" si="1"/>
        <v>43708</v>
      </c>
      <c r="F18" s="25">
        <f t="shared" si="2"/>
        <v>1336.552564</v>
      </c>
      <c r="G18" s="25">
        <f t="shared" si="6"/>
        <v>223.7440876</v>
      </c>
      <c r="H18" s="10"/>
      <c r="I18" s="25">
        <f t="shared" si="3"/>
        <v>7.73816863</v>
      </c>
      <c r="J18" s="25">
        <f t="shared" si="4"/>
        <v>216.005919</v>
      </c>
      <c r="K18" s="27">
        <f t="shared" si="5"/>
        <v>1120.546645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9</v>
      </c>
      <c r="B19" s="2"/>
      <c r="C19" s="2"/>
      <c r="D19" s="28">
        <v>15.0</v>
      </c>
      <c r="E19" s="29">
        <f t="shared" si="1"/>
        <v>43738</v>
      </c>
      <c r="F19" s="25">
        <f t="shared" si="2"/>
        <v>1120.546645</v>
      </c>
      <c r="G19" s="25">
        <f t="shared" si="6"/>
        <v>223.7440876</v>
      </c>
      <c r="H19" s="10"/>
      <c r="I19" s="25">
        <f t="shared" si="3"/>
        <v>6.487570433</v>
      </c>
      <c r="J19" s="25">
        <f t="shared" si="4"/>
        <v>217.2565172</v>
      </c>
      <c r="K19" s="27">
        <f t="shared" si="5"/>
        <v>903.2901274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10</v>
      </c>
      <c r="B20" s="12">
        <f>B3</f>
        <v>5000</v>
      </c>
      <c r="C20" s="2"/>
      <c r="D20" s="28">
        <v>16.0</v>
      </c>
      <c r="E20" s="29">
        <f t="shared" si="1"/>
        <v>43769</v>
      </c>
      <c r="F20" s="25">
        <f t="shared" si="2"/>
        <v>903.2901274</v>
      </c>
      <c r="G20" s="25">
        <f t="shared" si="6"/>
        <v>223.7440876</v>
      </c>
      <c r="H20" s="10"/>
      <c r="I20" s="25">
        <f t="shared" si="3"/>
        <v>5.229731713</v>
      </c>
      <c r="J20" s="25">
        <f t="shared" si="4"/>
        <v>218.5143559</v>
      </c>
      <c r="K20" s="27">
        <f t="shared" si="5"/>
        <v>684.7757714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11</v>
      </c>
      <c r="B21" s="12">
        <f>B5</f>
        <v>100</v>
      </c>
      <c r="C21" s="2"/>
      <c r="D21" s="28">
        <v>17.0</v>
      </c>
      <c r="E21" s="29">
        <f t="shared" si="1"/>
        <v>43799</v>
      </c>
      <c r="F21" s="25">
        <f t="shared" si="2"/>
        <v>684.7757714</v>
      </c>
      <c r="G21" s="25">
        <f t="shared" si="6"/>
        <v>223.7440876</v>
      </c>
      <c r="H21" s="10"/>
      <c r="I21" s="25">
        <f t="shared" si="3"/>
        <v>3.964610549</v>
      </c>
      <c r="J21" s="25">
        <f t="shared" si="4"/>
        <v>219.7794771</v>
      </c>
      <c r="K21" s="27">
        <f t="shared" si="5"/>
        <v>464.9962944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8">
        <v>18.0</v>
      </c>
      <c r="E22" s="29">
        <f t="shared" si="1"/>
        <v>43830</v>
      </c>
      <c r="F22" s="25">
        <f t="shared" si="2"/>
        <v>464.9962944</v>
      </c>
      <c r="G22" s="25">
        <f t="shared" si="6"/>
        <v>223.7440876</v>
      </c>
      <c r="H22" s="10"/>
      <c r="I22" s="25">
        <f t="shared" si="3"/>
        <v>2.69216478</v>
      </c>
      <c r="J22" s="25">
        <f t="shared" si="4"/>
        <v>221.0519229</v>
      </c>
      <c r="K22" s="27">
        <f t="shared" si="5"/>
        <v>243.9443715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12</v>
      </c>
      <c r="B23" s="12">
        <f>SUM(B20:B21)</f>
        <v>5100</v>
      </c>
      <c r="C23" s="2"/>
      <c r="D23" s="28">
        <v>19.0</v>
      </c>
      <c r="E23" s="29">
        <f t="shared" si="1"/>
        <v>43861</v>
      </c>
      <c r="F23" s="25">
        <f t="shared" si="2"/>
        <v>243.9443715</v>
      </c>
      <c r="G23" s="25">
        <f t="shared" si="6"/>
        <v>223.7440876</v>
      </c>
      <c r="H23" s="10"/>
      <c r="I23" s="25">
        <f t="shared" si="3"/>
        <v>1.412351998</v>
      </c>
      <c r="J23" s="25">
        <f t="shared" si="4"/>
        <v>222.3317356</v>
      </c>
      <c r="K23" s="27">
        <f t="shared" si="5"/>
        <v>21.61263586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13</v>
      </c>
      <c r="B24" s="12">
        <f>-PMT(B6/12,B12,B23)</f>
        <v>223.7440876</v>
      </c>
      <c r="C24" s="2"/>
      <c r="D24" s="28">
        <v>20.0</v>
      </c>
      <c r="E24" s="29">
        <f t="shared" si="1"/>
        <v>43890</v>
      </c>
      <c r="F24" s="25">
        <f t="shared" si="2"/>
        <v>21.61263586</v>
      </c>
      <c r="G24" s="25">
        <f t="shared" si="6"/>
        <v>21.73776541</v>
      </c>
      <c r="H24" s="10"/>
      <c r="I24" s="25">
        <f t="shared" si="3"/>
        <v>0.12512955</v>
      </c>
      <c r="J24" s="25">
        <f t="shared" si="4"/>
        <v>21.61263586</v>
      </c>
      <c r="K24" s="27">
        <f t="shared" si="5"/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8</v>
      </c>
      <c r="B25" s="13">
        <f>RATE(B12,-B24,B20)*12</f>
        <v>0.06947577379</v>
      </c>
      <c r="C25" s="2"/>
      <c r="D25" s="28">
        <v>21.0</v>
      </c>
      <c r="E25" s="29">
        <f t="shared" si="1"/>
        <v>43921</v>
      </c>
      <c r="F25" s="25">
        <f t="shared" si="2"/>
        <v>0</v>
      </c>
      <c r="G25" s="25">
        <f t="shared" si="6"/>
        <v>0</v>
      </c>
      <c r="H25" s="10"/>
      <c r="I25" s="25">
        <f t="shared" si="3"/>
        <v>0</v>
      </c>
      <c r="J25" s="25">
        <f t="shared" si="4"/>
        <v>0</v>
      </c>
      <c r="K25" s="27">
        <f t="shared" si="5"/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8">
        <v>22.0</v>
      </c>
      <c r="E26" s="29">
        <f t="shared" si="1"/>
        <v>43951</v>
      </c>
      <c r="F26" s="25">
        <f t="shared" si="2"/>
        <v>0</v>
      </c>
      <c r="G26" s="25">
        <f t="shared" si="6"/>
        <v>0</v>
      </c>
      <c r="H26" s="10"/>
      <c r="I26" s="25">
        <f t="shared" si="3"/>
        <v>0</v>
      </c>
      <c r="J26" s="25">
        <f t="shared" si="4"/>
        <v>0</v>
      </c>
      <c r="K26" s="27">
        <f t="shared" si="5"/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8">
        <v>23.0</v>
      </c>
      <c r="E27" s="29">
        <f t="shared" si="1"/>
        <v>43982</v>
      </c>
      <c r="F27" s="25">
        <f t="shared" si="2"/>
        <v>0</v>
      </c>
      <c r="G27" s="25">
        <f t="shared" si="6"/>
        <v>0</v>
      </c>
      <c r="H27" s="10"/>
      <c r="I27" s="25">
        <f t="shared" si="3"/>
        <v>0</v>
      </c>
      <c r="J27" s="25">
        <f t="shared" si="4"/>
        <v>0</v>
      </c>
      <c r="K27" s="27">
        <f t="shared" si="5"/>
        <v>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8">
        <v>24.0</v>
      </c>
      <c r="E28" s="29">
        <f t="shared" si="1"/>
        <v>44012</v>
      </c>
      <c r="F28" s="25">
        <f t="shared" si="2"/>
        <v>0</v>
      </c>
      <c r="G28" s="25">
        <f t="shared" si="6"/>
        <v>0</v>
      </c>
      <c r="H28" s="10"/>
      <c r="I28" s="25">
        <f t="shared" si="3"/>
        <v>0</v>
      </c>
      <c r="J28" s="25">
        <f t="shared" si="4"/>
        <v>0</v>
      </c>
      <c r="K28" s="27">
        <f t="shared" si="5"/>
        <v>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19">
        <v>5000.0</v>
      </c>
      <c r="C3" s="2"/>
      <c r="D3" s="4" t="s">
        <v>31</v>
      </c>
      <c r="E3" s="4" t="s">
        <v>32</v>
      </c>
      <c r="F3" s="4" t="s">
        <v>33</v>
      </c>
      <c r="G3" s="4" t="s">
        <v>5</v>
      </c>
      <c r="H3" s="2" t="s">
        <v>34</v>
      </c>
      <c r="I3" s="2" t="s">
        <v>35</v>
      </c>
      <c r="J3" s="2" t="s">
        <v>1</v>
      </c>
      <c r="K3" s="23" t="s">
        <v>36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21</v>
      </c>
      <c r="B4" s="19">
        <v>10000.0</v>
      </c>
      <c r="C4" s="2"/>
      <c r="D4" s="4">
        <v>0.0</v>
      </c>
      <c r="E4" s="21">
        <f>B14</f>
        <v>43281</v>
      </c>
      <c r="F4" s="24">
        <v>0.0</v>
      </c>
      <c r="G4" s="24">
        <v>0.0</v>
      </c>
      <c r="H4" s="10"/>
      <c r="I4" s="25">
        <v>0.0</v>
      </c>
      <c r="J4" s="25">
        <v>0.0</v>
      </c>
      <c r="K4" s="25">
        <f>B3</f>
        <v>5000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22</v>
      </c>
      <c r="B5" s="19">
        <v>100.0</v>
      </c>
      <c r="C5" s="2"/>
      <c r="D5" s="30">
        <f t="shared" ref="D5:D28" si="1">IFS(D4="","",K4=0,"",1=1, ROW()-4)</f>
        <v>1</v>
      </c>
      <c r="E5" s="26">
        <f t="shared" ref="E5:E28" si="2">IF(D5="","",EOMONTH($B$14,D5))</f>
        <v>43312</v>
      </c>
      <c r="F5" s="24">
        <f t="shared" ref="F5:F28" si="3">IF(D5="","",K4)</f>
        <v>5000</v>
      </c>
      <c r="G5" s="24">
        <f>IF(D5="","",-PMT($B$25/12,$B$12,$B$3))</f>
        <v>223.7440876</v>
      </c>
      <c r="H5" s="10"/>
      <c r="I5" s="25">
        <f t="shared" ref="I5:I28" si="4">IF(D5="","",F5*$B$25/12)</f>
        <v>28.94823908</v>
      </c>
      <c r="J5" s="25">
        <f t="shared" ref="J5:J28" si="5">IF(D5="","",G5-I5)</f>
        <v>194.7958486</v>
      </c>
      <c r="K5" s="25">
        <f t="shared" ref="K5:K28" si="6">IF(D5="","",F5-J5-H5)</f>
        <v>4805.204151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23</v>
      </c>
      <c r="B6" s="20">
        <v>0.05</v>
      </c>
      <c r="C6" s="2"/>
      <c r="D6" s="30">
        <f t="shared" si="1"/>
        <v>2</v>
      </c>
      <c r="E6" s="26">
        <f t="shared" si="2"/>
        <v>43343</v>
      </c>
      <c r="F6" s="24">
        <f t="shared" si="3"/>
        <v>4805.204151</v>
      </c>
      <c r="G6" s="24">
        <f t="shared" ref="G6:G28" si="7">IFS(D6="","",F6&gt;=$G$5-F6*$B$25/12,-PMT($B$25/12,$B$12,$B$3),1=1,F6+F6*$B$25/12)</f>
        <v>223.7440876</v>
      </c>
      <c r="H6" s="10"/>
      <c r="I6" s="25">
        <f t="shared" si="4"/>
        <v>27.82043972</v>
      </c>
      <c r="J6" s="25">
        <f t="shared" si="5"/>
        <v>195.9236479</v>
      </c>
      <c r="K6" s="25">
        <f t="shared" si="6"/>
        <v>4609.280504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30">
        <f t="shared" si="1"/>
        <v>3</v>
      </c>
      <c r="E7" s="26">
        <f t="shared" si="2"/>
        <v>43373</v>
      </c>
      <c r="F7" s="24">
        <f t="shared" si="3"/>
        <v>4609.280504</v>
      </c>
      <c r="G7" s="24">
        <f t="shared" si="7"/>
        <v>223.7440876</v>
      </c>
      <c r="H7" s="10"/>
      <c r="I7" s="25">
        <f t="shared" si="4"/>
        <v>26.6861108</v>
      </c>
      <c r="J7" s="25">
        <f t="shared" si="5"/>
        <v>197.0579768</v>
      </c>
      <c r="K7" s="25">
        <f t="shared" si="6"/>
        <v>4412.222527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30">
        <f t="shared" si="1"/>
        <v>4</v>
      </c>
      <c r="E8" s="26">
        <f t="shared" si="2"/>
        <v>43404</v>
      </c>
      <c r="F8" s="24">
        <f t="shared" si="3"/>
        <v>4412.222527</v>
      </c>
      <c r="G8" s="24">
        <f t="shared" si="7"/>
        <v>223.7440876</v>
      </c>
      <c r="H8" s="10"/>
      <c r="I8" s="25">
        <f t="shared" si="4"/>
        <v>25.54521451</v>
      </c>
      <c r="J8" s="25">
        <f t="shared" si="5"/>
        <v>198.1988731</v>
      </c>
      <c r="K8" s="25">
        <f t="shared" si="6"/>
        <v>4214.023654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24</v>
      </c>
      <c r="B9" s="2">
        <v>2.0</v>
      </c>
      <c r="C9" s="2"/>
      <c r="D9" s="31">
        <f t="shared" si="1"/>
        <v>5</v>
      </c>
      <c r="E9" s="29">
        <f t="shared" si="2"/>
        <v>43434</v>
      </c>
      <c r="F9" s="25">
        <f t="shared" si="3"/>
        <v>4214.023654</v>
      </c>
      <c r="G9" s="25">
        <f t="shared" si="7"/>
        <v>223.7440876</v>
      </c>
      <c r="H9" s="10"/>
      <c r="I9" s="25">
        <f t="shared" si="4"/>
        <v>24.39771284</v>
      </c>
      <c r="J9" s="25">
        <f t="shared" si="5"/>
        <v>199.3463748</v>
      </c>
      <c r="K9" s="25">
        <f t="shared" si="6"/>
        <v>4014.677279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</v>
      </c>
      <c r="B10" s="2">
        <v>2.0</v>
      </c>
      <c r="C10" s="2"/>
      <c r="D10" s="31">
        <f t="shared" si="1"/>
        <v>6</v>
      </c>
      <c r="E10" s="29">
        <f t="shared" si="2"/>
        <v>43465</v>
      </c>
      <c r="F10" s="25">
        <f t="shared" si="3"/>
        <v>4014.677279</v>
      </c>
      <c r="G10" s="25">
        <f t="shared" si="7"/>
        <v>223.7440876</v>
      </c>
      <c r="H10" s="25">
        <v>1000.0</v>
      </c>
      <c r="I10" s="25">
        <f t="shared" si="4"/>
        <v>23.24356754</v>
      </c>
      <c r="J10" s="25">
        <f t="shared" si="5"/>
        <v>200.5005201</v>
      </c>
      <c r="K10" s="25">
        <f t="shared" si="6"/>
        <v>2814.176759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25</v>
      </c>
      <c r="B11" s="13" t="s">
        <v>26</v>
      </c>
      <c r="C11" s="2"/>
      <c r="D11" s="31">
        <f t="shared" si="1"/>
        <v>7</v>
      </c>
      <c r="E11" s="29">
        <f t="shared" si="2"/>
        <v>43496</v>
      </c>
      <c r="F11" s="25">
        <f t="shared" si="3"/>
        <v>2814.176759</v>
      </c>
      <c r="G11" s="25">
        <f t="shared" si="7"/>
        <v>223.7440876</v>
      </c>
      <c r="H11" s="10"/>
      <c r="I11" s="25">
        <f t="shared" si="4"/>
        <v>16.29309232</v>
      </c>
      <c r="J11" s="25">
        <f t="shared" si="5"/>
        <v>207.4509953</v>
      </c>
      <c r="K11" s="25">
        <f t="shared" si="6"/>
        <v>2606.725763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27</v>
      </c>
      <c r="B12" s="2">
        <f>B10*12</f>
        <v>24</v>
      </c>
      <c r="C12" s="2"/>
      <c r="D12" s="31">
        <f t="shared" si="1"/>
        <v>8</v>
      </c>
      <c r="E12" s="29">
        <f t="shared" si="2"/>
        <v>43524</v>
      </c>
      <c r="F12" s="25">
        <f t="shared" si="3"/>
        <v>2606.725763</v>
      </c>
      <c r="G12" s="25">
        <f t="shared" si="7"/>
        <v>223.7440876</v>
      </c>
      <c r="H12" s="10"/>
      <c r="I12" s="25">
        <f t="shared" si="4"/>
        <v>15.09202412</v>
      </c>
      <c r="J12" s="25">
        <f t="shared" si="5"/>
        <v>208.6520635</v>
      </c>
      <c r="K12" s="25">
        <f t="shared" si="6"/>
        <v>2398.0737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28</v>
      </c>
      <c r="B13" s="2">
        <f>B9*12</f>
        <v>24</v>
      </c>
      <c r="C13" s="2"/>
      <c r="D13" s="31">
        <f t="shared" si="1"/>
        <v>9</v>
      </c>
      <c r="E13" s="29">
        <f t="shared" si="2"/>
        <v>43555</v>
      </c>
      <c r="F13" s="25">
        <f t="shared" si="3"/>
        <v>2398.0737</v>
      </c>
      <c r="G13" s="25">
        <f t="shared" si="7"/>
        <v>223.7440876</v>
      </c>
      <c r="H13" s="10"/>
      <c r="I13" s="25">
        <f t="shared" si="4"/>
        <v>13.88400216</v>
      </c>
      <c r="J13" s="25">
        <f t="shared" si="5"/>
        <v>209.8600855</v>
      </c>
      <c r="K13" s="25">
        <f t="shared" si="6"/>
        <v>2188.213614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29</v>
      </c>
      <c r="B14" s="21">
        <v>43281.0</v>
      </c>
      <c r="C14" s="2"/>
      <c r="D14" s="31">
        <f t="shared" si="1"/>
        <v>10</v>
      </c>
      <c r="E14" s="29">
        <f t="shared" si="2"/>
        <v>43585</v>
      </c>
      <c r="F14" s="25">
        <f t="shared" si="3"/>
        <v>2188.213614</v>
      </c>
      <c r="G14" s="25">
        <f t="shared" si="7"/>
        <v>223.7440876</v>
      </c>
      <c r="H14" s="10"/>
      <c r="I14" s="25">
        <f t="shared" si="4"/>
        <v>12.66898617</v>
      </c>
      <c r="J14" s="25">
        <f t="shared" si="5"/>
        <v>211.0751015</v>
      </c>
      <c r="K14" s="25">
        <f t="shared" si="6"/>
        <v>1977.138513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31">
        <f t="shared" si="1"/>
        <v>11</v>
      </c>
      <c r="E15" s="29">
        <f t="shared" si="2"/>
        <v>43616</v>
      </c>
      <c r="F15" s="25">
        <f t="shared" si="3"/>
        <v>1977.138513</v>
      </c>
      <c r="G15" s="25">
        <f t="shared" si="7"/>
        <v>223.7440876</v>
      </c>
      <c r="H15" s="10"/>
      <c r="I15" s="25">
        <f t="shared" si="4"/>
        <v>11.44693567</v>
      </c>
      <c r="J15" s="25">
        <f t="shared" si="5"/>
        <v>212.297152</v>
      </c>
      <c r="K15" s="25">
        <f t="shared" si="6"/>
        <v>1764.841361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30</v>
      </c>
      <c r="B16" s="10">
        <f>-CUMIPMT(B6/12,B13,B3,1,B13,0)</f>
        <v>264.5667681</v>
      </c>
      <c r="C16" s="2"/>
      <c r="D16" s="31">
        <f t="shared" si="1"/>
        <v>12</v>
      </c>
      <c r="E16" s="29">
        <f t="shared" si="2"/>
        <v>43646</v>
      </c>
      <c r="F16" s="25">
        <f t="shared" si="3"/>
        <v>1764.841361</v>
      </c>
      <c r="G16" s="25">
        <f t="shared" si="7"/>
        <v>223.7440876</v>
      </c>
      <c r="H16" s="10"/>
      <c r="I16" s="25">
        <f t="shared" si="4"/>
        <v>10.21780993</v>
      </c>
      <c r="J16" s="25">
        <f t="shared" si="5"/>
        <v>213.5262777</v>
      </c>
      <c r="K16" s="25">
        <f t="shared" si="6"/>
        <v>1551.315083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31">
        <f t="shared" si="1"/>
        <v>13</v>
      </c>
      <c r="E17" s="29">
        <f t="shared" si="2"/>
        <v>43677</v>
      </c>
      <c r="F17" s="25">
        <f t="shared" si="3"/>
        <v>1551.315083</v>
      </c>
      <c r="G17" s="25">
        <f t="shared" si="7"/>
        <v>223.7440876</v>
      </c>
      <c r="H17" s="10"/>
      <c r="I17" s="25">
        <f t="shared" si="4"/>
        <v>8.981567983</v>
      </c>
      <c r="J17" s="25">
        <f t="shared" si="5"/>
        <v>214.7625197</v>
      </c>
      <c r="K17" s="25">
        <f t="shared" si="6"/>
        <v>1336.552564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31">
        <f t="shared" si="1"/>
        <v>14</v>
      </c>
      <c r="E18" s="29">
        <f t="shared" si="2"/>
        <v>43708</v>
      </c>
      <c r="F18" s="25">
        <f t="shared" si="3"/>
        <v>1336.552564</v>
      </c>
      <c r="G18" s="25">
        <f t="shared" si="7"/>
        <v>223.7440876</v>
      </c>
      <c r="H18" s="10"/>
      <c r="I18" s="25">
        <f t="shared" si="4"/>
        <v>7.73816863</v>
      </c>
      <c r="J18" s="25">
        <f t="shared" si="5"/>
        <v>216.005919</v>
      </c>
      <c r="K18" s="25">
        <f t="shared" si="6"/>
        <v>1120.546645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9</v>
      </c>
      <c r="B19" s="2"/>
      <c r="C19" s="2"/>
      <c r="D19" s="31">
        <f t="shared" si="1"/>
        <v>15</v>
      </c>
      <c r="E19" s="29">
        <f t="shared" si="2"/>
        <v>43738</v>
      </c>
      <c r="F19" s="25">
        <f t="shared" si="3"/>
        <v>1120.546645</v>
      </c>
      <c r="G19" s="25">
        <f t="shared" si="7"/>
        <v>223.7440876</v>
      </c>
      <c r="H19" s="10"/>
      <c r="I19" s="25">
        <f t="shared" si="4"/>
        <v>6.487570433</v>
      </c>
      <c r="J19" s="25">
        <f t="shared" si="5"/>
        <v>217.2565172</v>
      </c>
      <c r="K19" s="25">
        <f t="shared" si="6"/>
        <v>903.2901274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10</v>
      </c>
      <c r="B20" s="12">
        <f>B3</f>
        <v>5000</v>
      </c>
      <c r="C20" s="2"/>
      <c r="D20" s="31">
        <f t="shared" si="1"/>
        <v>16</v>
      </c>
      <c r="E20" s="29">
        <f t="shared" si="2"/>
        <v>43769</v>
      </c>
      <c r="F20" s="25">
        <f t="shared" si="3"/>
        <v>903.2901274</v>
      </c>
      <c r="G20" s="25">
        <f t="shared" si="7"/>
        <v>223.7440876</v>
      </c>
      <c r="H20" s="10"/>
      <c r="I20" s="25">
        <f t="shared" si="4"/>
        <v>5.229731713</v>
      </c>
      <c r="J20" s="25">
        <f t="shared" si="5"/>
        <v>218.5143559</v>
      </c>
      <c r="K20" s="25">
        <f t="shared" si="6"/>
        <v>684.7757714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11</v>
      </c>
      <c r="B21" s="12">
        <f>B5</f>
        <v>100</v>
      </c>
      <c r="C21" s="2"/>
      <c r="D21" s="31">
        <f t="shared" si="1"/>
        <v>17</v>
      </c>
      <c r="E21" s="29">
        <f t="shared" si="2"/>
        <v>43799</v>
      </c>
      <c r="F21" s="25">
        <f t="shared" si="3"/>
        <v>684.7757714</v>
      </c>
      <c r="G21" s="25">
        <f t="shared" si="7"/>
        <v>223.7440876</v>
      </c>
      <c r="H21" s="10"/>
      <c r="I21" s="25">
        <f t="shared" si="4"/>
        <v>3.964610549</v>
      </c>
      <c r="J21" s="25">
        <f t="shared" si="5"/>
        <v>219.7794771</v>
      </c>
      <c r="K21" s="25">
        <f t="shared" si="6"/>
        <v>464.9962944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31">
        <f t="shared" si="1"/>
        <v>18</v>
      </c>
      <c r="E22" s="29">
        <f t="shared" si="2"/>
        <v>43830</v>
      </c>
      <c r="F22" s="25">
        <f t="shared" si="3"/>
        <v>464.9962944</v>
      </c>
      <c r="G22" s="25">
        <f t="shared" si="7"/>
        <v>223.7440876</v>
      </c>
      <c r="H22" s="10"/>
      <c r="I22" s="25">
        <f t="shared" si="4"/>
        <v>2.69216478</v>
      </c>
      <c r="J22" s="25">
        <f t="shared" si="5"/>
        <v>221.0519229</v>
      </c>
      <c r="K22" s="25">
        <f t="shared" si="6"/>
        <v>243.9443715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12</v>
      </c>
      <c r="B23" s="12">
        <f>SUM(B20:B21)</f>
        <v>5100</v>
      </c>
      <c r="C23" s="2"/>
      <c r="D23" s="31">
        <f t="shared" si="1"/>
        <v>19</v>
      </c>
      <c r="E23" s="29">
        <f t="shared" si="2"/>
        <v>43861</v>
      </c>
      <c r="F23" s="25">
        <f t="shared" si="3"/>
        <v>243.9443715</v>
      </c>
      <c r="G23" s="25">
        <f t="shared" si="7"/>
        <v>223.7440876</v>
      </c>
      <c r="H23" s="10"/>
      <c r="I23" s="25">
        <f t="shared" si="4"/>
        <v>1.412351998</v>
      </c>
      <c r="J23" s="25">
        <f t="shared" si="5"/>
        <v>222.3317356</v>
      </c>
      <c r="K23" s="25">
        <f t="shared" si="6"/>
        <v>21.61263586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13</v>
      </c>
      <c r="B24" s="12">
        <f>-PMT(B6/12,B12,B23)</f>
        <v>223.7440876</v>
      </c>
      <c r="C24" s="2"/>
      <c r="D24" s="31">
        <f t="shared" si="1"/>
        <v>20</v>
      </c>
      <c r="E24" s="29">
        <f t="shared" si="2"/>
        <v>43890</v>
      </c>
      <c r="F24" s="25">
        <f t="shared" si="3"/>
        <v>21.61263586</v>
      </c>
      <c r="G24" s="25">
        <f t="shared" si="7"/>
        <v>21.73776541</v>
      </c>
      <c r="H24" s="10"/>
      <c r="I24" s="25">
        <f t="shared" si="4"/>
        <v>0.12512955</v>
      </c>
      <c r="J24" s="25">
        <f t="shared" si="5"/>
        <v>21.61263586</v>
      </c>
      <c r="K24" s="25">
        <f t="shared" si="6"/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8</v>
      </c>
      <c r="B25" s="13">
        <f>RATE(B12,-B24,B20)*12</f>
        <v>0.06947577379</v>
      </c>
      <c r="C25" s="2"/>
      <c r="D25" s="32" t="str">
        <f t="shared" si="1"/>
        <v/>
      </c>
      <c r="E25" s="2" t="str">
        <f t="shared" si="2"/>
        <v/>
      </c>
      <c r="F25" s="10" t="str">
        <f t="shared" si="3"/>
        <v/>
      </c>
      <c r="G25" s="10" t="str">
        <f t="shared" si="7"/>
        <v/>
      </c>
      <c r="H25" s="10"/>
      <c r="I25" s="10" t="str">
        <f t="shared" si="4"/>
        <v/>
      </c>
      <c r="J25" s="10" t="str">
        <f t="shared" si="5"/>
        <v/>
      </c>
      <c r="K25" s="10" t="str">
        <f t="shared" si="6"/>
        <v/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32" t="str">
        <f t="shared" si="1"/>
        <v/>
      </c>
      <c r="E26" s="2" t="str">
        <f t="shared" si="2"/>
        <v/>
      </c>
      <c r="F26" s="10" t="str">
        <f t="shared" si="3"/>
        <v/>
      </c>
      <c r="G26" s="10" t="str">
        <f t="shared" si="7"/>
        <v/>
      </c>
      <c r="H26" s="10"/>
      <c r="I26" s="10" t="str">
        <f t="shared" si="4"/>
        <v/>
      </c>
      <c r="J26" s="10" t="str">
        <f t="shared" si="5"/>
        <v/>
      </c>
      <c r="K26" s="10" t="str">
        <f t="shared" si="6"/>
        <v/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32" t="str">
        <f t="shared" si="1"/>
        <v/>
      </c>
      <c r="E27" s="2" t="str">
        <f t="shared" si="2"/>
        <v/>
      </c>
      <c r="F27" s="10" t="str">
        <f t="shared" si="3"/>
        <v/>
      </c>
      <c r="G27" s="10" t="str">
        <f t="shared" si="7"/>
        <v/>
      </c>
      <c r="H27" s="10"/>
      <c r="I27" s="10" t="str">
        <f t="shared" si="4"/>
        <v/>
      </c>
      <c r="J27" s="10" t="str">
        <f t="shared" si="5"/>
        <v/>
      </c>
      <c r="K27" s="10" t="str">
        <f t="shared" si="6"/>
        <v/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32" t="str">
        <f t="shared" si="1"/>
        <v/>
      </c>
      <c r="E28" s="2" t="str">
        <f t="shared" si="2"/>
        <v/>
      </c>
      <c r="F28" s="10" t="str">
        <f t="shared" si="3"/>
        <v/>
      </c>
      <c r="G28" s="10" t="str">
        <f t="shared" si="7"/>
        <v/>
      </c>
      <c r="H28" s="10"/>
      <c r="I28" s="10" t="str">
        <f t="shared" si="4"/>
        <v/>
      </c>
      <c r="J28" s="10" t="str">
        <f t="shared" si="5"/>
        <v/>
      </c>
      <c r="K28" s="10" t="str">
        <f t="shared" si="6"/>
        <v/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19">
        <v>6250.0</v>
      </c>
      <c r="C3" s="2"/>
      <c r="D3" s="4" t="s">
        <v>31</v>
      </c>
      <c r="E3" s="4" t="s">
        <v>32</v>
      </c>
      <c r="F3" s="4" t="s">
        <v>33</v>
      </c>
      <c r="G3" s="4" t="s">
        <v>5</v>
      </c>
      <c r="H3" s="2" t="s">
        <v>34</v>
      </c>
      <c r="I3" s="2" t="s">
        <v>35</v>
      </c>
      <c r="J3" s="2" t="s">
        <v>1</v>
      </c>
      <c r="K3" s="23" t="s">
        <v>36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21</v>
      </c>
      <c r="B4" s="19">
        <v>10000.0</v>
      </c>
      <c r="C4" s="2"/>
      <c r="D4" s="4">
        <v>0.0</v>
      </c>
      <c r="E4" s="21">
        <f>B14</f>
        <v>43281</v>
      </c>
      <c r="F4" s="24">
        <v>0.0</v>
      </c>
      <c r="G4" s="24">
        <v>0.0</v>
      </c>
      <c r="H4" s="10"/>
      <c r="I4" s="25">
        <v>0.0</v>
      </c>
      <c r="J4" s="25">
        <v>0.0</v>
      </c>
      <c r="K4" s="25">
        <f>B3</f>
        <v>6250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22</v>
      </c>
      <c r="B5" s="19">
        <v>150.0</v>
      </c>
      <c r="C5" s="2"/>
      <c r="D5" s="4">
        <f t="shared" ref="D5:D28" si="1">IFS(D4="","",K4=0,"",1=1, ROW()-4)</f>
        <v>1</v>
      </c>
      <c r="E5" s="26">
        <f t="shared" ref="E5:E28" si="2">IF(D5="","",EOMONTH($B$14,D5))</f>
        <v>43312</v>
      </c>
      <c r="F5" s="24">
        <f t="shared" ref="F5:F28" si="3">IF(D5="","",K4)</f>
        <v>6250</v>
      </c>
      <c r="G5" s="24">
        <f>IF(D5="","",-PMT($B$25/12,$B$12,$B$3))</f>
        <v>280.7768943</v>
      </c>
      <c r="H5" s="10"/>
      <c r="I5" s="25">
        <f t="shared" ref="I5:I28" si="4">IF(D5="","",F5*$B$25/12)</f>
        <v>38.19969326</v>
      </c>
      <c r="J5" s="25">
        <f t="shared" ref="J5:J28" si="5">IF(D5="","",G5-I5)</f>
        <v>242.577201</v>
      </c>
      <c r="K5" s="25">
        <f t="shared" ref="K5:K28" si="6">IF(D5="","",F5-J5-H5)</f>
        <v>6007.422799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23</v>
      </c>
      <c r="B6" s="20">
        <v>0.05</v>
      </c>
      <c r="C6" s="2"/>
      <c r="D6" s="4">
        <f t="shared" si="1"/>
        <v>2</v>
      </c>
      <c r="E6" s="26">
        <f t="shared" si="2"/>
        <v>43343</v>
      </c>
      <c r="F6" s="24">
        <f t="shared" si="3"/>
        <v>6007.422799</v>
      </c>
      <c r="G6" s="8">
        <f t="shared" ref="G6:G28" si="7">IFS(D6="","",F6&lt;=$B$24+F6*$B$25/12,F6+F6*$B$25/12,1=1,-PMT($B$25/12,$B$12,$B$3))</f>
        <v>280.7768943</v>
      </c>
      <c r="H6" s="10"/>
      <c r="I6" s="25">
        <f t="shared" si="4"/>
        <v>36.71707331</v>
      </c>
      <c r="J6" s="25">
        <f t="shared" si="5"/>
        <v>244.059821</v>
      </c>
      <c r="K6" s="25">
        <f t="shared" si="6"/>
        <v>5763.362978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4">
        <f t="shared" si="1"/>
        <v>3</v>
      </c>
      <c r="E7" s="26">
        <f t="shared" si="2"/>
        <v>43373</v>
      </c>
      <c r="F7" s="24">
        <f t="shared" si="3"/>
        <v>5763.362978</v>
      </c>
      <c r="G7" s="8">
        <f t="shared" si="7"/>
        <v>280.7768943</v>
      </c>
      <c r="H7" s="10"/>
      <c r="I7" s="25">
        <f t="shared" si="4"/>
        <v>35.22539167</v>
      </c>
      <c r="J7" s="25">
        <f t="shared" si="5"/>
        <v>245.5515026</v>
      </c>
      <c r="K7" s="25">
        <f t="shared" si="6"/>
        <v>5517.811475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4">
        <f t="shared" si="1"/>
        <v>4</v>
      </c>
      <c r="E8" s="26">
        <f t="shared" si="2"/>
        <v>43404</v>
      </c>
      <c r="F8" s="24">
        <f t="shared" si="3"/>
        <v>5517.811475</v>
      </c>
      <c r="G8" s="8">
        <f t="shared" si="7"/>
        <v>280.7768943</v>
      </c>
      <c r="H8" s="10"/>
      <c r="I8" s="25">
        <f t="shared" si="4"/>
        <v>33.72459293</v>
      </c>
      <c r="J8" s="25">
        <f t="shared" si="5"/>
        <v>247.0523014</v>
      </c>
      <c r="K8" s="25">
        <f t="shared" si="6"/>
        <v>5270.759174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24</v>
      </c>
      <c r="B9" s="2">
        <v>2.0</v>
      </c>
      <c r="C9" s="2"/>
      <c r="D9" s="28">
        <f t="shared" si="1"/>
        <v>5</v>
      </c>
      <c r="E9" s="29">
        <f t="shared" si="2"/>
        <v>43434</v>
      </c>
      <c r="F9" s="25">
        <f t="shared" si="3"/>
        <v>5270.759174</v>
      </c>
      <c r="G9" s="27">
        <f t="shared" si="7"/>
        <v>280.7768943</v>
      </c>
      <c r="H9" s="10"/>
      <c r="I9" s="25">
        <f t="shared" si="4"/>
        <v>32.21462139</v>
      </c>
      <c r="J9" s="25">
        <f t="shared" si="5"/>
        <v>248.5622729</v>
      </c>
      <c r="K9" s="25">
        <f t="shared" si="6"/>
        <v>5022.196901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</v>
      </c>
      <c r="B10" s="2">
        <v>2.0</v>
      </c>
      <c r="C10" s="2"/>
      <c r="D10" s="28">
        <f t="shared" si="1"/>
        <v>6</v>
      </c>
      <c r="E10" s="29">
        <f t="shared" si="2"/>
        <v>43465</v>
      </c>
      <c r="F10" s="25">
        <f t="shared" si="3"/>
        <v>5022.196901</v>
      </c>
      <c r="G10" s="27">
        <f t="shared" si="7"/>
        <v>280.7768943</v>
      </c>
      <c r="H10" s="10"/>
      <c r="I10" s="25">
        <f t="shared" si="4"/>
        <v>30.69542098</v>
      </c>
      <c r="J10" s="25">
        <f t="shared" si="5"/>
        <v>250.0814733</v>
      </c>
      <c r="K10" s="25">
        <f t="shared" si="6"/>
        <v>4772.115428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25</v>
      </c>
      <c r="B11" s="13" t="s">
        <v>26</v>
      </c>
      <c r="C11" s="2"/>
      <c r="D11" s="28">
        <f t="shared" si="1"/>
        <v>7</v>
      </c>
      <c r="E11" s="29">
        <f t="shared" si="2"/>
        <v>43496</v>
      </c>
      <c r="F11" s="25">
        <f t="shared" si="3"/>
        <v>4772.115428</v>
      </c>
      <c r="G11" s="27">
        <f t="shared" si="7"/>
        <v>280.7768943</v>
      </c>
      <c r="H11" s="10"/>
      <c r="I11" s="25">
        <f t="shared" si="4"/>
        <v>29.16693529</v>
      </c>
      <c r="J11" s="25">
        <f t="shared" si="5"/>
        <v>251.609959</v>
      </c>
      <c r="K11" s="25">
        <f t="shared" si="6"/>
        <v>4520.505469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27</v>
      </c>
      <c r="B12" s="2">
        <f>B10*12</f>
        <v>24</v>
      </c>
      <c r="C12" s="2"/>
      <c r="D12" s="28">
        <f t="shared" si="1"/>
        <v>8</v>
      </c>
      <c r="E12" s="29">
        <f t="shared" si="2"/>
        <v>43524</v>
      </c>
      <c r="F12" s="25">
        <f t="shared" si="3"/>
        <v>4520.505469</v>
      </c>
      <c r="G12" s="27">
        <f t="shared" si="7"/>
        <v>280.7768943</v>
      </c>
      <c r="H12" s="10"/>
      <c r="I12" s="25">
        <f t="shared" si="4"/>
        <v>27.62910757</v>
      </c>
      <c r="J12" s="25">
        <f t="shared" si="5"/>
        <v>253.1477867</v>
      </c>
      <c r="K12" s="25">
        <f t="shared" si="6"/>
        <v>4267.357682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28</v>
      </c>
      <c r="B13" s="2">
        <f>B9*12</f>
        <v>24</v>
      </c>
      <c r="C13" s="2"/>
      <c r="D13" s="28">
        <f t="shared" si="1"/>
        <v>9</v>
      </c>
      <c r="E13" s="29">
        <f t="shared" si="2"/>
        <v>43555</v>
      </c>
      <c r="F13" s="25">
        <f t="shared" si="3"/>
        <v>4267.357682</v>
      </c>
      <c r="G13" s="27">
        <f t="shared" si="7"/>
        <v>280.7768943</v>
      </c>
      <c r="H13" s="10"/>
      <c r="I13" s="25">
        <f t="shared" si="4"/>
        <v>26.08188072</v>
      </c>
      <c r="J13" s="25">
        <f t="shared" si="5"/>
        <v>254.6950136</v>
      </c>
      <c r="K13" s="25">
        <f t="shared" si="6"/>
        <v>4012.662669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29</v>
      </c>
      <c r="B14" s="21">
        <v>43281.0</v>
      </c>
      <c r="C14" s="2"/>
      <c r="D14" s="28">
        <f t="shared" si="1"/>
        <v>10</v>
      </c>
      <c r="E14" s="29">
        <f t="shared" si="2"/>
        <v>43585</v>
      </c>
      <c r="F14" s="25">
        <f t="shared" si="3"/>
        <v>4012.662669</v>
      </c>
      <c r="G14" s="27">
        <f t="shared" si="7"/>
        <v>280.7768943</v>
      </c>
      <c r="H14" s="25">
        <v>2200.0</v>
      </c>
      <c r="I14" s="25">
        <f t="shared" si="4"/>
        <v>24.5251973</v>
      </c>
      <c r="J14" s="25">
        <f t="shared" si="5"/>
        <v>256.251697</v>
      </c>
      <c r="K14" s="25">
        <f t="shared" si="6"/>
        <v>1556.410972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8">
        <f t="shared" si="1"/>
        <v>11</v>
      </c>
      <c r="E15" s="29">
        <f t="shared" si="2"/>
        <v>43616</v>
      </c>
      <c r="F15" s="25">
        <f t="shared" si="3"/>
        <v>1556.410972</v>
      </c>
      <c r="G15" s="27">
        <f t="shared" si="7"/>
        <v>280.7768943</v>
      </c>
      <c r="H15" s="10"/>
      <c r="I15" s="25">
        <f t="shared" si="4"/>
        <v>9.512707472</v>
      </c>
      <c r="J15" s="25">
        <f t="shared" si="5"/>
        <v>271.2641868</v>
      </c>
      <c r="K15" s="25">
        <f t="shared" si="6"/>
        <v>1285.146785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30</v>
      </c>
      <c r="B16" s="10">
        <f>-CUMIPMT(B6/12,B13,B3,1,B13,0)</f>
        <v>330.7084601</v>
      </c>
      <c r="C16" s="2"/>
      <c r="D16" s="28">
        <f t="shared" si="1"/>
        <v>12</v>
      </c>
      <c r="E16" s="29">
        <f t="shared" si="2"/>
        <v>43646</v>
      </c>
      <c r="F16" s="25">
        <f t="shared" si="3"/>
        <v>1285.146785</v>
      </c>
      <c r="G16" s="27">
        <f t="shared" si="7"/>
        <v>280.7768943</v>
      </c>
      <c r="H16" s="10"/>
      <c r="I16" s="25">
        <f t="shared" si="4"/>
        <v>7.854754076</v>
      </c>
      <c r="J16" s="25">
        <f t="shared" si="5"/>
        <v>272.9221402</v>
      </c>
      <c r="K16" s="25">
        <f t="shared" si="6"/>
        <v>1012.224645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8">
        <f t="shared" si="1"/>
        <v>13</v>
      </c>
      <c r="E17" s="29">
        <f t="shared" si="2"/>
        <v>43677</v>
      </c>
      <c r="F17" s="25">
        <f t="shared" si="3"/>
        <v>1012.224645</v>
      </c>
      <c r="G17" s="27">
        <f t="shared" si="7"/>
        <v>280.7768943</v>
      </c>
      <c r="H17" s="10"/>
      <c r="I17" s="25">
        <f t="shared" si="4"/>
        <v>6.186667349</v>
      </c>
      <c r="J17" s="25">
        <f t="shared" si="5"/>
        <v>274.5902269</v>
      </c>
      <c r="K17" s="25">
        <f t="shared" si="6"/>
        <v>737.6344176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8">
        <f t="shared" si="1"/>
        <v>14</v>
      </c>
      <c r="E18" s="29">
        <f t="shared" si="2"/>
        <v>43708</v>
      </c>
      <c r="F18" s="25">
        <f t="shared" si="3"/>
        <v>737.6344176</v>
      </c>
      <c r="G18" s="27">
        <f t="shared" si="7"/>
        <v>280.7768943</v>
      </c>
      <c r="H18" s="10"/>
      <c r="I18" s="25">
        <f t="shared" si="4"/>
        <v>4.508385358</v>
      </c>
      <c r="J18" s="25">
        <f t="shared" si="5"/>
        <v>276.2685089</v>
      </c>
      <c r="K18" s="25">
        <f t="shared" si="6"/>
        <v>461.3659086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9</v>
      </c>
      <c r="B19" s="2"/>
      <c r="C19" s="2"/>
      <c r="D19" s="28">
        <f t="shared" si="1"/>
        <v>15</v>
      </c>
      <c r="E19" s="29">
        <f t="shared" si="2"/>
        <v>43738</v>
      </c>
      <c r="F19" s="25">
        <f t="shared" si="3"/>
        <v>461.3659086</v>
      </c>
      <c r="G19" s="27">
        <f t="shared" si="7"/>
        <v>280.7768943</v>
      </c>
      <c r="H19" s="10"/>
      <c r="I19" s="25">
        <f t="shared" si="4"/>
        <v>2.819845791</v>
      </c>
      <c r="J19" s="25">
        <f t="shared" si="5"/>
        <v>277.9570485</v>
      </c>
      <c r="K19" s="25">
        <f t="shared" si="6"/>
        <v>183.4088601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10</v>
      </c>
      <c r="B20" s="12">
        <f>B3</f>
        <v>6250</v>
      </c>
      <c r="C20" s="2"/>
      <c r="D20" s="28">
        <f t="shared" si="1"/>
        <v>16</v>
      </c>
      <c r="E20" s="29">
        <f t="shared" si="2"/>
        <v>43769</v>
      </c>
      <c r="F20" s="25">
        <f t="shared" si="3"/>
        <v>183.4088601</v>
      </c>
      <c r="G20" s="27">
        <f t="shared" si="7"/>
        <v>184.5298461</v>
      </c>
      <c r="H20" s="10"/>
      <c r="I20" s="25">
        <f t="shared" si="4"/>
        <v>1.120985952</v>
      </c>
      <c r="J20" s="25">
        <f t="shared" si="5"/>
        <v>183.4088601</v>
      </c>
      <c r="K20" s="25">
        <f t="shared" si="6"/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11</v>
      </c>
      <c r="B21" s="12">
        <f>B5</f>
        <v>150</v>
      </c>
      <c r="C21" s="2"/>
      <c r="D21" s="2" t="str">
        <f t="shared" si="1"/>
        <v/>
      </c>
      <c r="E21" s="2" t="str">
        <f t="shared" si="2"/>
        <v/>
      </c>
      <c r="F21" s="10" t="str">
        <f t="shared" si="3"/>
        <v/>
      </c>
      <c r="G21" s="33" t="str">
        <f t="shared" si="7"/>
        <v/>
      </c>
      <c r="H21" s="10"/>
      <c r="I21" s="10" t="str">
        <f t="shared" si="4"/>
        <v/>
      </c>
      <c r="J21" s="10" t="str">
        <f t="shared" si="5"/>
        <v/>
      </c>
      <c r="K21" s="10" t="str">
        <f t="shared" si="6"/>
        <v/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 t="str">
        <f t="shared" si="1"/>
        <v/>
      </c>
      <c r="E22" s="2" t="str">
        <f t="shared" si="2"/>
        <v/>
      </c>
      <c r="F22" s="10" t="str">
        <f t="shared" si="3"/>
        <v/>
      </c>
      <c r="G22" s="33" t="str">
        <f t="shared" si="7"/>
        <v/>
      </c>
      <c r="H22" s="10"/>
      <c r="I22" s="10" t="str">
        <f t="shared" si="4"/>
        <v/>
      </c>
      <c r="J22" s="10" t="str">
        <f t="shared" si="5"/>
        <v/>
      </c>
      <c r="K22" s="10" t="str">
        <f t="shared" si="6"/>
        <v/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12</v>
      </c>
      <c r="B23" s="12">
        <f>SUM(B20:B21)</f>
        <v>6400</v>
      </c>
      <c r="C23" s="2"/>
      <c r="D23" s="2" t="str">
        <f t="shared" si="1"/>
        <v/>
      </c>
      <c r="E23" s="2" t="str">
        <f t="shared" si="2"/>
        <v/>
      </c>
      <c r="F23" s="10" t="str">
        <f t="shared" si="3"/>
        <v/>
      </c>
      <c r="G23" s="33" t="str">
        <f t="shared" si="7"/>
        <v/>
      </c>
      <c r="H23" s="10"/>
      <c r="I23" s="10" t="str">
        <f t="shared" si="4"/>
        <v/>
      </c>
      <c r="J23" s="10" t="str">
        <f t="shared" si="5"/>
        <v/>
      </c>
      <c r="K23" s="10" t="str">
        <f t="shared" si="6"/>
        <v/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13</v>
      </c>
      <c r="B24" s="12">
        <f>-PMT(B6/12,B12,B23)</f>
        <v>280.7768943</v>
      </c>
      <c r="C24" s="2"/>
      <c r="D24" s="2" t="str">
        <f t="shared" si="1"/>
        <v/>
      </c>
      <c r="E24" s="2" t="str">
        <f t="shared" si="2"/>
        <v/>
      </c>
      <c r="F24" s="10" t="str">
        <f t="shared" si="3"/>
        <v/>
      </c>
      <c r="G24" s="33" t="str">
        <f t="shared" si="7"/>
        <v/>
      </c>
      <c r="H24" s="10"/>
      <c r="I24" s="10" t="str">
        <f t="shared" si="4"/>
        <v/>
      </c>
      <c r="J24" s="10" t="str">
        <f t="shared" si="5"/>
        <v/>
      </c>
      <c r="K24" s="10" t="str">
        <f t="shared" si="6"/>
        <v/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8</v>
      </c>
      <c r="B25" s="13">
        <f>RATE(B12,-B24,B20)*12</f>
        <v>0.07334341106</v>
      </c>
      <c r="C25" s="2"/>
      <c r="D25" s="2" t="str">
        <f t="shared" si="1"/>
        <v/>
      </c>
      <c r="E25" s="2" t="str">
        <f t="shared" si="2"/>
        <v/>
      </c>
      <c r="F25" s="10" t="str">
        <f t="shared" si="3"/>
        <v/>
      </c>
      <c r="G25" s="33" t="str">
        <f t="shared" si="7"/>
        <v/>
      </c>
      <c r="H25" s="10"/>
      <c r="I25" s="10" t="str">
        <f t="shared" si="4"/>
        <v/>
      </c>
      <c r="J25" s="10" t="str">
        <f t="shared" si="5"/>
        <v/>
      </c>
      <c r="K25" s="10" t="str">
        <f t="shared" si="6"/>
        <v/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 t="str">
        <f t="shared" si="1"/>
        <v/>
      </c>
      <c r="E26" s="2" t="str">
        <f t="shared" si="2"/>
        <v/>
      </c>
      <c r="F26" s="10" t="str">
        <f t="shared" si="3"/>
        <v/>
      </c>
      <c r="G26" s="33" t="str">
        <f t="shared" si="7"/>
        <v/>
      </c>
      <c r="H26" s="10"/>
      <c r="I26" s="10" t="str">
        <f t="shared" si="4"/>
        <v/>
      </c>
      <c r="J26" s="10" t="str">
        <f t="shared" si="5"/>
        <v/>
      </c>
      <c r="K26" s="10" t="str">
        <f t="shared" si="6"/>
        <v/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 t="str">
        <f t="shared" si="1"/>
        <v/>
      </c>
      <c r="E27" s="2" t="str">
        <f t="shared" si="2"/>
        <v/>
      </c>
      <c r="F27" s="10" t="str">
        <f t="shared" si="3"/>
        <v/>
      </c>
      <c r="G27" s="33" t="str">
        <f t="shared" si="7"/>
        <v/>
      </c>
      <c r="H27" s="10"/>
      <c r="I27" s="10" t="str">
        <f t="shared" si="4"/>
        <v/>
      </c>
      <c r="J27" s="10" t="str">
        <f t="shared" si="5"/>
        <v/>
      </c>
      <c r="K27" s="10" t="str">
        <f t="shared" si="6"/>
        <v/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 t="str">
        <f t="shared" si="1"/>
        <v/>
      </c>
      <c r="E28" s="2" t="str">
        <f t="shared" si="2"/>
        <v/>
      </c>
      <c r="F28" s="10" t="str">
        <f t="shared" si="3"/>
        <v/>
      </c>
      <c r="G28" s="33" t="str">
        <f t="shared" si="7"/>
        <v/>
      </c>
      <c r="H28" s="10"/>
      <c r="I28" s="10" t="str">
        <f t="shared" si="4"/>
        <v/>
      </c>
      <c r="J28" s="10" t="str">
        <f t="shared" si="5"/>
        <v/>
      </c>
      <c r="K28" s="10" t="str">
        <f t="shared" si="6"/>
        <v/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20</v>
      </c>
      <c r="B1" s="2"/>
      <c r="C1" s="2"/>
      <c r="D1" s="2"/>
      <c r="E1" s="2"/>
      <c r="F1" s="2"/>
      <c r="G1" s="2"/>
      <c r="H1" s="1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1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19">
        <v>25000.0</v>
      </c>
      <c r="C3" s="2"/>
      <c r="D3" s="4" t="s">
        <v>31</v>
      </c>
      <c r="E3" s="4" t="s">
        <v>32</v>
      </c>
      <c r="F3" s="4" t="s">
        <v>33</v>
      </c>
      <c r="G3" s="4" t="s">
        <v>5</v>
      </c>
      <c r="H3" s="13" t="s">
        <v>37</v>
      </c>
      <c r="I3" s="2" t="s">
        <v>35</v>
      </c>
      <c r="J3" s="2" t="s">
        <v>1</v>
      </c>
      <c r="K3" s="23" t="s">
        <v>36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23</v>
      </c>
      <c r="B4" s="20">
        <v>0.06</v>
      </c>
      <c r="C4" s="2"/>
      <c r="D4" s="4">
        <v>0.0</v>
      </c>
      <c r="E4" s="34">
        <f>B9</f>
        <v>43281</v>
      </c>
      <c r="F4" s="24">
        <v>0.0</v>
      </c>
      <c r="G4" s="24">
        <v>0.0</v>
      </c>
      <c r="H4" s="13"/>
      <c r="I4" s="25">
        <v>0.0</v>
      </c>
      <c r="J4" s="25">
        <v>0.0</v>
      </c>
      <c r="K4" s="25">
        <f>B3</f>
        <v>25000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2"/>
      <c r="D5" s="4">
        <v>1.0</v>
      </c>
      <c r="E5" s="35">
        <f t="shared" ref="E5:E28" si="1">EOMONTH($B$9,D5)</f>
        <v>43312</v>
      </c>
      <c r="F5" s="24">
        <f t="shared" ref="F5:F28" si="2">K4</f>
        <v>25000</v>
      </c>
      <c r="G5" s="24">
        <f t="shared" ref="G5:G28" si="3">-PMT($B$4/12,$B$8,$B$3,0)</f>
        <v>1108.015256</v>
      </c>
      <c r="H5" s="36">
        <f>B4</f>
        <v>0.06</v>
      </c>
      <c r="I5" s="27">
        <f t="shared" ref="I5:I28" si="4">F5*H5/12</f>
        <v>125</v>
      </c>
      <c r="J5" s="27">
        <f t="shared" ref="J5:J28" si="5">G5-I5</f>
        <v>983.0152563</v>
      </c>
      <c r="K5" s="25">
        <f t="shared" ref="K5:K28" si="6">F5-J5</f>
        <v>24016.98474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</v>
      </c>
      <c r="B6" s="3">
        <v>2.0</v>
      </c>
      <c r="C6" s="2"/>
      <c r="D6" s="4">
        <v>2.0</v>
      </c>
      <c r="E6" s="35">
        <f t="shared" si="1"/>
        <v>43343</v>
      </c>
      <c r="F6" s="24">
        <f t="shared" si="2"/>
        <v>24016.98474</v>
      </c>
      <c r="G6" s="24">
        <f t="shared" si="3"/>
        <v>1108.015256</v>
      </c>
      <c r="H6" s="36">
        <f t="shared" ref="H6:H28" si="7">H5+0.25%</f>
        <v>0.0625</v>
      </c>
      <c r="I6" s="27">
        <f t="shared" si="4"/>
        <v>125.0884622</v>
      </c>
      <c r="J6" s="27">
        <f t="shared" si="5"/>
        <v>982.9267941</v>
      </c>
      <c r="K6" s="25">
        <f t="shared" si="6"/>
        <v>23034.05795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25</v>
      </c>
      <c r="B7" s="20" t="s">
        <v>26</v>
      </c>
      <c r="C7" s="2"/>
      <c r="D7" s="4">
        <v>3.0</v>
      </c>
      <c r="E7" s="35">
        <f t="shared" si="1"/>
        <v>43373</v>
      </c>
      <c r="F7" s="24">
        <f t="shared" si="2"/>
        <v>23034.05795</v>
      </c>
      <c r="G7" s="24">
        <f t="shared" si="3"/>
        <v>1108.015256</v>
      </c>
      <c r="H7" s="36">
        <f t="shared" si="7"/>
        <v>0.065</v>
      </c>
      <c r="I7" s="27">
        <f t="shared" si="4"/>
        <v>124.7678139</v>
      </c>
      <c r="J7" s="27">
        <f t="shared" si="5"/>
        <v>983.2474424</v>
      </c>
      <c r="K7" s="25">
        <f t="shared" si="6"/>
        <v>22050.81051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27</v>
      </c>
      <c r="B8" s="3">
        <f>B6*12</f>
        <v>24</v>
      </c>
      <c r="C8" s="2"/>
      <c r="D8" s="4">
        <v>4.0</v>
      </c>
      <c r="E8" s="35">
        <f t="shared" si="1"/>
        <v>43404</v>
      </c>
      <c r="F8" s="24">
        <f t="shared" si="2"/>
        <v>22050.81051</v>
      </c>
      <c r="G8" s="24">
        <f t="shared" si="3"/>
        <v>1108.015256</v>
      </c>
      <c r="H8" s="36">
        <f t="shared" si="7"/>
        <v>0.0675</v>
      </c>
      <c r="I8" s="27">
        <f t="shared" si="4"/>
        <v>124.0358091</v>
      </c>
      <c r="J8" s="27">
        <f t="shared" si="5"/>
        <v>983.9794472</v>
      </c>
      <c r="K8" s="25">
        <f t="shared" si="6"/>
        <v>21066.83106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29</v>
      </c>
      <c r="B9" s="21">
        <v>43281.0</v>
      </c>
      <c r="C9" s="2"/>
      <c r="D9" s="28">
        <v>5.0</v>
      </c>
      <c r="E9" s="29">
        <f t="shared" si="1"/>
        <v>43434</v>
      </c>
      <c r="F9" s="25">
        <f t="shared" si="2"/>
        <v>21066.83106</v>
      </c>
      <c r="G9" s="25">
        <f t="shared" si="3"/>
        <v>1108.015256</v>
      </c>
      <c r="H9" s="36">
        <f t="shared" si="7"/>
        <v>0.07</v>
      </c>
      <c r="I9" s="27">
        <f t="shared" si="4"/>
        <v>122.8898478</v>
      </c>
      <c r="J9" s="27">
        <f t="shared" si="5"/>
        <v>985.1254085</v>
      </c>
      <c r="K9" s="25">
        <f t="shared" si="6"/>
        <v>20081.70565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8">
        <v>6.0</v>
      </c>
      <c r="E10" s="29">
        <f t="shared" si="1"/>
        <v>43465</v>
      </c>
      <c r="F10" s="25">
        <f t="shared" si="2"/>
        <v>20081.70565</v>
      </c>
      <c r="G10" s="25">
        <f t="shared" si="3"/>
        <v>1108.015256</v>
      </c>
      <c r="H10" s="36">
        <f t="shared" si="7"/>
        <v>0.0725</v>
      </c>
      <c r="I10" s="27">
        <f t="shared" si="4"/>
        <v>121.3269716</v>
      </c>
      <c r="J10" s="27">
        <f t="shared" si="5"/>
        <v>986.6882847</v>
      </c>
      <c r="K10" s="25">
        <f t="shared" si="6"/>
        <v>19095.01737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8">
        <v>7.0</v>
      </c>
      <c r="E11" s="29">
        <f t="shared" si="1"/>
        <v>43496</v>
      </c>
      <c r="F11" s="25">
        <f t="shared" si="2"/>
        <v>19095.01737</v>
      </c>
      <c r="G11" s="25">
        <f t="shared" si="3"/>
        <v>1108.015256</v>
      </c>
      <c r="H11" s="36">
        <f t="shared" si="7"/>
        <v>0.075</v>
      </c>
      <c r="I11" s="27">
        <f t="shared" si="4"/>
        <v>119.3438585</v>
      </c>
      <c r="J11" s="27">
        <f t="shared" si="5"/>
        <v>988.6713978</v>
      </c>
      <c r="K11" s="25">
        <f t="shared" si="6"/>
        <v>18106.34597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8">
        <v>8.0</v>
      </c>
      <c r="E12" s="29">
        <f t="shared" si="1"/>
        <v>43524</v>
      </c>
      <c r="F12" s="25">
        <f t="shared" si="2"/>
        <v>18106.34597</v>
      </c>
      <c r="G12" s="25">
        <f t="shared" si="3"/>
        <v>1108.015256</v>
      </c>
      <c r="H12" s="36">
        <f t="shared" si="7"/>
        <v>0.0775</v>
      </c>
      <c r="I12" s="27">
        <f t="shared" si="4"/>
        <v>116.9368177</v>
      </c>
      <c r="J12" s="27">
        <f t="shared" si="5"/>
        <v>991.0784386</v>
      </c>
      <c r="K12" s="25">
        <f t="shared" si="6"/>
        <v>17115.26753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0"/>
      <c r="C13" s="2"/>
      <c r="D13" s="28">
        <v>9.0</v>
      </c>
      <c r="E13" s="29">
        <f t="shared" si="1"/>
        <v>43555</v>
      </c>
      <c r="F13" s="25">
        <f t="shared" si="2"/>
        <v>17115.26753</v>
      </c>
      <c r="G13" s="25">
        <f t="shared" si="3"/>
        <v>1108.015256</v>
      </c>
      <c r="H13" s="36">
        <f t="shared" si="7"/>
        <v>0.08</v>
      </c>
      <c r="I13" s="27">
        <f t="shared" si="4"/>
        <v>114.1017835</v>
      </c>
      <c r="J13" s="27">
        <f t="shared" si="5"/>
        <v>993.9134728</v>
      </c>
      <c r="K13" s="25">
        <f t="shared" si="6"/>
        <v>16121.35406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8">
        <v>10.0</v>
      </c>
      <c r="E14" s="29">
        <f t="shared" si="1"/>
        <v>43585</v>
      </c>
      <c r="F14" s="25">
        <f t="shared" si="2"/>
        <v>16121.35406</v>
      </c>
      <c r="G14" s="25">
        <f t="shared" si="3"/>
        <v>1108.015256</v>
      </c>
      <c r="H14" s="36">
        <f t="shared" si="7"/>
        <v>0.0825</v>
      </c>
      <c r="I14" s="27">
        <f t="shared" si="4"/>
        <v>110.8343091</v>
      </c>
      <c r="J14" s="27">
        <f t="shared" si="5"/>
        <v>997.1809472</v>
      </c>
      <c r="K14" s="25">
        <f t="shared" si="6"/>
        <v>15124.17311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8">
        <v>11.0</v>
      </c>
      <c r="E15" s="29">
        <f t="shared" si="1"/>
        <v>43616</v>
      </c>
      <c r="F15" s="25">
        <f t="shared" si="2"/>
        <v>15124.17311</v>
      </c>
      <c r="G15" s="25">
        <f t="shared" si="3"/>
        <v>1108.015256</v>
      </c>
      <c r="H15" s="36">
        <f t="shared" si="7"/>
        <v>0.085</v>
      </c>
      <c r="I15" s="27">
        <f t="shared" si="4"/>
        <v>107.1295595</v>
      </c>
      <c r="J15" s="27">
        <f t="shared" si="5"/>
        <v>1000.885697</v>
      </c>
      <c r="K15" s="25">
        <f t="shared" si="6"/>
        <v>14123.28741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8">
        <v>12.0</v>
      </c>
      <c r="E16" s="29">
        <f t="shared" si="1"/>
        <v>43646</v>
      </c>
      <c r="F16" s="25">
        <f t="shared" si="2"/>
        <v>14123.28741</v>
      </c>
      <c r="G16" s="25">
        <f t="shared" si="3"/>
        <v>1108.015256</v>
      </c>
      <c r="H16" s="36">
        <f t="shared" si="7"/>
        <v>0.0875</v>
      </c>
      <c r="I16" s="27">
        <f t="shared" si="4"/>
        <v>102.9823041</v>
      </c>
      <c r="J16" s="27">
        <f t="shared" si="5"/>
        <v>1005.032952</v>
      </c>
      <c r="K16" s="25">
        <f t="shared" si="6"/>
        <v>13118.25446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8">
        <v>13.0</v>
      </c>
      <c r="E17" s="29">
        <f t="shared" si="1"/>
        <v>43677</v>
      </c>
      <c r="F17" s="25">
        <f t="shared" si="2"/>
        <v>13118.25446</v>
      </c>
      <c r="G17" s="25">
        <f t="shared" si="3"/>
        <v>1108.015256</v>
      </c>
      <c r="H17" s="36">
        <f t="shared" si="7"/>
        <v>0.09</v>
      </c>
      <c r="I17" s="27">
        <f t="shared" si="4"/>
        <v>98.38690846</v>
      </c>
      <c r="J17" s="27">
        <f t="shared" si="5"/>
        <v>1009.628348</v>
      </c>
      <c r="K17" s="25">
        <f t="shared" si="6"/>
        <v>12108.62611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8">
        <v>14.0</v>
      </c>
      <c r="E18" s="29">
        <f t="shared" si="1"/>
        <v>43708</v>
      </c>
      <c r="F18" s="25">
        <f t="shared" si="2"/>
        <v>12108.62611</v>
      </c>
      <c r="G18" s="25">
        <f t="shared" si="3"/>
        <v>1108.015256</v>
      </c>
      <c r="H18" s="36">
        <f t="shared" si="7"/>
        <v>0.0925</v>
      </c>
      <c r="I18" s="27">
        <f t="shared" si="4"/>
        <v>93.33732629</v>
      </c>
      <c r="J18" s="27">
        <f t="shared" si="5"/>
        <v>1014.67793</v>
      </c>
      <c r="K18" s="25">
        <f t="shared" si="6"/>
        <v>11093.94818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8">
        <v>15.0</v>
      </c>
      <c r="E19" s="29">
        <f t="shared" si="1"/>
        <v>43738</v>
      </c>
      <c r="F19" s="25">
        <f t="shared" si="2"/>
        <v>11093.94818</v>
      </c>
      <c r="G19" s="25">
        <f t="shared" si="3"/>
        <v>1108.015256</v>
      </c>
      <c r="H19" s="36">
        <f t="shared" si="7"/>
        <v>0.095</v>
      </c>
      <c r="I19" s="27">
        <f t="shared" si="4"/>
        <v>87.82708979</v>
      </c>
      <c r="J19" s="27">
        <f t="shared" si="5"/>
        <v>1020.188167</v>
      </c>
      <c r="K19" s="25">
        <f t="shared" si="6"/>
        <v>10073.76002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2"/>
      <c r="C20" s="2"/>
      <c r="D20" s="28">
        <v>16.0</v>
      </c>
      <c r="E20" s="29">
        <f t="shared" si="1"/>
        <v>43769</v>
      </c>
      <c r="F20" s="25">
        <f t="shared" si="2"/>
        <v>10073.76002</v>
      </c>
      <c r="G20" s="25">
        <f t="shared" si="3"/>
        <v>1108.015256</v>
      </c>
      <c r="H20" s="36">
        <f t="shared" si="7"/>
        <v>0.0975</v>
      </c>
      <c r="I20" s="27">
        <f t="shared" si="4"/>
        <v>81.84930014</v>
      </c>
      <c r="J20" s="27">
        <f t="shared" si="5"/>
        <v>1026.165956</v>
      </c>
      <c r="K20" s="25">
        <f t="shared" si="6"/>
        <v>9047.594061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2"/>
      <c r="C21" s="2"/>
      <c r="D21" s="28">
        <v>17.0</v>
      </c>
      <c r="E21" s="29">
        <f t="shared" si="1"/>
        <v>43799</v>
      </c>
      <c r="F21" s="25">
        <f t="shared" si="2"/>
        <v>9047.594061</v>
      </c>
      <c r="G21" s="25">
        <f t="shared" si="3"/>
        <v>1108.015256</v>
      </c>
      <c r="H21" s="36">
        <f t="shared" si="7"/>
        <v>0.1</v>
      </c>
      <c r="I21" s="27">
        <f t="shared" si="4"/>
        <v>75.39661717</v>
      </c>
      <c r="J21" s="27">
        <f t="shared" si="5"/>
        <v>1032.618639</v>
      </c>
      <c r="K21" s="25">
        <f t="shared" si="6"/>
        <v>8014.975422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8">
        <v>18.0</v>
      </c>
      <c r="E22" s="29">
        <f t="shared" si="1"/>
        <v>43830</v>
      </c>
      <c r="F22" s="25">
        <f t="shared" si="2"/>
        <v>8014.975422</v>
      </c>
      <c r="G22" s="25">
        <f t="shared" si="3"/>
        <v>1108.015256</v>
      </c>
      <c r="H22" s="36">
        <f t="shared" si="7"/>
        <v>0.1025</v>
      </c>
      <c r="I22" s="27">
        <f t="shared" si="4"/>
        <v>68.46124839</v>
      </c>
      <c r="J22" s="27">
        <f t="shared" si="5"/>
        <v>1039.554008</v>
      </c>
      <c r="K22" s="25">
        <f t="shared" si="6"/>
        <v>6975.421414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2"/>
      <c r="C23" s="2"/>
      <c r="D23" s="28">
        <v>19.0</v>
      </c>
      <c r="E23" s="29">
        <f t="shared" si="1"/>
        <v>43861</v>
      </c>
      <c r="F23" s="25">
        <f t="shared" si="2"/>
        <v>6975.421414</v>
      </c>
      <c r="G23" s="25">
        <f t="shared" si="3"/>
        <v>1108.015256</v>
      </c>
      <c r="H23" s="36">
        <f t="shared" si="7"/>
        <v>0.105</v>
      </c>
      <c r="I23" s="27">
        <f t="shared" si="4"/>
        <v>61.03493737</v>
      </c>
      <c r="J23" s="27">
        <f t="shared" si="5"/>
        <v>1046.980319</v>
      </c>
      <c r="K23" s="25">
        <f t="shared" si="6"/>
        <v>5928.441095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2"/>
      <c r="C24" s="2"/>
      <c r="D24" s="28">
        <v>20.0</v>
      </c>
      <c r="E24" s="29">
        <f t="shared" si="1"/>
        <v>43890</v>
      </c>
      <c r="F24" s="25">
        <f t="shared" si="2"/>
        <v>5928.441095</v>
      </c>
      <c r="G24" s="25">
        <f t="shared" si="3"/>
        <v>1108.015256</v>
      </c>
      <c r="H24" s="36">
        <f t="shared" si="7"/>
        <v>0.1075</v>
      </c>
      <c r="I24" s="27">
        <f t="shared" si="4"/>
        <v>53.10895147</v>
      </c>
      <c r="J24" s="27">
        <f t="shared" si="5"/>
        <v>1054.906305</v>
      </c>
      <c r="K24" s="25">
        <f t="shared" si="6"/>
        <v>4873.53479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3"/>
      <c r="C25" s="2"/>
      <c r="D25" s="28">
        <v>21.0</v>
      </c>
      <c r="E25" s="29">
        <f t="shared" si="1"/>
        <v>43921</v>
      </c>
      <c r="F25" s="25">
        <f t="shared" si="2"/>
        <v>4873.53479</v>
      </c>
      <c r="G25" s="25">
        <f t="shared" si="3"/>
        <v>1108.015256</v>
      </c>
      <c r="H25" s="36">
        <f t="shared" si="7"/>
        <v>0.11</v>
      </c>
      <c r="I25" s="27">
        <f t="shared" si="4"/>
        <v>44.67406891</v>
      </c>
      <c r="J25" s="27">
        <f t="shared" si="5"/>
        <v>1063.341187</v>
      </c>
      <c r="K25" s="25">
        <f t="shared" si="6"/>
        <v>3810.193603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8">
        <v>22.0</v>
      </c>
      <c r="E26" s="29">
        <f t="shared" si="1"/>
        <v>43951</v>
      </c>
      <c r="F26" s="25">
        <f t="shared" si="2"/>
        <v>3810.193603</v>
      </c>
      <c r="G26" s="25">
        <f t="shared" si="3"/>
        <v>1108.015256</v>
      </c>
      <c r="H26" s="36">
        <f t="shared" si="7"/>
        <v>0.1125</v>
      </c>
      <c r="I26" s="27">
        <f t="shared" si="4"/>
        <v>35.72056502</v>
      </c>
      <c r="J26" s="27">
        <f t="shared" si="5"/>
        <v>1072.294691</v>
      </c>
      <c r="K26" s="25">
        <f t="shared" si="6"/>
        <v>2737.898911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8">
        <v>23.0</v>
      </c>
      <c r="E27" s="29">
        <f t="shared" si="1"/>
        <v>43982</v>
      </c>
      <c r="F27" s="25">
        <f t="shared" si="2"/>
        <v>2737.898911</v>
      </c>
      <c r="G27" s="25">
        <f t="shared" si="3"/>
        <v>1108.015256</v>
      </c>
      <c r="H27" s="36">
        <f t="shared" si="7"/>
        <v>0.115</v>
      </c>
      <c r="I27" s="27">
        <f t="shared" si="4"/>
        <v>26.2381979</v>
      </c>
      <c r="J27" s="27">
        <f t="shared" si="5"/>
        <v>1081.777058</v>
      </c>
      <c r="K27" s="25">
        <f t="shared" si="6"/>
        <v>1656.121853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8">
        <v>24.0</v>
      </c>
      <c r="E28" s="29">
        <f t="shared" si="1"/>
        <v>44012</v>
      </c>
      <c r="F28" s="25">
        <f t="shared" si="2"/>
        <v>1656.121853</v>
      </c>
      <c r="G28" s="25">
        <f t="shared" si="3"/>
        <v>1108.015256</v>
      </c>
      <c r="H28" s="36">
        <f t="shared" si="7"/>
        <v>0.1175</v>
      </c>
      <c r="I28" s="27">
        <f t="shared" si="4"/>
        <v>16.21619314</v>
      </c>
      <c r="J28" s="27">
        <f t="shared" si="5"/>
        <v>1091.799063</v>
      </c>
      <c r="K28" s="25">
        <f t="shared" si="6"/>
        <v>564.3227896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1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1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1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1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1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1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1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1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1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1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1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1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1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1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1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1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1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1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1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1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1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1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1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1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1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1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1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1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1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1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1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1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1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1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1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1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1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1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1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1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1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1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1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1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1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1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1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1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1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1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1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1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1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1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1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1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1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1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1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1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1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1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1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1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1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1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1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1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1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1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1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1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1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1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1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1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1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1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1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1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1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1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1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1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1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1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1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1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1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1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1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1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1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1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1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1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1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1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1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1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1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1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1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1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1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1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1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1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1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1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1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1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1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1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1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1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1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1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1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1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1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1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1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1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1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1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1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1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1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1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1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1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1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1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1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1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1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1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1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1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1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1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1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1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1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1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1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1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1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1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1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1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1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1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1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1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1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1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1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1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1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1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1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1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1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1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1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1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1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1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1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1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1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1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1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1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1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1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1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1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1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1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1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1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1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1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1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1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1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1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1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1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1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1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1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1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1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1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1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1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1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1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1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1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1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1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1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1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1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1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1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1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1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1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1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1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1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1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1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1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1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1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1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1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1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1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1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1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1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1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1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1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1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1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1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1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1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1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1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1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1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1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1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1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1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1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1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1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1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1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1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1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1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1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1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1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1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1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1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1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1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1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1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1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1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1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1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1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1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1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1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1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1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1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1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1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1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1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1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1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1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1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1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1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1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1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1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1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1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1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1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1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1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1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1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1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1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1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1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1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1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1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1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1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1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1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1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1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1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1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1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1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1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1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1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1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1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1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1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1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1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1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1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1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1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1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1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1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1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1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1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1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1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1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1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1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1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1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1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1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1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1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1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1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1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1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1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1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1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1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1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1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1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1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1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1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1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1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1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1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1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1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1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1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1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1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1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1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1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1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1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1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1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1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1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1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1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1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1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1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1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1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1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1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1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1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1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1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1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1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1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1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1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1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1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1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1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1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1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1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1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1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1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1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1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1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1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1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1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1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1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1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1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1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1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1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1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1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1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1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1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1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1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1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1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1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1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1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1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1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1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1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1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1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1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1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1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1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1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1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1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1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1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1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13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1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1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1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1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1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1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1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1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1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1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1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13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1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1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1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1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1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1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1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1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1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1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1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1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1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1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1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1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1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1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1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1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1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1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1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1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1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1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1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1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1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1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1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1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13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13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1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1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1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1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1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1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1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1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1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1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1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1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1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1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1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1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1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1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1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1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1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1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1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1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1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1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1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1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13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13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13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13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13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1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1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1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1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1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1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1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1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1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1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1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1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1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1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1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1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1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1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1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1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1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1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1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1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1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1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1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1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1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1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1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1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1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1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1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1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1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1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1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1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1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1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1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1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1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1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1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1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1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1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1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1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1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1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13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13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1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1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1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1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13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13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13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13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13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1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1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1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1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1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1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1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1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1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1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1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1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1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1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1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1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1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1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1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1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1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1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1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1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1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1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1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1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1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1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1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1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1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1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1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1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1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1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1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1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1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1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1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1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1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1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1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1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1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1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1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1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1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1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1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1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1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1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1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1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1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1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1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1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1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1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1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1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1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1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1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1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1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1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1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1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1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1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1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1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1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1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1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1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1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1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1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1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1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1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1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1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1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1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1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1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1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1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1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1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1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1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1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1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1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1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1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1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1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1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1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1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1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1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1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1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1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1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1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1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1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1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1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1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1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1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1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1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1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1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1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1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1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1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1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1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1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1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1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1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1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1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1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1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1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1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1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1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1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1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1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1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1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1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1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1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1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1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1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1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1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1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1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1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1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1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1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1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1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1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1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1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1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1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1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1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1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1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1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1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1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1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1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1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1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1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1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1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1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1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1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1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1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1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1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1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1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1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1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1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1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1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1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1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1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1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1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1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1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1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1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1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1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1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1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1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1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1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1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1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1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1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1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1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1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1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1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1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1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1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1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1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1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1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1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1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1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1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1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1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1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1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1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1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1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1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1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1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1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1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1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1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1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1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1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1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1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1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1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1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1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1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1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1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1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1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1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1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1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1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1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1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1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1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1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1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1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1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1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1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1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1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1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1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1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1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1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1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1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1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1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1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1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1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1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1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1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1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1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1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1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1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1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1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13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13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13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13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13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13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13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13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1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1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1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1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1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1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1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1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1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1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1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1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1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1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1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1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13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13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13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13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13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13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13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13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13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13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1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1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1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1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1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1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1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13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1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13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13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13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13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13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13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13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13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13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13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13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13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13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13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1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1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1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1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1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1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1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13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13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1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13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13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13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13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13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13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13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13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13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13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13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13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20</v>
      </c>
      <c r="B1" s="2"/>
      <c r="C1" s="2"/>
      <c r="D1" s="2"/>
      <c r="E1" s="2"/>
      <c r="F1" s="2"/>
      <c r="G1" s="2"/>
      <c r="H1" s="1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1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19">
        <v>25000.0</v>
      </c>
      <c r="C3" s="2"/>
      <c r="D3" s="4" t="s">
        <v>31</v>
      </c>
      <c r="E3" s="4" t="s">
        <v>32</v>
      </c>
      <c r="F3" s="4" t="s">
        <v>33</v>
      </c>
      <c r="G3" s="4" t="s">
        <v>5</v>
      </c>
      <c r="H3" s="13" t="s">
        <v>37</v>
      </c>
      <c r="I3" s="2" t="s">
        <v>35</v>
      </c>
      <c r="J3" s="2" t="s">
        <v>1</v>
      </c>
      <c r="K3" s="23" t="s">
        <v>36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23</v>
      </c>
      <c r="B4" s="20">
        <v>0.05</v>
      </c>
      <c r="C4" s="2"/>
      <c r="D4" s="4">
        <v>0.0</v>
      </c>
      <c r="E4" s="34">
        <f>B9</f>
        <v>43008</v>
      </c>
      <c r="F4" s="24">
        <v>0.0</v>
      </c>
      <c r="G4" s="24">
        <v>0.0</v>
      </c>
      <c r="H4" s="13"/>
      <c r="I4" s="25">
        <v>0.0</v>
      </c>
      <c r="J4" s="25">
        <v>0.0</v>
      </c>
      <c r="K4" s="25">
        <f>B3</f>
        <v>25000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2"/>
      <c r="D5" s="4">
        <v>1.0</v>
      </c>
      <c r="E5" s="35">
        <f t="shared" ref="E5:E29" si="1">EOMONTH($B$9,D5)</f>
        <v>43039</v>
      </c>
      <c r="F5" s="24">
        <f t="shared" ref="F5:F29" si="2">K4</f>
        <v>25000</v>
      </c>
      <c r="G5" s="8">
        <f t="shared" ref="G5:G29" si="3">-PMT($B$4,$B$8,$B$3)</f>
        <v>1773.811432</v>
      </c>
      <c r="H5" s="36">
        <f>B4</f>
        <v>0.05</v>
      </c>
      <c r="I5" s="27">
        <f t="shared" ref="I5:I29" si="4">F5*H5</f>
        <v>1250</v>
      </c>
      <c r="J5" s="27">
        <f t="shared" ref="J5:J29" si="5">G5-I5</f>
        <v>523.8114325</v>
      </c>
      <c r="K5" s="25">
        <f t="shared" ref="K5:K29" si="6">F5-J5</f>
        <v>24476.18857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</v>
      </c>
      <c r="B6" s="3">
        <v>25.0</v>
      </c>
      <c r="C6" s="2"/>
      <c r="D6" s="4">
        <v>2.0</v>
      </c>
      <c r="E6" s="35">
        <f t="shared" si="1"/>
        <v>43069</v>
      </c>
      <c r="F6" s="24">
        <f t="shared" si="2"/>
        <v>24476.18857</v>
      </c>
      <c r="G6" s="8">
        <f t="shared" si="3"/>
        <v>1773.811432</v>
      </c>
      <c r="H6" s="36">
        <f t="shared" ref="H6:H29" si="7">H5+0.25%</f>
        <v>0.0525</v>
      </c>
      <c r="I6" s="27">
        <f t="shared" si="4"/>
        <v>1284.9999</v>
      </c>
      <c r="J6" s="27">
        <f t="shared" si="5"/>
        <v>488.8115327</v>
      </c>
      <c r="K6" s="25">
        <f t="shared" si="6"/>
        <v>23987.37703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25</v>
      </c>
      <c r="B7" s="3" t="s">
        <v>38</v>
      </c>
      <c r="C7" s="2"/>
      <c r="D7" s="4">
        <v>3.0</v>
      </c>
      <c r="E7" s="35">
        <f t="shared" si="1"/>
        <v>43100</v>
      </c>
      <c r="F7" s="24">
        <f t="shared" si="2"/>
        <v>23987.37703</v>
      </c>
      <c r="G7" s="8">
        <f t="shared" si="3"/>
        <v>1773.811432</v>
      </c>
      <c r="H7" s="36">
        <f t="shared" si="7"/>
        <v>0.055</v>
      </c>
      <c r="I7" s="27">
        <f t="shared" si="4"/>
        <v>1319.305737</v>
      </c>
      <c r="J7" s="27">
        <f t="shared" si="5"/>
        <v>454.5056956</v>
      </c>
      <c r="K7" s="25">
        <f t="shared" si="6"/>
        <v>23532.87134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27</v>
      </c>
      <c r="B8" s="3">
        <v>25.0</v>
      </c>
      <c r="C8" s="2"/>
      <c r="D8" s="4">
        <v>4.0</v>
      </c>
      <c r="E8" s="35">
        <f t="shared" si="1"/>
        <v>43131</v>
      </c>
      <c r="F8" s="24">
        <f t="shared" si="2"/>
        <v>23532.87134</v>
      </c>
      <c r="G8" s="8">
        <f t="shared" si="3"/>
        <v>1773.811432</v>
      </c>
      <c r="H8" s="36">
        <f t="shared" si="7"/>
        <v>0.0575</v>
      </c>
      <c r="I8" s="27">
        <f t="shared" si="4"/>
        <v>1353.140102</v>
      </c>
      <c r="J8" s="27">
        <f t="shared" si="5"/>
        <v>420.6713305</v>
      </c>
      <c r="K8" s="25">
        <f t="shared" si="6"/>
        <v>23112.20001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29</v>
      </c>
      <c r="B9" s="21">
        <v>43008.0</v>
      </c>
      <c r="C9" s="2"/>
      <c r="D9" s="28">
        <v>5.0</v>
      </c>
      <c r="E9" s="29">
        <f t="shared" si="1"/>
        <v>43159</v>
      </c>
      <c r="F9" s="25">
        <f t="shared" si="2"/>
        <v>23112.20001</v>
      </c>
      <c r="G9" s="27">
        <f t="shared" si="3"/>
        <v>1773.811432</v>
      </c>
      <c r="H9" s="36">
        <f t="shared" si="7"/>
        <v>0.06</v>
      </c>
      <c r="I9" s="27">
        <f t="shared" si="4"/>
        <v>1386.732001</v>
      </c>
      <c r="J9" s="27">
        <f t="shared" si="5"/>
        <v>387.079432</v>
      </c>
      <c r="K9" s="25">
        <f t="shared" si="6"/>
        <v>22725.12058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8">
        <v>6.0</v>
      </c>
      <c r="E10" s="29">
        <f t="shared" si="1"/>
        <v>43190</v>
      </c>
      <c r="F10" s="25">
        <f t="shared" si="2"/>
        <v>22725.12058</v>
      </c>
      <c r="G10" s="27">
        <f t="shared" si="3"/>
        <v>1773.811432</v>
      </c>
      <c r="H10" s="36">
        <f t="shared" si="7"/>
        <v>0.0625</v>
      </c>
      <c r="I10" s="27">
        <f t="shared" si="4"/>
        <v>1420.320036</v>
      </c>
      <c r="J10" s="27">
        <f t="shared" si="5"/>
        <v>353.4913964</v>
      </c>
      <c r="K10" s="25">
        <f t="shared" si="6"/>
        <v>22371.62918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8">
        <v>7.0</v>
      </c>
      <c r="E11" s="29">
        <f t="shared" si="1"/>
        <v>43220</v>
      </c>
      <c r="F11" s="25">
        <f t="shared" si="2"/>
        <v>22371.62918</v>
      </c>
      <c r="G11" s="27">
        <f t="shared" si="3"/>
        <v>1773.811432</v>
      </c>
      <c r="H11" s="36">
        <f t="shared" si="7"/>
        <v>0.065</v>
      </c>
      <c r="I11" s="27">
        <f t="shared" si="4"/>
        <v>1454.155897</v>
      </c>
      <c r="J11" s="27">
        <f t="shared" si="5"/>
        <v>319.6555358</v>
      </c>
      <c r="K11" s="25">
        <f t="shared" si="6"/>
        <v>22051.97364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8">
        <v>8.0</v>
      </c>
      <c r="E12" s="29">
        <f t="shared" si="1"/>
        <v>43251</v>
      </c>
      <c r="F12" s="25">
        <f t="shared" si="2"/>
        <v>22051.97364</v>
      </c>
      <c r="G12" s="27">
        <f t="shared" si="3"/>
        <v>1773.811432</v>
      </c>
      <c r="H12" s="36">
        <f t="shared" si="7"/>
        <v>0.0675</v>
      </c>
      <c r="I12" s="27">
        <f t="shared" si="4"/>
        <v>1488.508221</v>
      </c>
      <c r="J12" s="27">
        <f t="shared" si="5"/>
        <v>285.3032115</v>
      </c>
      <c r="K12" s="25">
        <f t="shared" si="6"/>
        <v>21766.67043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0"/>
      <c r="C13" s="2"/>
      <c r="D13" s="28">
        <v>9.0</v>
      </c>
      <c r="E13" s="29">
        <f t="shared" si="1"/>
        <v>43281</v>
      </c>
      <c r="F13" s="25">
        <f t="shared" si="2"/>
        <v>21766.67043</v>
      </c>
      <c r="G13" s="27">
        <f t="shared" si="3"/>
        <v>1773.811432</v>
      </c>
      <c r="H13" s="36">
        <f t="shared" si="7"/>
        <v>0.07</v>
      </c>
      <c r="I13" s="27">
        <f t="shared" si="4"/>
        <v>1523.66693</v>
      </c>
      <c r="J13" s="27">
        <f t="shared" si="5"/>
        <v>250.1445022</v>
      </c>
      <c r="K13" s="25">
        <f t="shared" si="6"/>
        <v>21516.52593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8">
        <v>10.0</v>
      </c>
      <c r="E14" s="29">
        <f t="shared" si="1"/>
        <v>43312</v>
      </c>
      <c r="F14" s="25">
        <f t="shared" si="2"/>
        <v>21516.52593</v>
      </c>
      <c r="G14" s="27">
        <f t="shared" si="3"/>
        <v>1773.811432</v>
      </c>
      <c r="H14" s="36">
        <f t="shared" si="7"/>
        <v>0.0725</v>
      </c>
      <c r="I14" s="27">
        <f t="shared" si="4"/>
        <v>1559.94813</v>
      </c>
      <c r="J14" s="27">
        <f t="shared" si="5"/>
        <v>213.8633025</v>
      </c>
      <c r="K14" s="25">
        <f t="shared" si="6"/>
        <v>21302.66263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8">
        <v>11.0</v>
      </c>
      <c r="E15" s="29">
        <f t="shared" si="1"/>
        <v>43343</v>
      </c>
      <c r="F15" s="25">
        <f t="shared" si="2"/>
        <v>21302.66263</v>
      </c>
      <c r="G15" s="27">
        <f t="shared" si="3"/>
        <v>1773.811432</v>
      </c>
      <c r="H15" s="36">
        <f t="shared" si="7"/>
        <v>0.075</v>
      </c>
      <c r="I15" s="27">
        <f t="shared" si="4"/>
        <v>1597.699697</v>
      </c>
      <c r="J15" s="27">
        <f t="shared" si="5"/>
        <v>176.1117353</v>
      </c>
      <c r="K15" s="25">
        <f t="shared" si="6"/>
        <v>21126.55089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8">
        <v>12.0</v>
      </c>
      <c r="E16" s="29">
        <f t="shared" si="1"/>
        <v>43373</v>
      </c>
      <c r="F16" s="25">
        <f t="shared" si="2"/>
        <v>21126.55089</v>
      </c>
      <c r="G16" s="27">
        <f t="shared" si="3"/>
        <v>1773.811432</v>
      </c>
      <c r="H16" s="36">
        <f t="shared" si="7"/>
        <v>0.0775</v>
      </c>
      <c r="I16" s="27">
        <f t="shared" si="4"/>
        <v>1637.307694</v>
      </c>
      <c r="J16" s="27">
        <f t="shared" si="5"/>
        <v>136.5037383</v>
      </c>
      <c r="K16" s="25">
        <f t="shared" si="6"/>
        <v>20990.04715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8">
        <v>13.0</v>
      </c>
      <c r="E17" s="29">
        <f t="shared" si="1"/>
        <v>43404</v>
      </c>
      <c r="F17" s="25">
        <f t="shared" si="2"/>
        <v>20990.04715</v>
      </c>
      <c r="G17" s="27">
        <f t="shared" si="3"/>
        <v>1773.811432</v>
      </c>
      <c r="H17" s="36">
        <f t="shared" si="7"/>
        <v>0.08</v>
      </c>
      <c r="I17" s="27">
        <f t="shared" si="4"/>
        <v>1679.203772</v>
      </c>
      <c r="J17" s="27">
        <f t="shared" si="5"/>
        <v>94.60766008</v>
      </c>
      <c r="K17" s="25">
        <f t="shared" si="6"/>
        <v>20895.43949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8">
        <v>14.0</v>
      </c>
      <c r="E18" s="29">
        <f t="shared" si="1"/>
        <v>43434</v>
      </c>
      <c r="F18" s="25">
        <f t="shared" si="2"/>
        <v>20895.43949</v>
      </c>
      <c r="G18" s="27">
        <f t="shared" si="3"/>
        <v>1773.811432</v>
      </c>
      <c r="H18" s="36">
        <f t="shared" si="7"/>
        <v>0.0825</v>
      </c>
      <c r="I18" s="27">
        <f t="shared" si="4"/>
        <v>1723.873758</v>
      </c>
      <c r="J18" s="27">
        <f t="shared" si="5"/>
        <v>49.93767415</v>
      </c>
      <c r="K18" s="25">
        <f t="shared" si="6"/>
        <v>20845.50182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8">
        <v>15.0</v>
      </c>
      <c r="E19" s="29">
        <f t="shared" si="1"/>
        <v>43465</v>
      </c>
      <c r="F19" s="25">
        <f t="shared" si="2"/>
        <v>20845.50182</v>
      </c>
      <c r="G19" s="27">
        <f t="shared" si="3"/>
        <v>1773.811432</v>
      </c>
      <c r="H19" s="36">
        <f t="shared" si="7"/>
        <v>0.085</v>
      </c>
      <c r="I19" s="27">
        <f t="shared" si="4"/>
        <v>1771.867655</v>
      </c>
      <c r="J19" s="27">
        <f t="shared" si="5"/>
        <v>1.943777719</v>
      </c>
      <c r="K19" s="25">
        <f t="shared" si="6"/>
        <v>20843.55804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2"/>
      <c r="C20" s="2"/>
      <c r="D20" s="28">
        <v>16.0</v>
      </c>
      <c r="E20" s="29">
        <f t="shared" si="1"/>
        <v>43496</v>
      </c>
      <c r="F20" s="25">
        <f t="shared" si="2"/>
        <v>20843.55804</v>
      </c>
      <c r="G20" s="27">
        <f t="shared" si="3"/>
        <v>1773.811432</v>
      </c>
      <c r="H20" s="36">
        <f t="shared" si="7"/>
        <v>0.0875</v>
      </c>
      <c r="I20" s="27">
        <f t="shared" si="4"/>
        <v>1823.811329</v>
      </c>
      <c r="J20" s="27">
        <f t="shared" si="5"/>
        <v>-49.99989628</v>
      </c>
      <c r="K20" s="25">
        <f t="shared" si="6"/>
        <v>20893.55794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2"/>
      <c r="C21" s="2"/>
      <c r="D21" s="28">
        <v>17.0</v>
      </c>
      <c r="E21" s="29">
        <f t="shared" si="1"/>
        <v>43524</v>
      </c>
      <c r="F21" s="25">
        <f t="shared" si="2"/>
        <v>20893.55794</v>
      </c>
      <c r="G21" s="27">
        <f t="shared" si="3"/>
        <v>1773.811432</v>
      </c>
      <c r="H21" s="36">
        <f t="shared" si="7"/>
        <v>0.09</v>
      </c>
      <c r="I21" s="27">
        <f t="shared" si="4"/>
        <v>1880.420215</v>
      </c>
      <c r="J21" s="27">
        <f t="shared" si="5"/>
        <v>-106.6087821</v>
      </c>
      <c r="K21" s="25">
        <f t="shared" si="6"/>
        <v>21000.16672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8">
        <v>18.0</v>
      </c>
      <c r="E22" s="29">
        <f t="shared" si="1"/>
        <v>43555</v>
      </c>
      <c r="F22" s="25">
        <f t="shared" si="2"/>
        <v>21000.16672</v>
      </c>
      <c r="G22" s="27">
        <f t="shared" si="3"/>
        <v>1773.811432</v>
      </c>
      <c r="H22" s="36">
        <f t="shared" si="7"/>
        <v>0.0925</v>
      </c>
      <c r="I22" s="27">
        <f t="shared" si="4"/>
        <v>1942.515422</v>
      </c>
      <c r="J22" s="27">
        <f t="shared" si="5"/>
        <v>-168.7039892</v>
      </c>
      <c r="K22" s="25">
        <f t="shared" si="6"/>
        <v>21168.87071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2"/>
      <c r="C23" s="2"/>
      <c r="D23" s="28">
        <v>19.0</v>
      </c>
      <c r="E23" s="29">
        <f t="shared" si="1"/>
        <v>43585</v>
      </c>
      <c r="F23" s="25">
        <f t="shared" si="2"/>
        <v>21168.87071</v>
      </c>
      <c r="G23" s="27">
        <f t="shared" si="3"/>
        <v>1773.811432</v>
      </c>
      <c r="H23" s="36">
        <f t="shared" si="7"/>
        <v>0.095</v>
      </c>
      <c r="I23" s="27">
        <f t="shared" si="4"/>
        <v>2011.042718</v>
      </c>
      <c r="J23" s="27">
        <f t="shared" si="5"/>
        <v>-237.231285</v>
      </c>
      <c r="K23" s="25">
        <f t="shared" si="6"/>
        <v>21406.102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2"/>
      <c r="C24" s="2"/>
      <c r="D24" s="28">
        <v>20.0</v>
      </c>
      <c r="E24" s="29">
        <f t="shared" si="1"/>
        <v>43616</v>
      </c>
      <c r="F24" s="25">
        <f t="shared" si="2"/>
        <v>21406.102</v>
      </c>
      <c r="G24" s="27">
        <f t="shared" si="3"/>
        <v>1773.811432</v>
      </c>
      <c r="H24" s="36">
        <f t="shared" si="7"/>
        <v>0.0975</v>
      </c>
      <c r="I24" s="27">
        <f t="shared" si="4"/>
        <v>2087.094945</v>
      </c>
      <c r="J24" s="27">
        <f t="shared" si="5"/>
        <v>-313.2835121</v>
      </c>
      <c r="K24" s="25">
        <f t="shared" si="6"/>
        <v>21719.38551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3"/>
      <c r="C25" s="2"/>
      <c r="D25" s="28">
        <v>21.0</v>
      </c>
      <c r="E25" s="29">
        <f t="shared" si="1"/>
        <v>43646</v>
      </c>
      <c r="F25" s="25">
        <f t="shared" si="2"/>
        <v>21719.38551</v>
      </c>
      <c r="G25" s="27">
        <f t="shared" si="3"/>
        <v>1773.811432</v>
      </c>
      <c r="H25" s="36">
        <f t="shared" si="7"/>
        <v>0.1</v>
      </c>
      <c r="I25" s="27">
        <f t="shared" si="4"/>
        <v>2171.938551</v>
      </c>
      <c r="J25" s="27">
        <f t="shared" si="5"/>
        <v>-398.1271183</v>
      </c>
      <c r="K25" s="25">
        <f t="shared" si="6"/>
        <v>22117.51263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8">
        <v>22.0</v>
      </c>
      <c r="E26" s="29">
        <f t="shared" si="1"/>
        <v>43677</v>
      </c>
      <c r="F26" s="25">
        <f t="shared" si="2"/>
        <v>22117.51263</v>
      </c>
      <c r="G26" s="27">
        <f t="shared" si="3"/>
        <v>1773.811432</v>
      </c>
      <c r="H26" s="36">
        <f t="shared" si="7"/>
        <v>0.1025</v>
      </c>
      <c r="I26" s="27">
        <f t="shared" si="4"/>
        <v>2267.045044</v>
      </c>
      <c r="J26" s="27">
        <f t="shared" si="5"/>
        <v>-493.2336117</v>
      </c>
      <c r="K26" s="25">
        <f t="shared" si="6"/>
        <v>22610.74624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8">
        <v>23.0</v>
      </c>
      <c r="E27" s="29">
        <f t="shared" si="1"/>
        <v>43708</v>
      </c>
      <c r="F27" s="25">
        <f t="shared" si="2"/>
        <v>22610.74624</v>
      </c>
      <c r="G27" s="27">
        <f t="shared" si="3"/>
        <v>1773.811432</v>
      </c>
      <c r="H27" s="36">
        <f t="shared" si="7"/>
        <v>0.105</v>
      </c>
      <c r="I27" s="27">
        <f t="shared" si="4"/>
        <v>2374.128355</v>
      </c>
      <c r="J27" s="27">
        <f t="shared" si="5"/>
        <v>-600.3169225</v>
      </c>
      <c r="K27" s="25">
        <f t="shared" si="6"/>
        <v>23211.06316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8">
        <v>24.0</v>
      </c>
      <c r="E28" s="29">
        <f t="shared" si="1"/>
        <v>43738</v>
      </c>
      <c r="F28" s="25">
        <f t="shared" si="2"/>
        <v>23211.06316</v>
      </c>
      <c r="G28" s="27">
        <f t="shared" si="3"/>
        <v>1773.811432</v>
      </c>
      <c r="H28" s="36">
        <f t="shared" si="7"/>
        <v>0.1075</v>
      </c>
      <c r="I28" s="27">
        <f t="shared" si="4"/>
        <v>2495.18929</v>
      </c>
      <c r="J28" s="27">
        <f t="shared" si="5"/>
        <v>-721.3778572</v>
      </c>
      <c r="K28" s="25">
        <f t="shared" si="6"/>
        <v>23932.44102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8">
        <v>25.0</v>
      </c>
      <c r="E29" s="29">
        <f t="shared" si="1"/>
        <v>43769</v>
      </c>
      <c r="F29" s="25">
        <f t="shared" si="2"/>
        <v>23932.44102</v>
      </c>
      <c r="G29" s="27">
        <f t="shared" si="3"/>
        <v>1773.811432</v>
      </c>
      <c r="H29" s="36">
        <f t="shared" si="7"/>
        <v>0.11</v>
      </c>
      <c r="I29" s="27">
        <f t="shared" si="4"/>
        <v>2632.568512</v>
      </c>
      <c r="J29" s="27">
        <f t="shared" si="5"/>
        <v>-858.7570794</v>
      </c>
      <c r="K29" s="25">
        <f t="shared" si="6"/>
        <v>24791.1981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1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1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1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1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1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1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1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1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1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1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1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1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1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1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1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1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1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1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1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1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1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1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1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1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1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1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1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1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1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1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1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1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1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1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1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1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1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1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1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1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1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1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1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1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1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1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1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1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1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1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1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1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1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1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1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1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1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1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1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1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1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1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1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1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1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1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1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1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1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1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1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1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1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1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1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1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1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1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1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1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1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1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1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1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1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1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1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1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1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1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1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1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1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1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1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1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1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1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1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1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1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1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1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1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1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1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1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1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1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1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1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1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1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1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1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1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1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1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1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1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1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1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1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1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1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1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1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1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1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1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1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1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1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1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1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1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1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1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1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1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1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1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1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1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1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1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1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1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1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1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1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1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1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1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1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1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1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1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1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1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1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1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1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1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1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1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1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1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1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1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1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1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1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1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1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1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1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1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1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1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1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1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1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1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1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1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1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1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1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1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1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1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1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1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1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1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1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1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1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1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1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1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1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1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1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1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1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1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1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1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1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1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1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1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1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1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1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1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1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1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1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1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1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1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1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1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1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1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1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1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1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1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1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1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1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1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1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1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1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1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1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1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1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1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1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1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1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1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1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1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1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1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1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1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1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1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1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1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1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1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1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1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1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1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1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1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1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1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1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1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1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1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1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1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1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1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1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1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1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1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1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1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1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1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1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1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1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1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1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1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1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1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1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1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1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1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1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1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1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1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1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1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1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1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1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1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1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1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1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1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1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1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1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1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1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1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1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1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1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1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1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1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1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1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1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1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1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1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1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1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1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1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1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1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1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1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1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1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1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1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1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1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1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1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1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1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1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1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1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1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1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1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1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1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1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1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1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1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1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1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1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1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1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1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1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1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1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1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1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1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1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1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1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1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1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1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1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1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1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1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1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1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1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1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1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1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1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1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1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1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1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1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1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1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1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1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1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1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1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1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1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1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1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1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1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1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1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1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1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1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1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1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1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1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1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1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1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1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1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1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1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1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1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1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1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1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1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1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1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1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1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1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1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1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1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1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1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1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1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1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1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1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1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13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1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1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1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1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1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1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1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1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1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1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1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13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1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1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1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1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1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1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1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1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1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1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1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1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1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1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1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1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1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1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1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1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1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1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1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1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1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1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1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1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1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1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1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1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13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13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1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1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1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1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1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1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1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1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1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1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1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1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1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1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1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1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1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1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1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1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1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1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1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1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1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1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1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1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13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13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13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13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13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1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1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1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1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1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1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1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1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1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1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1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1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1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1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1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1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1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1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1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1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1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1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1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1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1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1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1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1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1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1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1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1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1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1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1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1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1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1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1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1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1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1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1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1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1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1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1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1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1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1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1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1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1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1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13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13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1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1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1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1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13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13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13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13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13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1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1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1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1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1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1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1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1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1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1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1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1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1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1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1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1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1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1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1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1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1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1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1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1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1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1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1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1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1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1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1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1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1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1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1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1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1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1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1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1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1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1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1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1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1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1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1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1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1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1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1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1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1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1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1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1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1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1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1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1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1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1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1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1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1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1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1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1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1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1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1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1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1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1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1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1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1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1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1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1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1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1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1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1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1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1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1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1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1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1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1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1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1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1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1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1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1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1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1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1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1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1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1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1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1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1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1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1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1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1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1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1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1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1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1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1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1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1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1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1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1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1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1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1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1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1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1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1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1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1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1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1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1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1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1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1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1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1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1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1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1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1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1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1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1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1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1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1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1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1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1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1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1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1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1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1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1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1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1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1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1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1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1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1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1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1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1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1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1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1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1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1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1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1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1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1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1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1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1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1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1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1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1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1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1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1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1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1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1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1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1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1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1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1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1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1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1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1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1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1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1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1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1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1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1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1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1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1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1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1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1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1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1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1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1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1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1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1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1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1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1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1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1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1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1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1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1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1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1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1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1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1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1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1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1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1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1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1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1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1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1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1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1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1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1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1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1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1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1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1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1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1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1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1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1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1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1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1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1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1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1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1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1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1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1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1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1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1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1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1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1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1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1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1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1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1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1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1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1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1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1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1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1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1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1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1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1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1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1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1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1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1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1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1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1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1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1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1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1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1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1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1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1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1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13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13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13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13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13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13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13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13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1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1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1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1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1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1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1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1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1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1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1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1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1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1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1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1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13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13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13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13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13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13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13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13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13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13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1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1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1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1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1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1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1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13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1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13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13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13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13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13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13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13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13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13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13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13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13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13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13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1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1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1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1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1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1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1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13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13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1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13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13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13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13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13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13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13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13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13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13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13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13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20</v>
      </c>
      <c r="B1" s="2"/>
      <c r="C1" s="2"/>
      <c r="D1" s="2"/>
      <c r="E1" s="2"/>
      <c r="F1" s="2"/>
      <c r="G1" s="2"/>
      <c r="H1" s="1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1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19">
        <v>25000.0</v>
      </c>
      <c r="C3" s="2"/>
      <c r="D3" s="4" t="s">
        <v>31</v>
      </c>
      <c r="E3" s="4" t="s">
        <v>32</v>
      </c>
      <c r="F3" s="4" t="s">
        <v>33</v>
      </c>
      <c r="G3" s="4" t="s">
        <v>5</v>
      </c>
      <c r="H3" s="13" t="s">
        <v>37</v>
      </c>
      <c r="I3" s="2" t="s">
        <v>35</v>
      </c>
      <c r="J3" s="2" t="s">
        <v>1</v>
      </c>
      <c r="K3" s="23" t="s">
        <v>36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23</v>
      </c>
      <c r="B4" s="20">
        <v>0.06</v>
      </c>
      <c r="C4" s="2"/>
      <c r="D4" s="4">
        <v>0.0</v>
      </c>
      <c r="E4" s="34">
        <f>B9</f>
        <v>43281</v>
      </c>
      <c r="F4" s="24">
        <v>0.0</v>
      </c>
      <c r="G4" s="24">
        <v>0.0</v>
      </c>
      <c r="H4" s="13"/>
      <c r="I4" s="25">
        <v>0.0</v>
      </c>
      <c r="J4" s="25">
        <v>0.0</v>
      </c>
      <c r="K4" s="25">
        <f>B3</f>
        <v>25000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2"/>
      <c r="D5" s="4">
        <v>1.0</v>
      </c>
      <c r="E5" s="35">
        <f t="shared" ref="E5:E28" si="1">EOMONTH($B$9,D5)</f>
        <v>43312</v>
      </c>
      <c r="F5" s="24">
        <f t="shared" ref="F5:F28" si="2">K4</f>
        <v>25000</v>
      </c>
      <c r="G5" s="24">
        <f t="shared" ref="G5:G28" si="3">-PMT($B$4/12,$B$8,$B$3,0)</f>
        <v>1108.015256</v>
      </c>
      <c r="H5" s="36">
        <f>B4</f>
        <v>0.06</v>
      </c>
      <c r="I5" s="25">
        <f t="shared" ref="I5:I28" si="4">F5*H5/12</f>
        <v>125</v>
      </c>
      <c r="J5" s="25">
        <f t="shared" ref="J5:J28" si="5">G5-I5</f>
        <v>983.0152563</v>
      </c>
      <c r="K5" s="25">
        <f t="shared" ref="K5:K28" si="6">F5-J5</f>
        <v>24016.98474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</v>
      </c>
      <c r="B6" s="3">
        <v>2.0</v>
      </c>
      <c r="C6" s="2"/>
      <c r="D6" s="4">
        <v>2.0</v>
      </c>
      <c r="E6" s="35">
        <f t="shared" si="1"/>
        <v>43343</v>
      </c>
      <c r="F6" s="24">
        <f t="shared" si="2"/>
        <v>24016.98474</v>
      </c>
      <c r="G6" s="24">
        <f t="shared" si="3"/>
        <v>1108.015256</v>
      </c>
      <c r="H6" s="36">
        <f t="shared" ref="H6:H28" si="7">H5</f>
        <v>0.06</v>
      </c>
      <c r="I6" s="25">
        <f t="shared" si="4"/>
        <v>120.0849237</v>
      </c>
      <c r="J6" s="25">
        <f t="shared" si="5"/>
        <v>987.9303326</v>
      </c>
      <c r="K6" s="25">
        <f t="shared" si="6"/>
        <v>23029.05441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25</v>
      </c>
      <c r="B7" s="20" t="s">
        <v>26</v>
      </c>
      <c r="C7" s="2"/>
      <c r="D7" s="4">
        <v>3.0</v>
      </c>
      <c r="E7" s="35">
        <f t="shared" si="1"/>
        <v>43373</v>
      </c>
      <c r="F7" s="24">
        <f t="shared" si="2"/>
        <v>23029.05441</v>
      </c>
      <c r="G7" s="24">
        <f t="shared" si="3"/>
        <v>1108.015256</v>
      </c>
      <c r="H7" s="36">
        <f t="shared" si="7"/>
        <v>0.06</v>
      </c>
      <c r="I7" s="25">
        <f t="shared" si="4"/>
        <v>115.1452721</v>
      </c>
      <c r="J7" s="25">
        <f t="shared" si="5"/>
        <v>992.8699843</v>
      </c>
      <c r="K7" s="25">
        <f t="shared" si="6"/>
        <v>22036.18443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27</v>
      </c>
      <c r="B8" s="3">
        <f>B6*12</f>
        <v>24</v>
      </c>
      <c r="C8" s="2"/>
      <c r="D8" s="4">
        <v>4.0</v>
      </c>
      <c r="E8" s="35">
        <f t="shared" si="1"/>
        <v>43404</v>
      </c>
      <c r="F8" s="24">
        <f t="shared" si="2"/>
        <v>22036.18443</v>
      </c>
      <c r="G8" s="24">
        <f t="shared" si="3"/>
        <v>1108.015256</v>
      </c>
      <c r="H8" s="36">
        <f t="shared" si="7"/>
        <v>0.06</v>
      </c>
      <c r="I8" s="25">
        <f t="shared" si="4"/>
        <v>110.1809221</v>
      </c>
      <c r="J8" s="25">
        <f t="shared" si="5"/>
        <v>997.8343342</v>
      </c>
      <c r="K8" s="25">
        <f t="shared" si="6"/>
        <v>21038.35009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29</v>
      </c>
      <c r="B9" s="21">
        <v>43281.0</v>
      </c>
      <c r="C9" s="2"/>
      <c r="D9" s="28">
        <v>5.0</v>
      </c>
      <c r="E9" s="29">
        <f t="shared" si="1"/>
        <v>43434</v>
      </c>
      <c r="F9" s="25">
        <f t="shared" si="2"/>
        <v>21038.35009</v>
      </c>
      <c r="G9" s="25">
        <f t="shared" si="3"/>
        <v>1108.015256</v>
      </c>
      <c r="H9" s="36">
        <f t="shared" si="7"/>
        <v>0.06</v>
      </c>
      <c r="I9" s="25">
        <f t="shared" si="4"/>
        <v>105.1917505</v>
      </c>
      <c r="J9" s="25">
        <f t="shared" si="5"/>
        <v>1002.823506</v>
      </c>
      <c r="K9" s="25">
        <f t="shared" si="6"/>
        <v>20035.52659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8">
        <v>6.0</v>
      </c>
      <c r="E10" s="29">
        <f t="shared" si="1"/>
        <v>43465</v>
      </c>
      <c r="F10" s="25">
        <f t="shared" si="2"/>
        <v>20035.52659</v>
      </c>
      <c r="G10" s="25">
        <f t="shared" si="3"/>
        <v>1108.015256</v>
      </c>
      <c r="H10" s="36">
        <f t="shared" si="7"/>
        <v>0.06</v>
      </c>
      <c r="I10" s="25">
        <f t="shared" si="4"/>
        <v>100.1776329</v>
      </c>
      <c r="J10" s="25">
        <f t="shared" si="5"/>
        <v>1007.837623</v>
      </c>
      <c r="K10" s="25">
        <f t="shared" si="6"/>
        <v>19027.68896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39</v>
      </c>
      <c r="B11" s="2"/>
      <c r="C11" s="2"/>
      <c r="D11" s="28">
        <v>7.0</v>
      </c>
      <c r="E11" s="29">
        <f t="shared" si="1"/>
        <v>43496</v>
      </c>
      <c r="F11" s="25">
        <f t="shared" si="2"/>
        <v>19027.68896</v>
      </c>
      <c r="G11" s="25">
        <f t="shared" si="3"/>
        <v>1108.015256</v>
      </c>
      <c r="H11" s="36">
        <f t="shared" si="7"/>
        <v>0.06</v>
      </c>
      <c r="I11" s="25">
        <f t="shared" si="4"/>
        <v>95.13844482</v>
      </c>
      <c r="J11" s="25">
        <f t="shared" si="5"/>
        <v>1012.876812</v>
      </c>
      <c r="K11" s="25">
        <f t="shared" si="6"/>
        <v>18014.81215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5</v>
      </c>
      <c r="B12" s="37">
        <f>-PMT($B$4/12,$B$8,$B$3)</f>
        <v>1108.015256</v>
      </c>
      <c r="C12" s="2"/>
      <c r="D12" s="28">
        <v>8.0</v>
      </c>
      <c r="E12" s="29">
        <f t="shared" si="1"/>
        <v>43524</v>
      </c>
      <c r="F12" s="25">
        <f t="shared" si="2"/>
        <v>18014.81215</v>
      </c>
      <c r="G12" s="25">
        <f t="shared" si="3"/>
        <v>1108.015256</v>
      </c>
      <c r="H12" s="36">
        <f t="shared" si="7"/>
        <v>0.06</v>
      </c>
      <c r="I12" s="25">
        <f t="shared" si="4"/>
        <v>90.07406076</v>
      </c>
      <c r="J12" s="25">
        <f t="shared" si="5"/>
        <v>1017.941196</v>
      </c>
      <c r="K12" s="25">
        <f t="shared" si="6"/>
        <v>16996.87096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40</v>
      </c>
      <c r="B13" s="18">
        <f>B12/B3</f>
        <v>0.04432061025</v>
      </c>
      <c r="C13" s="2"/>
      <c r="D13" s="28">
        <v>9.0</v>
      </c>
      <c r="E13" s="29">
        <f t="shared" si="1"/>
        <v>43555</v>
      </c>
      <c r="F13" s="25">
        <f t="shared" si="2"/>
        <v>16996.87096</v>
      </c>
      <c r="G13" s="25">
        <f t="shared" si="3"/>
        <v>1108.015256</v>
      </c>
      <c r="H13" s="36">
        <f t="shared" si="7"/>
        <v>0.06</v>
      </c>
      <c r="I13" s="25">
        <f t="shared" si="4"/>
        <v>84.98435478</v>
      </c>
      <c r="J13" s="25">
        <f t="shared" si="5"/>
        <v>1023.030902</v>
      </c>
      <c r="K13" s="25">
        <f t="shared" si="6"/>
        <v>15973.84005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41</v>
      </c>
      <c r="B14" s="18">
        <f>B13*12</f>
        <v>0.531847323</v>
      </c>
      <c r="C14" s="2"/>
      <c r="D14" s="28">
        <v>10.0</v>
      </c>
      <c r="E14" s="29">
        <f t="shared" si="1"/>
        <v>43585</v>
      </c>
      <c r="F14" s="25">
        <f t="shared" si="2"/>
        <v>15973.84005</v>
      </c>
      <c r="G14" s="25">
        <f t="shared" si="3"/>
        <v>1108.015256</v>
      </c>
      <c r="H14" s="36">
        <f t="shared" si="7"/>
        <v>0.06</v>
      </c>
      <c r="I14" s="25">
        <f t="shared" si="4"/>
        <v>79.86920027</v>
      </c>
      <c r="J14" s="25">
        <f t="shared" si="5"/>
        <v>1028.146056</v>
      </c>
      <c r="K14" s="25">
        <f t="shared" si="6"/>
        <v>14945.694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3"/>
      <c r="C15" s="2"/>
      <c r="D15" s="28">
        <v>11.0</v>
      </c>
      <c r="E15" s="29">
        <f t="shared" si="1"/>
        <v>43616</v>
      </c>
      <c r="F15" s="25">
        <f t="shared" si="2"/>
        <v>14945.694</v>
      </c>
      <c r="G15" s="25">
        <f t="shared" si="3"/>
        <v>1108.015256</v>
      </c>
      <c r="H15" s="36">
        <f t="shared" si="7"/>
        <v>0.06</v>
      </c>
      <c r="I15" s="25">
        <f t="shared" si="4"/>
        <v>74.72846999</v>
      </c>
      <c r="J15" s="25">
        <f t="shared" si="5"/>
        <v>1033.286786</v>
      </c>
      <c r="K15" s="25">
        <f t="shared" si="6"/>
        <v>13912.40721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8">
        <v>12.0</v>
      </c>
      <c r="E16" s="29">
        <f t="shared" si="1"/>
        <v>43646</v>
      </c>
      <c r="F16" s="25">
        <f t="shared" si="2"/>
        <v>13912.40721</v>
      </c>
      <c r="G16" s="25">
        <f t="shared" si="3"/>
        <v>1108.015256</v>
      </c>
      <c r="H16" s="36">
        <f t="shared" si="7"/>
        <v>0.06</v>
      </c>
      <c r="I16" s="25">
        <f t="shared" si="4"/>
        <v>69.56203606</v>
      </c>
      <c r="J16" s="25">
        <f t="shared" si="5"/>
        <v>1038.45322</v>
      </c>
      <c r="K16" s="25">
        <f t="shared" si="6"/>
        <v>12873.95399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8">
        <v>13.0</v>
      </c>
      <c r="E17" s="29">
        <f t="shared" si="1"/>
        <v>43677</v>
      </c>
      <c r="F17" s="25">
        <f t="shared" si="2"/>
        <v>12873.95399</v>
      </c>
      <c r="G17" s="25">
        <f t="shared" si="3"/>
        <v>1108.015256</v>
      </c>
      <c r="H17" s="36">
        <f t="shared" si="7"/>
        <v>0.06</v>
      </c>
      <c r="I17" s="25">
        <f t="shared" si="4"/>
        <v>64.36976996</v>
      </c>
      <c r="J17" s="25">
        <f t="shared" si="5"/>
        <v>1043.645486</v>
      </c>
      <c r="K17" s="25">
        <f t="shared" si="6"/>
        <v>11830.30851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8">
        <v>14.0</v>
      </c>
      <c r="E18" s="29">
        <f t="shared" si="1"/>
        <v>43708</v>
      </c>
      <c r="F18" s="25">
        <f t="shared" si="2"/>
        <v>11830.30851</v>
      </c>
      <c r="G18" s="25">
        <f t="shared" si="3"/>
        <v>1108.015256</v>
      </c>
      <c r="H18" s="36">
        <f t="shared" si="7"/>
        <v>0.06</v>
      </c>
      <c r="I18" s="25">
        <f t="shared" si="4"/>
        <v>59.15154253</v>
      </c>
      <c r="J18" s="25">
        <f t="shared" si="5"/>
        <v>1048.863714</v>
      </c>
      <c r="K18" s="25">
        <f t="shared" si="6"/>
        <v>10781.44479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8">
        <v>15.0</v>
      </c>
      <c r="E19" s="29">
        <f t="shared" si="1"/>
        <v>43738</v>
      </c>
      <c r="F19" s="25">
        <f t="shared" si="2"/>
        <v>10781.44479</v>
      </c>
      <c r="G19" s="25">
        <f t="shared" si="3"/>
        <v>1108.015256</v>
      </c>
      <c r="H19" s="36">
        <f t="shared" si="7"/>
        <v>0.06</v>
      </c>
      <c r="I19" s="25">
        <f t="shared" si="4"/>
        <v>53.90722396</v>
      </c>
      <c r="J19" s="25">
        <f t="shared" si="5"/>
        <v>1054.108032</v>
      </c>
      <c r="K19" s="25">
        <f t="shared" si="6"/>
        <v>9727.33676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2"/>
      <c r="C20" s="2"/>
      <c r="D20" s="28">
        <v>16.0</v>
      </c>
      <c r="E20" s="29">
        <f t="shared" si="1"/>
        <v>43769</v>
      </c>
      <c r="F20" s="25">
        <f t="shared" si="2"/>
        <v>9727.33676</v>
      </c>
      <c r="G20" s="25">
        <f t="shared" si="3"/>
        <v>1108.015256</v>
      </c>
      <c r="H20" s="36">
        <f t="shared" si="7"/>
        <v>0.06</v>
      </c>
      <c r="I20" s="25">
        <f t="shared" si="4"/>
        <v>48.6366838</v>
      </c>
      <c r="J20" s="25">
        <f t="shared" si="5"/>
        <v>1059.378573</v>
      </c>
      <c r="K20" s="25">
        <f t="shared" si="6"/>
        <v>8667.958187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2"/>
      <c r="C21" s="2"/>
      <c r="D21" s="28">
        <v>17.0</v>
      </c>
      <c r="E21" s="29">
        <f t="shared" si="1"/>
        <v>43799</v>
      </c>
      <c r="F21" s="25">
        <f t="shared" si="2"/>
        <v>8667.958187</v>
      </c>
      <c r="G21" s="25">
        <f t="shared" si="3"/>
        <v>1108.015256</v>
      </c>
      <c r="H21" s="36">
        <f t="shared" si="7"/>
        <v>0.06</v>
      </c>
      <c r="I21" s="25">
        <f t="shared" si="4"/>
        <v>43.33979094</v>
      </c>
      <c r="J21" s="25">
        <f t="shared" si="5"/>
        <v>1064.675465</v>
      </c>
      <c r="K21" s="25">
        <f t="shared" si="6"/>
        <v>7603.282722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8">
        <v>18.0</v>
      </c>
      <c r="E22" s="29">
        <f t="shared" si="1"/>
        <v>43830</v>
      </c>
      <c r="F22" s="25">
        <f t="shared" si="2"/>
        <v>7603.282722</v>
      </c>
      <c r="G22" s="25">
        <f t="shared" si="3"/>
        <v>1108.015256</v>
      </c>
      <c r="H22" s="36">
        <f t="shared" si="7"/>
        <v>0.06</v>
      </c>
      <c r="I22" s="25">
        <f t="shared" si="4"/>
        <v>38.01641361</v>
      </c>
      <c r="J22" s="25">
        <f t="shared" si="5"/>
        <v>1069.998843</v>
      </c>
      <c r="K22" s="25">
        <f t="shared" si="6"/>
        <v>6533.283879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2"/>
      <c r="C23" s="2"/>
      <c r="D23" s="28">
        <v>19.0</v>
      </c>
      <c r="E23" s="29">
        <f t="shared" si="1"/>
        <v>43861</v>
      </c>
      <c r="F23" s="25">
        <f t="shared" si="2"/>
        <v>6533.283879</v>
      </c>
      <c r="G23" s="25">
        <f t="shared" si="3"/>
        <v>1108.015256</v>
      </c>
      <c r="H23" s="36">
        <f t="shared" si="7"/>
        <v>0.06</v>
      </c>
      <c r="I23" s="25">
        <f t="shared" si="4"/>
        <v>32.6664194</v>
      </c>
      <c r="J23" s="25">
        <f t="shared" si="5"/>
        <v>1075.348837</v>
      </c>
      <c r="K23" s="25">
        <f t="shared" si="6"/>
        <v>5457.935042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2"/>
      <c r="C24" s="2"/>
      <c r="D24" s="28">
        <v>20.0</v>
      </c>
      <c r="E24" s="29">
        <f t="shared" si="1"/>
        <v>43890</v>
      </c>
      <c r="F24" s="25">
        <f t="shared" si="2"/>
        <v>5457.935042</v>
      </c>
      <c r="G24" s="25">
        <f t="shared" si="3"/>
        <v>1108.015256</v>
      </c>
      <c r="H24" s="36">
        <f t="shared" si="7"/>
        <v>0.06</v>
      </c>
      <c r="I24" s="25">
        <f t="shared" si="4"/>
        <v>27.28967521</v>
      </c>
      <c r="J24" s="25">
        <f t="shared" si="5"/>
        <v>1080.725581</v>
      </c>
      <c r="K24" s="25">
        <f t="shared" si="6"/>
        <v>4377.209461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3"/>
      <c r="C25" s="2"/>
      <c r="D25" s="28">
        <v>21.0</v>
      </c>
      <c r="E25" s="29">
        <f t="shared" si="1"/>
        <v>43921</v>
      </c>
      <c r="F25" s="25">
        <f t="shared" si="2"/>
        <v>4377.209461</v>
      </c>
      <c r="G25" s="25">
        <f t="shared" si="3"/>
        <v>1108.015256</v>
      </c>
      <c r="H25" s="36">
        <f t="shared" si="7"/>
        <v>0.06</v>
      </c>
      <c r="I25" s="25">
        <f t="shared" si="4"/>
        <v>21.88604731</v>
      </c>
      <c r="J25" s="25">
        <f t="shared" si="5"/>
        <v>1086.129209</v>
      </c>
      <c r="K25" s="25">
        <f t="shared" si="6"/>
        <v>3291.080252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8">
        <v>22.0</v>
      </c>
      <c r="E26" s="29">
        <f t="shared" si="1"/>
        <v>43951</v>
      </c>
      <c r="F26" s="25">
        <f t="shared" si="2"/>
        <v>3291.080252</v>
      </c>
      <c r="G26" s="25">
        <f t="shared" si="3"/>
        <v>1108.015256</v>
      </c>
      <c r="H26" s="36">
        <f t="shared" si="7"/>
        <v>0.06</v>
      </c>
      <c r="I26" s="25">
        <f t="shared" si="4"/>
        <v>16.45540126</v>
      </c>
      <c r="J26" s="25">
        <f t="shared" si="5"/>
        <v>1091.559855</v>
      </c>
      <c r="K26" s="25">
        <f t="shared" si="6"/>
        <v>2199.520397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8">
        <v>23.0</v>
      </c>
      <c r="E27" s="29">
        <f t="shared" si="1"/>
        <v>43982</v>
      </c>
      <c r="F27" s="25">
        <f t="shared" si="2"/>
        <v>2199.520397</v>
      </c>
      <c r="G27" s="25">
        <f t="shared" si="3"/>
        <v>1108.015256</v>
      </c>
      <c r="H27" s="36">
        <f t="shared" si="7"/>
        <v>0.06</v>
      </c>
      <c r="I27" s="25">
        <f t="shared" si="4"/>
        <v>10.99760198</v>
      </c>
      <c r="J27" s="25">
        <f t="shared" si="5"/>
        <v>1097.017654</v>
      </c>
      <c r="K27" s="25">
        <f t="shared" si="6"/>
        <v>1102.502743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8">
        <v>24.0</v>
      </c>
      <c r="E28" s="29">
        <f t="shared" si="1"/>
        <v>44012</v>
      </c>
      <c r="F28" s="25">
        <f t="shared" si="2"/>
        <v>1102.502743</v>
      </c>
      <c r="G28" s="25">
        <f t="shared" si="3"/>
        <v>1108.015256</v>
      </c>
      <c r="H28" s="36">
        <f t="shared" si="7"/>
        <v>0.06</v>
      </c>
      <c r="I28" s="25">
        <f t="shared" si="4"/>
        <v>5.512513713</v>
      </c>
      <c r="J28" s="25">
        <f t="shared" si="5"/>
        <v>1102.502743</v>
      </c>
      <c r="K28" s="25">
        <f t="shared" si="6"/>
        <v>-0.0000000005691163096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1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1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1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1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1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1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1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1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1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1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1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1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1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1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1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1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1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1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1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1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1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1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1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1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1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1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1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1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1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1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1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1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1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1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1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1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1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1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1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1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1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1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1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1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1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1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1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1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1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1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1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1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1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1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1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1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1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1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1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1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1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1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1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1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1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1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1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1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1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1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1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1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1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1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1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1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1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1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1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1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1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1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1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1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1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1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1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1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1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1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1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1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1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1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1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1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1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1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1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1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1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1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1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1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1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1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1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1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1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1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1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1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1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1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1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1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1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1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1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1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1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1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1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1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1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1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1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1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1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1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1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1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1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1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1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1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1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1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1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1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1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1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1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1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1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1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1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1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1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1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1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1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1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1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1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1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1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1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1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1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1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1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1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1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1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1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1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1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1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1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1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1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1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1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1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1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1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1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1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1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1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1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1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1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1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1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1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1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1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1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1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1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1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1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1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1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1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1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1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1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1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1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1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1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1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1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1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1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1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1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1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1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1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1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1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1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1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1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1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1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1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1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1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1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1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1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1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1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1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1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1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1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1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1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1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1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1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1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1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1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1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1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1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1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1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1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1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1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1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1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1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1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1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1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1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1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1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1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1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1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1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1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1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1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1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1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1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1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1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1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1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1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1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1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1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1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1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1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1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1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1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1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1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1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1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1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1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1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1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1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1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1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1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1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1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1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1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1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1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1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1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1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1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1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1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1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1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1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1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1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1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1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1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1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1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1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1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1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1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1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1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1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1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1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1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1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1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1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1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1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1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1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1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1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1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1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1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1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1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1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1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1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1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1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1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1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1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1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1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1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1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1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1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1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1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1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1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1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1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1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1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1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1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1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1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1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1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1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1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1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1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1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1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1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1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1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1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1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1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1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1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1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1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1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1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1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1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1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1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1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1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1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1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1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1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1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1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1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1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1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1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1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1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1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1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1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1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1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1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1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1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1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1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1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1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1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1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1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1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1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1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1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1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1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1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1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1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1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1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1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1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1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1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1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1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1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1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1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1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1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1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1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1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1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13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1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1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1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1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1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1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1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1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1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1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1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13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1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1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1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1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1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1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1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1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1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1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1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1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1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1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1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1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1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1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1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1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1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1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1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1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1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1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1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1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1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1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1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1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13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13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1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1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1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1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1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1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1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1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1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1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1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1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1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1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1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1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1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1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1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1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1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1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1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1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1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1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1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1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13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13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13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13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13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1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1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1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1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1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1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1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1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1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1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1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1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1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1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1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1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1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1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1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1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1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1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1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1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1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1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1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1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1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1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1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1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1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1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1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1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1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1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1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1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1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1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1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1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1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1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1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1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1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1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1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1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1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1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13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13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1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1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1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1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13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13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13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13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13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1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1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1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1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1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1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1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1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1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1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1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1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1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1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1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1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1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1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1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1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1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1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1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1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1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1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1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1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1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1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1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1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1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1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1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1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1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1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1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1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1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1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1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1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1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1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1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1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1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1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1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1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1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1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1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1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1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1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1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1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1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1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1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1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1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1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1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1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1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1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1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1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1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1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1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1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1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1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1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1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1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1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1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1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1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1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1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1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1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1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1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1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1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1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1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1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1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1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1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1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1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1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1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1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1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1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1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1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1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1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1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1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1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1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1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1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1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1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1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1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1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1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1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1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1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1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1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1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1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1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1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1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1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1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1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1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1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1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1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1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1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1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1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1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1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1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1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1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1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1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1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1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1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1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1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1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1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1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1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1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1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1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1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1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1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1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1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1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1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1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1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1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1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1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1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1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1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1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1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1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1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1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1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1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1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1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1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1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1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1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1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1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1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1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1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1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1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1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1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1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1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1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1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1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1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1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1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1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1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1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1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1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1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1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1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1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1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1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1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1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1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1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1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1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1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1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1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1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1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1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1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1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1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1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1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1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1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1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1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1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1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1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1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1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1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1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1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1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1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1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1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1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1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1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1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1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1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1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1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1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1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1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1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1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1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1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1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1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1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1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1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1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1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1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1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1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1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1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1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1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1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1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1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1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1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1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1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1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1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1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1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1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1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1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1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1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1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1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1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1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1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1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1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1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13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13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13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13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13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13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13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13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1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1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1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1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1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1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1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1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1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1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1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1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1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1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1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1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13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13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13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13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13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13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13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13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13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13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1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1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1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1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1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1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1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13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1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13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13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13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13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13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13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13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13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13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13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13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13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13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13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1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1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1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1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1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1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1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13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13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1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13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13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13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13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13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13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13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13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13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13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13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13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20</v>
      </c>
      <c r="B1" s="2"/>
      <c r="C1" s="2"/>
      <c r="D1" s="2"/>
      <c r="E1" s="2"/>
      <c r="F1" s="2"/>
      <c r="G1" s="2"/>
      <c r="H1" s="1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1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19">
        <v>20000.0</v>
      </c>
      <c r="C3" s="2"/>
      <c r="D3" s="4" t="s">
        <v>31</v>
      </c>
      <c r="E3" s="4" t="s">
        <v>32</v>
      </c>
      <c r="F3" s="4" t="s">
        <v>33</v>
      </c>
      <c r="G3" s="4" t="s">
        <v>5</v>
      </c>
      <c r="H3" s="13" t="s">
        <v>34</v>
      </c>
      <c r="I3" s="2" t="s">
        <v>35</v>
      </c>
      <c r="J3" s="2" t="s">
        <v>1</v>
      </c>
      <c r="K3" s="23" t="s">
        <v>36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21</v>
      </c>
      <c r="B4" s="19">
        <v>25000.0</v>
      </c>
      <c r="C4" s="2"/>
      <c r="D4" s="4">
        <v>0.0</v>
      </c>
      <c r="E4" s="34">
        <f>B14</f>
        <v>43708</v>
      </c>
      <c r="F4" s="24">
        <v>0.0</v>
      </c>
      <c r="G4" s="24">
        <v>0.0</v>
      </c>
      <c r="H4" s="10"/>
      <c r="I4" s="25">
        <v>0.0</v>
      </c>
      <c r="J4" s="25">
        <v>0.0</v>
      </c>
      <c r="K4" s="25">
        <f>B3</f>
        <v>20000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22</v>
      </c>
      <c r="B5" s="19">
        <v>500.0</v>
      </c>
      <c r="C5" s="2"/>
      <c r="D5" s="4">
        <f t="shared" ref="D5:D28" si="1">IFS(D4="","",K4=0,"",1=1, row()-4)</f>
        <v>1</v>
      </c>
      <c r="E5" s="35">
        <f t="shared" ref="E5:E28" si="2">IF(D5="","",EOMONTH($B$14,D5))</f>
        <v>43738</v>
      </c>
      <c r="F5" s="24">
        <f t="shared" ref="F5:F28" si="3">IF(D5="","",K4)</f>
        <v>20000</v>
      </c>
      <c r="G5" s="24">
        <f>IF(D5="","",-PMT($B$24/12,$B$12,$B$3))</f>
        <v>899.3634895</v>
      </c>
      <c r="H5" s="10"/>
      <c r="I5" s="25">
        <f t="shared" ref="I5:I28" si="4">IF(D5="","",F5*$B$24/12)</f>
        <v>123.8481837</v>
      </c>
      <c r="J5" s="25">
        <f t="shared" ref="J5:J28" si="5">IF(D5="","",G5-I5)</f>
        <v>775.5153059</v>
      </c>
      <c r="K5" s="25">
        <f t="shared" ref="K5:K28" si="6">IF(D5="","",F5-J5-H5)</f>
        <v>19224.48469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23</v>
      </c>
      <c r="B6" s="20">
        <v>0.05</v>
      </c>
      <c r="C6" s="2"/>
      <c r="D6" s="4">
        <f t="shared" si="1"/>
        <v>2</v>
      </c>
      <c r="E6" s="35">
        <f t="shared" si="2"/>
        <v>43769</v>
      </c>
      <c r="F6" s="24">
        <f t="shared" si="3"/>
        <v>19224.48469</v>
      </c>
      <c r="G6" s="24">
        <f t="shared" ref="G6:G28" si="7">IFS(D6="","",F6&lt;=$B$23+F6*$B$24/12,F6+F6*$B$24/12,1=1,-PMT($B$24/12,$B$12,$B$3))</f>
        <v>899.3634895</v>
      </c>
      <c r="H6" s="10"/>
      <c r="I6" s="25">
        <f t="shared" si="4"/>
        <v>119.0458756</v>
      </c>
      <c r="J6" s="25">
        <f t="shared" si="5"/>
        <v>780.317614</v>
      </c>
      <c r="K6" s="25">
        <f t="shared" si="6"/>
        <v>18444.16708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20"/>
      <c r="C7" s="2"/>
      <c r="D7" s="4">
        <f t="shared" si="1"/>
        <v>3</v>
      </c>
      <c r="E7" s="35">
        <f t="shared" si="2"/>
        <v>43799</v>
      </c>
      <c r="F7" s="24">
        <f t="shared" si="3"/>
        <v>18444.16708</v>
      </c>
      <c r="G7" s="24">
        <f t="shared" si="7"/>
        <v>899.3634895</v>
      </c>
      <c r="H7" s="10"/>
      <c r="I7" s="25">
        <f t="shared" si="4"/>
        <v>114.2138296</v>
      </c>
      <c r="J7" s="25">
        <f t="shared" si="5"/>
        <v>785.1496599</v>
      </c>
      <c r="K7" s="25">
        <f t="shared" si="6"/>
        <v>17659.01742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3"/>
      <c r="C8" s="2"/>
      <c r="D8" s="4">
        <f t="shared" si="1"/>
        <v>4</v>
      </c>
      <c r="E8" s="35">
        <f t="shared" si="2"/>
        <v>43830</v>
      </c>
      <c r="F8" s="24">
        <f t="shared" si="3"/>
        <v>17659.01742</v>
      </c>
      <c r="G8" s="24">
        <f t="shared" si="7"/>
        <v>899.3634895</v>
      </c>
      <c r="H8" s="10"/>
      <c r="I8" s="25">
        <f t="shared" si="4"/>
        <v>109.3518616</v>
      </c>
      <c r="J8" s="25">
        <f t="shared" si="5"/>
        <v>790.0116279</v>
      </c>
      <c r="K8" s="25">
        <f t="shared" si="6"/>
        <v>16869.00579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24</v>
      </c>
      <c r="B9" s="2">
        <v>2.0</v>
      </c>
      <c r="C9" s="2"/>
      <c r="D9" s="28">
        <f t="shared" si="1"/>
        <v>5</v>
      </c>
      <c r="E9" s="29">
        <f t="shared" si="2"/>
        <v>43861</v>
      </c>
      <c r="F9" s="25">
        <f t="shared" si="3"/>
        <v>16869.00579</v>
      </c>
      <c r="G9" s="25">
        <f t="shared" si="7"/>
        <v>899.3634895</v>
      </c>
      <c r="H9" s="25">
        <v>1500.0</v>
      </c>
      <c r="I9" s="25">
        <f t="shared" si="4"/>
        <v>104.4597864</v>
      </c>
      <c r="J9" s="25">
        <f t="shared" si="5"/>
        <v>794.9037031</v>
      </c>
      <c r="K9" s="25">
        <f t="shared" si="6"/>
        <v>14574.10209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</v>
      </c>
      <c r="B10" s="2">
        <v>2.0</v>
      </c>
      <c r="C10" s="2"/>
      <c r="D10" s="28">
        <f t="shared" si="1"/>
        <v>6</v>
      </c>
      <c r="E10" s="29">
        <f t="shared" si="2"/>
        <v>43890</v>
      </c>
      <c r="F10" s="25">
        <f t="shared" si="3"/>
        <v>14574.10209</v>
      </c>
      <c r="G10" s="25">
        <f t="shared" si="7"/>
        <v>899.3634895</v>
      </c>
      <c r="H10" s="10"/>
      <c r="I10" s="25">
        <f t="shared" si="4"/>
        <v>90.24880361</v>
      </c>
      <c r="J10" s="25">
        <f t="shared" si="5"/>
        <v>809.1146859</v>
      </c>
      <c r="K10" s="25">
        <f t="shared" si="6"/>
        <v>13764.9874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25</v>
      </c>
      <c r="B11" s="13" t="s">
        <v>26</v>
      </c>
      <c r="C11" s="2"/>
      <c r="D11" s="28">
        <f t="shared" si="1"/>
        <v>7</v>
      </c>
      <c r="E11" s="29">
        <f t="shared" si="2"/>
        <v>43921</v>
      </c>
      <c r="F11" s="25">
        <f t="shared" si="3"/>
        <v>13764.9874</v>
      </c>
      <c r="G11" s="25">
        <f t="shared" si="7"/>
        <v>899.3634895</v>
      </c>
      <c r="H11" s="10"/>
      <c r="I11" s="25">
        <f t="shared" si="4"/>
        <v>85.2384344</v>
      </c>
      <c r="J11" s="25">
        <f t="shared" si="5"/>
        <v>814.1250551</v>
      </c>
      <c r="K11" s="25">
        <f t="shared" si="6"/>
        <v>12950.86235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27</v>
      </c>
      <c r="B12" s="2">
        <f>B10*12</f>
        <v>24</v>
      </c>
      <c r="C12" s="2"/>
      <c r="D12" s="28">
        <f t="shared" si="1"/>
        <v>8</v>
      </c>
      <c r="E12" s="29">
        <f t="shared" si="2"/>
        <v>43951</v>
      </c>
      <c r="F12" s="25">
        <f t="shared" si="3"/>
        <v>12950.86235</v>
      </c>
      <c r="G12" s="25">
        <f t="shared" si="7"/>
        <v>899.3634895</v>
      </c>
      <c r="H12" s="10"/>
      <c r="I12" s="25">
        <f t="shared" si="4"/>
        <v>80.19703893</v>
      </c>
      <c r="J12" s="25">
        <f t="shared" si="5"/>
        <v>819.1664506</v>
      </c>
      <c r="K12" s="25">
        <f t="shared" si="6"/>
        <v>12131.6959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28</v>
      </c>
      <c r="B13" s="2">
        <v>24.0</v>
      </c>
      <c r="C13" s="2"/>
      <c r="D13" s="28">
        <f t="shared" si="1"/>
        <v>9</v>
      </c>
      <c r="E13" s="29">
        <f t="shared" si="2"/>
        <v>43982</v>
      </c>
      <c r="F13" s="25">
        <f t="shared" si="3"/>
        <v>12131.6959</v>
      </c>
      <c r="G13" s="25">
        <f t="shared" si="7"/>
        <v>899.3634895</v>
      </c>
      <c r="H13" s="10"/>
      <c r="I13" s="25">
        <f t="shared" si="4"/>
        <v>75.12442508</v>
      </c>
      <c r="J13" s="25">
        <f t="shared" si="5"/>
        <v>824.2390644</v>
      </c>
      <c r="K13" s="25">
        <f t="shared" si="6"/>
        <v>11307.45683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29</v>
      </c>
      <c r="B14" s="21">
        <v>43708.0</v>
      </c>
      <c r="C14" s="2"/>
      <c r="D14" s="28">
        <f t="shared" si="1"/>
        <v>10</v>
      </c>
      <c r="E14" s="29">
        <f t="shared" si="2"/>
        <v>44012</v>
      </c>
      <c r="F14" s="25">
        <f t="shared" si="3"/>
        <v>11307.45683</v>
      </c>
      <c r="G14" s="25">
        <f t="shared" si="7"/>
        <v>899.3634895</v>
      </c>
      <c r="H14" s="10"/>
      <c r="I14" s="25">
        <f t="shared" si="4"/>
        <v>70.02039953</v>
      </c>
      <c r="J14" s="25">
        <f t="shared" si="5"/>
        <v>829.34309</v>
      </c>
      <c r="K14" s="25">
        <f t="shared" si="6"/>
        <v>10478.11374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3"/>
      <c r="C15" s="2"/>
      <c r="D15" s="28">
        <f t="shared" si="1"/>
        <v>11</v>
      </c>
      <c r="E15" s="29">
        <f t="shared" si="2"/>
        <v>44043</v>
      </c>
      <c r="F15" s="25">
        <f t="shared" si="3"/>
        <v>10478.11374</v>
      </c>
      <c r="G15" s="25">
        <f t="shared" si="7"/>
        <v>899.3634895</v>
      </c>
      <c r="H15" s="10"/>
      <c r="I15" s="25">
        <f t="shared" si="4"/>
        <v>64.88476776</v>
      </c>
      <c r="J15" s="25">
        <f t="shared" si="5"/>
        <v>834.4787218</v>
      </c>
      <c r="K15" s="25">
        <f t="shared" si="6"/>
        <v>9643.635021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30</v>
      </c>
      <c r="B16" s="10">
        <f>-CUMIPMT(B6/12,B13,B3,1,B13,0)</f>
        <v>1058.267072</v>
      </c>
      <c r="C16" s="2"/>
      <c r="D16" s="28">
        <f t="shared" si="1"/>
        <v>12</v>
      </c>
      <c r="E16" s="29">
        <f t="shared" si="2"/>
        <v>44074</v>
      </c>
      <c r="F16" s="25">
        <f t="shared" si="3"/>
        <v>9643.635021</v>
      </c>
      <c r="G16" s="25">
        <f t="shared" si="7"/>
        <v>899.3634895</v>
      </c>
      <c r="H16" s="10"/>
      <c r="I16" s="25">
        <f t="shared" si="4"/>
        <v>59.71733406</v>
      </c>
      <c r="J16" s="25">
        <f t="shared" si="5"/>
        <v>839.6461555</v>
      </c>
      <c r="K16" s="25">
        <f t="shared" si="6"/>
        <v>8803.988866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8">
        <f t="shared" si="1"/>
        <v>13</v>
      </c>
      <c r="E17" s="29">
        <f t="shared" si="2"/>
        <v>44104</v>
      </c>
      <c r="F17" s="25">
        <f t="shared" si="3"/>
        <v>8803.988866</v>
      </c>
      <c r="G17" s="25">
        <f t="shared" si="7"/>
        <v>899.3634895</v>
      </c>
      <c r="H17" s="10"/>
      <c r="I17" s="25">
        <f t="shared" si="4"/>
        <v>54.5179015</v>
      </c>
      <c r="J17" s="25">
        <f t="shared" si="5"/>
        <v>844.845588</v>
      </c>
      <c r="K17" s="25">
        <f t="shared" si="6"/>
        <v>7959.143278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9</v>
      </c>
      <c r="B18" s="2"/>
      <c r="C18" s="2"/>
      <c r="D18" s="28">
        <f t="shared" si="1"/>
        <v>14</v>
      </c>
      <c r="E18" s="29">
        <f t="shared" si="2"/>
        <v>44135</v>
      </c>
      <c r="F18" s="25">
        <f t="shared" si="3"/>
        <v>7959.143278</v>
      </c>
      <c r="G18" s="25">
        <f t="shared" si="7"/>
        <v>899.3634895</v>
      </c>
      <c r="H18" s="10"/>
      <c r="I18" s="25">
        <f t="shared" si="4"/>
        <v>49.28627192</v>
      </c>
      <c r="J18" s="25">
        <f t="shared" si="5"/>
        <v>850.0772176</v>
      </c>
      <c r="K18" s="25">
        <f t="shared" si="6"/>
        <v>7109.06606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10</v>
      </c>
      <c r="B19" s="12">
        <f>B3</f>
        <v>20000</v>
      </c>
      <c r="C19" s="2"/>
      <c r="D19" s="28">
        <f t="shared" si="1"/>
        <v>15</v>
      </c>
      <c r="E19" s="29">
        <f t="shared" si="2"/>
        <v>44165</v>
      </c>
      <c r="F19" s="25">
        <f t="shared" si="3"/>
        <v>7109.06606</v>
      </c>
      <c r="G19" s="25">
        <f t="shared" si="7"/>
        <v>899.3634895</v>
      </c>
      <c r="H19" s="10"/>
      <c r="I19" s="25">
        <f t="shared" si="4"/>
        <v>44.02224595</v>
      </c>
      <c r="J19" s="25">
        <f t="shared" si="5"/>
        <v>855.3412436</v>
      </c>
      <c r="K19" s="25">
        <f t="shared" si="6"/>
        <v>6253.724817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11</v>
      </c>
      <c r="B20" s="12">
        <f>B5</f>
        <v>500</v>
      </c>
      <c r="C20" s="2"/>
      <c r="D20" s="28">
        <f t="shared" si="1"/>
        <v>16</v>
      </c>
      <c r="E20" s="29">
        <f t="shared" si="2"/>
        <v>44196</v>
      </c>
      <c r="F20" s="25">
        <f t="shared" si="3"/>
        <v>6253.724817</v>
      </c>
      <c r="G20" s="25">
        <f t="shared" si="7"/>
        <v>899.3634895</v>
      </c>
      <c r="H20" s="25">
        <v>3000.0</v>
      </c>
      <c r="I20" s="25">
        <f t="shared" si="4"/>
        <v>38.72562298</v>
      </c>
      <c r="J20" s="25">
        <f t="shared" si="5"/>
        <v>860.6378665</v>
      </c>
      <c r="K20" s="25">
        <f t="shared" si="6"/>
        <v>2393.08695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8">
        <f t="shared" si="1"/>
        <v>17</v>
      </c>
      <c r="E21" s="29">
        <f t="shared" si="2"/>
        <v>44227</v>
      </c>
      <c r="F21" s="25">
        <f t="shared" si="3"/>
        <v>2393.08695</v>
      </c>
      <c r="G21" s="25">
        <f t="shared" si="7"/>
        <v>899.3634895</v>
      </c>
      <c r="H21" s="10"/>
      <c r="I21" s="25">
        <f t="shared" si="4"/>
        <v>14.81897361</v>
      </c>
      <c r="J21" s="25">
        <f t="shared" si="5"/>
        <v>884.5445159</v>
      </c>
      <c r="K21" s="25">
        <f t="shared" si="6"/>
        <v>1508.542434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12</v>
      </c>
      <c r="B22" s="12">
        <f>SUM(B19:B20)</f>
        <v>20500</v>
      </c>
      <c r="C22" s="2"/>
      <c r="D22" s="28">
        <f t="shared" si="1"/>
        <v>18</v>
      </c>
      <c r="E22" s="29">
        <f t="shared" si="2"/>
        <v>44255</v>
      </c>
      <c r="F22" s="25">
        <f t="shared" si="3"/>
        <v>1508.542434</v>
      </c>
      <c r="G22" s="25">
        <f t="shared" si="7"/>
        <v>899.3634895</v>
      </c>
      <c r="H22" s="10"/>
      <c r="I22" s="25">
        <f t="shared" si="4"/>
        <v>9.341512023</v>
      </c>
      <c r="J22" s="25">
        <f t="shared" si="5"/>
        <v>890.0219775</v>
      </c>
      <c r="K22" s="25">
        <f t="shared" si="6"/>
        <v>618.5204569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13</v>
      </c>
      <c r="B23" s="12">
        <f>-PMT(B6/12,B12,B22)</f>
        <v>899.3634895</v>
      </c>
      <c r="C23" s="2"/>
      <c r="D23" s="28">
        <f t="shared" si="1"/>
        <v>19</v>
      </c>
      <c r="E23" s="29">
        <f t="shared" si="2"/>
        <v>44286</v>
      </c>
      <c r="F23" s="25">
        <f t="shared" si="3"/>
        <v>618.5204569</v>
      </c>
      <c r="G23" s="25">
        <f t="shared" si="7"/>
        <v>622.3505886</v>
      </c>
      <c r="H23" s="10"/>
      <c r="I23" s="25">
        <f t="shared" si="4"/>
        <v>3.830131757</v>
      </c>
      <c r="J23" s="25">
        <f t="shared" si="5"/>
        <v>618.5204569</v>
      </c>
      <c r="K23" s="25">
        <f t="shared" si="6"/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8</v>
      </c>
      <c r="B24" s="13">
        <f>RATE(B12,-B23,B19)*12</f>
        <v>0.07430891019</v>
      </c>
      <c r="C24" s="2"/>
      <c r="D24" s="2" t="str">
        <f t="shared" si="1"/>
        <v/>
      </c>
      <c r="E24" s="26" t="str">
        <f t="shared" si="2"/>
        <v/>
      </c>
      <c r="F24" s="10" t="str">
        <f t="shared" si="3"/>
        <v/>
      </c>
      <c r="G24" s="10" t="str">
        <f t="shared" si="7"/>
        <v/>
      </c>
      <c r="H24" s="10"/>
      <c r="I24" s="10" t="str">
        <f t="shared" si="4"/>
        <v/>
      </c>
      <c r="J24" s="10" t="str">
        <f t="shared" si="5"/>
        <v/>
      </c>
      <c r="K24" s="10" t="str">
        <f t="shared" si="6"/>
        <v/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 t="str">
        <f t="shared" si="1"/>
        <v/>
      </c>
      <c r="E25" s="26" t="str">
        <f t="shared" si="2"/>
        <v/>
      </c>
      <c r="F25" s="10" t="str">
        <f t="shared" si="3"/>
        <v/>
      </c>
      <c r="G25" s="10" t="str">
        <f t="shared" si="7"/>
        <v/>
      </c>
      <c r="H25" s="10"/>
      <c r="I25" s="10" t="str">
        <f t="shared" si="4"/>
        <v/>
      </c>
      <c r="J25" s="10" t="str">
        <f t="shared" si="5"/>
        <v/>
      </c>
      <c r="K25" s="10" t="str">
        <f t="shared" si="6"/>
        <v/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42</v>
      </c>
      <c r="B26" s="2"/>
      <c r="C26" s="2"/>
      <c r="D26" s="2" t="str">
        <f t="shared" si="1"/>
        <v/>
      </c>
      <c r="E26" s="26" t="str">
        <f t="shared" si="2"/>
        <v/>
      </c>
      <c r="F26" s="10" t="str">
        <f t="shared" si="3"/>
        <v/>
      </c>
      <c r="G26" s="10" t="str">
        <f t="shared" si="7"/>
        <v/>
      </c>
      <c r="H26" s="10"/>
      <c r="I26" s="10" t="str">
        <f t="shared" si="4"/>
        <v/>
      </c>
      <c r="J26" s="10" t="str">
        <f t="shared" si="5"/>
        <v/>
      </c>
      <c r="K26" s="10" t="str">
        <f t="shared" si="6"/>
        <v/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5</v>
      </c>
      <c r="B27" s="22">
        <f>B23</f>
        <v>899.3634895</v>
      </c>
      <c r="C27" s="2"/>
      <c r="D27" s="2" t="str">
        <f t="shared" si="1"/>
        <v/>
      </c>
      <c r="E27" s="26" t="str">
        <f t="shared" si="2"/>
        <v/>
      </c>
      <c r="F27" s="10" t="str">
        <f t="shared" si="3"/>
        <v/>
      </c>
      <c r="G27" s="10" t="str">
        <f t="shared" si="7"/>
        <v/>
      </c>
      <c r="H27" s="10"/>
      <c r="I27" s="10" t="str">
        <f t="shared" si="4"/>
        <v/>
      </c>
      <c r="J27" s="10" t="str">
        <f t="shared" si="5"/>
        <v/>
      </c>
      <c r="K27" s="10" t="str">
        <f t="shared" si="6"/>
        <v/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40</v>
      </c>
      <c r="B28" s="18">
        <f>B27/B3</f>
        <v>0.04496817448</v>
      </c>
      <c r="C28" s="2"/>
      <c r="D28" s="2" t="str">
        <f t="shared" si="1"/>
        <v/>
      </c>
      <c r="E28" s="26" t="str">
        <f t="shared" si="2"/>
        <v/>
      </c>
      <c r="F28" s="10" t="str">
        <f t="shared" si="3"/>
        <v/>
      </c>
      <c r="G28" s="10" t="str">
        <f t="shared" si="7"/>
        <v/>
      </c>
      <c r="H28" s="10"/>
      <c r="I28" s="10" t="str">
        <f t="shared" si="4"/>
        <v/>
      </c>
      <c r="J28" s="10" t="str">
        <f t="shared" si="5"/>
        <v/>
      </c>
      <c r="K28" s="10" t="str">
        <f t="shared" si="6"/>
        <v/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43</v>
      </c>
      <c r="B29" s="18">
        <f>B28*12</f>
        <v>0.5396180937</v>
      </c>
      <c r="C29" s="2"/>
      <c r="D29" s="2"/>
      <c r="E29" s="2"/>
      <c r="F29" s="2"/>
      <c r="G29" s="2"/>
      <c r="H29" s="1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1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1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1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1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1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1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1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1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1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1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1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1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1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1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1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1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1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1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1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1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1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1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1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1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1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1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1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1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1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1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1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1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1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1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1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1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1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1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1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1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1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1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1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1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1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1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1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1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1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1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1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1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1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1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1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1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1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1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1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1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1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1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1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1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1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1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1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1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1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1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1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1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1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1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1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1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1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1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1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1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1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1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1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1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1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1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1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1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1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1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1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1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1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1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1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1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1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1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1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1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1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1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1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1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1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1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1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1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1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1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1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1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1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1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1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1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1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1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1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1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1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1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1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1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1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1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1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1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1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1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1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1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1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1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1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1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1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1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1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1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1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1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1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1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1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1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1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1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1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1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1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1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1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1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1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1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1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1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1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1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1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1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1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1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1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1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1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1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1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1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1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1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1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1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1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1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1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1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1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1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1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1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1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1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1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1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1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1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1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1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1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1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1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1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1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1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1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1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1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1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1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1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1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1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1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1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1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1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1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1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1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1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1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1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1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1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1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1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1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1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1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1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1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1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1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1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1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1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1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1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1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1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1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1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1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1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1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1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1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1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1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1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1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1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1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1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1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1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1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1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1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1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1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1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1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1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1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1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1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1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1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1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1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1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1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1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1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1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1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1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1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1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1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1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1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1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1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1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1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1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1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1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1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1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1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1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1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1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1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1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1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1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1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1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1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1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1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1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1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1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1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1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1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1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1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1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1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1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1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1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1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1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1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1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1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1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1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1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1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1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1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1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1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1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1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1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1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1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1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1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1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1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1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1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1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1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1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1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1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1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1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1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1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1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1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1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1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1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1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1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1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1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1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1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1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1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1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1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1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1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1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1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1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1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1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1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1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1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1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1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1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1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1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1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1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1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1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1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1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1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1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1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1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1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1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1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1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1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1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1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1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1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1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1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1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1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1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1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1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1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1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1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1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1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1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1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1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1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1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1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1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1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1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1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1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1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1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1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1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1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1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1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1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1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1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1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1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1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1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1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1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1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1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1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1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1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1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1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1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1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1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1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1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13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1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1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1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1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1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1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1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1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1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1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1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13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1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1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1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1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1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1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1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1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1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1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1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1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1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1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1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1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1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1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1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1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1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1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1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1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1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1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1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1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1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1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1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1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13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13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1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1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1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1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1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1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1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1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1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1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1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1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1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1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1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1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1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1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1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1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1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1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1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1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1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1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1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1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13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13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13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13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13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1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1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1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1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1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1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1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1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1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1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1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1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1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1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1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1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1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1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1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1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1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1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1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1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1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1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1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1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1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1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1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1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1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1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1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1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1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1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1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1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1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1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1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1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1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1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1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1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1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1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1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1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1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1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13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13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1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1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1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1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13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13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13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13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13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1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1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1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1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1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1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1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1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1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1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1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1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1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1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1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1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1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1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1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1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1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1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1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1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1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1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1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1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1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1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1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1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1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1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1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1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1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1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1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1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1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1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1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1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1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1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1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1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1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1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1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1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1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1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1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1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1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1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1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1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1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1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1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1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1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1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1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1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1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1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1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1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1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1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1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1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1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1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1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1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1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1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1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1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1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1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1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1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1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1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1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1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1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1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1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1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1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1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1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1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1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1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1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1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1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1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1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1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1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1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1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1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1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1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1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1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1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1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1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1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1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1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1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1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1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1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1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1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1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1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1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1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1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1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1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1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1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1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1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1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1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1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1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1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1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1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1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1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1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1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1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1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1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1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1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1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1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1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1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1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1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1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1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1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1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1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1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1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1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1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1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1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1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1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1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1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1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1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1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1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1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1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1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1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1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1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1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1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1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1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1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1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1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1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1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1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1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1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1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1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1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1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1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1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1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1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1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1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1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1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1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1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1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1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1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1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1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1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1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1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1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1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1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1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1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1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1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1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1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1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1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1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1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1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1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1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1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1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1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1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1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1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1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1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1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1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1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1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1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1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1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1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1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1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1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1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1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1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1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1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1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1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1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1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1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1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1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1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1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1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1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1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1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1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1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1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1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1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1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1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1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1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1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1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1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1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1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1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1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1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1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1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1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1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1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1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1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1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1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1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1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1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1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1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13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13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13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13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13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13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13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13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1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1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1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1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1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1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1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1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1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1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1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1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1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1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1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1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13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13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13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13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13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13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13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13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13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13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1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1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1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1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1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1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1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13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1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13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13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13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13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13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13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13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13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13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13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13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13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13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13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1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1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1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1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1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1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1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13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13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1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13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13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13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13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13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13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13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13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13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13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13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13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