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defaultThemeVersion="124226"/>
  <mc:AlternateContent xmlns:mc="http://schemas.openxmlformats.org/markup-compatibility/2006">
    <mc:Choice Requires="x15">
      <x15ac:absPath xmlns:x15ac="http://schemas.microsoft.com/office/spreadsheetml/2010/11/ac" url="C:\Users\Juci\OneDrive\Metlife\05_Kalkulatorok\"/>
    </mc:Choice>
  </mc:AlternateContent>
  <xr:revisionPtr revIDLastSave="186" documentId="13_ncr:1_{489C4F52-4E5D-4544-8AB1-37EC738234A1}" xr6:coauthVersionLast="45" xr6:coauthVersionMax="45" xr10:uidLastSave="{E96E05CD-98EC-4BBD-B39A-F90E47063466}"/>
  <workbookProtection workbookPassword="D9D3" lockStructure="1"/>
  <bookViews>
    <workbookView xWindow="-108" yWindow="-108" windowWidth="21432" windowHeight="13176"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51" i="25" s="1"/>
  <c r="J32" i="25" s="1"/>
  <c r="J3" i="25"/>
  <c r="E19" i="11"/>
  <c r="G17" i="11"/>
  <c r="E17" i="11"/>
  <c r="D17" i="11"/>
  <c r="G16" i="11"/>
  <c r="G15" i="11"/>
  <c r="F15" i="11"/>
  <c r="I16" i="23"/>
  <c r="N19" i="25"/>
  <c r="C14" i="23"/>
  <c r="F14" i="23" s="1"/>
  <c r="H5" i="14"/>
  <c r="H4" i="14"/>
  <c r="L37" i="14" s="1"/>
  <c r="H5" i="1"/>
  <c r="H4" i="1"/>
  <c r="G98" i="10"/>
  <c r="F98" i="10"/>
  <c r="E98" i="10"/>
  <c r="D98" i="10"/>
  <c r="E94" i="10"/>
  <c r="D94" i="10"/>
  <c r="A94" i="10" s="1"/>
  <c r="H14" i="14" s="1"/>
  <c r="E90" i="10"/>
  <c r="D90" i="10"/>
  <c r="G86" i="10"/>
  <c r="F86" i="10"/>
  <c r="E86" i="10"/>
  <c r="D86" i="10"/>
  <c r="A86" i="10" s="1"/>
  <c r="H12" i="14" s="1"/>
  <c r="L74" i="14" s="1"/>
  <c r="G82" i="10"/>
  <c r="F82" i="10"/>
  <c r="E82" i="10"/>
  <c r="E78" i="10"/>
  <c r="G74" i="10"/>
  <c r="F74" i="10"/>
  <c r="E74" i="10"/>
  <c r="D74" i="10"/>
  <c r="J70" i="10"/>
  <c r="I70" i="10"/>
  <c r="H70" i="10"/>
  <c r="F70" i="10"/>
  <c r="E70" i="10"/>
  <c r="D70" i="10"/>
  <c r="A70" i="10" s="1"/>
  <c r="H8" i="14" s="1"/>
  <c r="H66" i="10"/>
  <c r="G66" i="10"/>
  <c r="F66" i="10"/>
  <c r="E66" i="10"/>
  <c r="D66" i="10"/>
  <c r="G62" i="10"/>
  <c r="F62" i="10"/>
  <c r="E62" i="10"/>
  <c r="D62" i="10"/>
  <c r="A62" i="10" s="1"/>
  <c r="H6" i="14" s="1"/>
  <c r="F45" i="10"/>
  <c r="E45" i="10"/>
  <c r="D45" i="10"/>
  <c r="E41" i="10"/>
  <c r="D41" i="10"/>
  <c r="A41" i="10" s="1"/>
  <c r="H14" i="1" s="1"/>
  <c r="E37" i="10"/>
  <c r="G33" i="10"/>
  <c r="F33" i="10"/>
  <c r="E33" i="10"/>
  <c r="D33" i="10"/>
  <c r="A33" i="10" s="1"/>
  <c r="H12" i="1" s="1"/>
  <c r="G29" i="10"/>
  <c r="F29" i="10"/>
  <c r="E29" i="10"/>
  <c r="E25" i="10"/>
  <c r="F21" i="10"/>
  <c r="E21" i="10"/>
  <c r="D21" i="10"/>
  <c r="I17" i="10"/>
  <c r="H17" i="10"/>
  <c r="F17" i="10"/>
  <c r="E17" i="10"/>
  <c r="D17" i="10"/>
  <c r="A17" i="10" s="1"/>
  <c r="H8" i="1" s="1"/>
  <c r="G13" i="10"/>
  <c r="F13" i="10"/>
  <c r="E13" i="10"/>
  <c r="D13" i="10"/>
  <c r="F9" i="10"/>
  <c r="D9" i="10"/>
  <c r="J87" i="19"/>
  <c r="J83" i="19"/>
  <c r="J79" i="19"/>
  <c r="B78" i="19" s="1"/>
  <c r="J71" i="19"/>
  <c r="J70" i="19"/>
  <c r="B69" i="19" s="1"/>
  <c r="J74" i="19"/>
  <c r="B73" i="19" s="1"/>
  <c r="J82" i="19"/>
  <c r="B81" i="19" s="1"/>
  <c r="J86" i="19"/>
  <c r="J90" i="19"/>
  <c r="B65" i="19"/>
  <c r="O90" i="19" s="1"/>
  <c r="L94" i="19"/>
  <c r="L93" i="19"/>
  <c r="L90" i="19"/>
  <c r="L87" i="19"/>
  <c r="L86" i="19"/>
  <c r="L83" i="19"/>
  <c r="L82" i="19"/>
  <c r="L79" i="19"/>
  <c r="L76" i="19"/>
  <c r="L75" i="19"/>
  <c r="Q75" i="19" s="1"/>
  <c r="L74" i="19"/>
  <c r="Q74" i="19" s="1"/>
  <c r="L71" i="19"/>
  <c r="E59" i="19"/>
  <c r="E52" i="19"/>
  <c r="E53" i="19" s="1"/>
  <c r="AA68" i="19" s="1"/>
  <c r="M11" i="19"/>
  <c r="I11" i="19"/>
  <c r="E11" i="19"/>
  <c r="B89" i="19"/>
  <c r="B85" i="19"/>
  <c r="G2" i="19"/>
  <c r="H16" i="1"/>
  <c r="Q93" i="19"/>
  <c r="Q86" i="19"/>
  <c r="Q94" i="19"/>
  <c r="N26" i="8"/>
  <c r="L70" i="19"/>
  <c r="Y10" i="8"/>
  <c r="J4" i="8"/>
  <c r="E14" i="8"/>
  <c r="J13" i="8" s="1"/>
  <c r="J3" i="8"/>
  <c r="P32" i="8" s="1"/>
  <c r="G2" i="8"/>
  <c r="D82" i="10"/>
  <c r="A82" i="10" s="1"/>
  <c r="H11" i="14" s="1"/>
  <c r="G17" i="10"/>
  <c r="G70" i="10"/>
  <c r="E58" i="10"/>
  <c r="D78" i="10"/>
  <c r="A78" i="10" s="1"/>
  <c r="H10" i="14" s="1"/>
  <c r="D58" i="10"/>
  <c r="A59" i="10" s="1"/>
  <c r="E2" i="14"/>
  <c r="C16" i="14"/>
  <c r="D18" i="14"/>
  <c r="C14" i="14"/>
  <c r="C12" i="14"/>
  <c r="B18" i="14"/>
  <c r="C9" i="14"/>
  <c r="I71" i="14" s="1"/>
  <c r="A90" i="10"/>
  <c r="H13" i="14"/>
  <c r="A66" i="10"/>
  <c r="H7" i="14"/>
  <c r="A98" i="10"/>
  <c r="H15" i="14" s="1"/>
  <c r="A74" i="10"/>
  <c r="H9" i="14"/>
  <c r="D37" i="10"/>
  <c r="D29" i="10"/>
  <c r="A29" i="10" s="1"/>
  <c r="H11" i="1" s="1"/>
  <c r="D25" i="10"/>
  <c r="A25" i="10" s="1"/>
  <c r="H10" i="1" s="1"/>
  <c r="D5" i="10"/>
  <c r="A6" i="10" s="1"/>
  <c r="L51" i="14"/>
  <c r="L52" i="14"/>
  <c r="E9" i="10"/>
  <c r="E5" i="10"/>
  <c r="E9" i="8"/>
  <c r="Y44" i="8" s="1"/>
  <c r="C16" i="1"/>
  <c r="C14" i="1"/>
  <c r="C12" i="1"/>
  <c r="B15" i="11"/>
  <c r="B12" i="23"/>
  <c r="A13" i="10"/>
  <c r="H7" i="1"/>
  <c r="B18" i="1"/>
  <c r="E57" i="19"/>
  <c r="E58" i="19" s="1"/>
  <c r="A21" i="10"/>
  <c r="H9" i="1"/>
  <c r="A37" i="10"/>
  <c r="H13" i="1"/>
  <c r="A45" i="10"/>
  <c r="H15" i="1" s="1"/>
  <c r="A9" i="10"/>
  <c r="H6" i="1"/>
  <c r="C9" i="1"/>
  <c r="C15" i="11" s="1"/>
  <c r="L30" i="1"/>
  <c r="L58" i="1"/>
  <c r="L73" i="1"/>
  <c r="D18" i="1"/>
  <c r="L29" i="1"/>
  <c r="L47" i="1"/>
  <c r="L32" i="1"/>
  <c r="L48" i="1"/>
  <c r="L77" i="14"/>
  <c r="L49" i="1"/>
  <c r="L50" i="1"/>
  <c r="L62" i="14"/>
  <c r="L61" i="14"/>
  <c r="L57" i="1"/>
  <c r="L50" i="14"/>
  <c r="L32" i="14"/>
  <c r="L30" i="14"/>
  <c r="L36" i="1"/>
  <c r="L37" i="1"/>
  <c r="L35" i="1"/>
  <c r="E55" i="19" l="1"/>
  <c r="Q79" i="19" s="1"/>
  <c r="L42" i="14"/>
  <c r="L40" i="14"/>
  <c r="L43" i="14"/>
  <c r="L41" i="14"/>
  <c r="P30" i="8"/>
  <c r="P31" i="8"/>
  <c r="L28" i="14"/>
  <c r="L31" i="14"/>
  <c r="L73" i="14"/>
  <c r="L72" i="14"/>
  <c r="L71" i="14"/>
  <c r="L49" i="14"/>
  <c r="L48" i="14"/>
  <c r="L47" i="14"/>
  <c r="L29" i="14"/>
  <c r="L36" i="14"/>
  <c r="L35" i="14"/>
  <c r="L69" i="14"/>
  <c r="L70" i="14"/>
  <c r="L67" i="14"/>
  <c r="L68" i="14"/>
  <c r="L64" i="14"/>
  <c r="L63" i="14"/>
  <c r="H61" i="19"/>
  <c r="N75" i="19" s="1"/>
  <c r="O86" i="19"/>
  <c r="H16" i="14"/>
  <c r="O83" i="19"/>
  <c r="O76" i="19"/>
  <c r="O82" i="19"/>
  <c r="O71" i="19"/>
  <c r="O79" i="19"/>
  <c r="O87" i="19"/>
  <c r="O75" i="19"/>
  <c r="O74" i="19"/>
  <c r="O70" i="19"/>
  <c r="L57" i="14"/>
  <c r="L55" i="14"/>
  <c r="L58" i="14"/>
  <c r="L54" i="14"/>
  <c r="L56" i="14"/>
  <c r="L44" i="14"/>
  <c r="L53" i="14"/>
  <c r="L41" i="1"/>
  <c r="L42" i="1"/>
  <c r="L40" i="1"/>
  <c r="L43" i="1"/>
  <c r="L51" i="1"/>
  <c r="L54" i="1"/>
  <c r="L52" i="1"/>
  <c r="L44" i="1"/>
  <c r="L53" i="1"/>
  <c r="L70" i="1"/>
  <c r="L69"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R108" i="19"/>
  <c r="AE68" i="19"/>
  <c r="I80" i="14"/>
  <c r="I63" i="14"/>
  <c r="I69" i="14"/>
  <c r="I54" i="14"/>
  <c r="I40" i="14"/>
  <c r="C16" i="11"/>
  <c r="AA90" i="19"/>
  <c r="AA94" i="19"/>
  <c r="AA86" i="19"/>
  <c r="AA79" i="19"/>
  <c r="AA71" i="19"/>
  <c r="AA74" i="19"/>
  <c r="AA93" i="19"/>
  <c r="AA82" i="19"/>
  <c r="AA70" i="19"/>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R113" i="19"/>
  <c r="Q76" i="19"/>
  <c r="AK68" i="19"/>
  <c r="AK86" i="19" s="1"/>
  <c r="AI68" i="19"/>
  <c r="AB68" i="19"/>
  <c r="AB94" i="19" s="1"/>
  <c r="C19" i="11"/>
  <c r="G9" i="25"/>
  <c r="J5" i="25"/>
  <c r="N51" i="25"/>
  <c r="N32" i="25" s="1"/>
  <c r="Y60" i="25" s="1"/>
  <c r="L49" i="25"/>
  <c r="L30" i="25" s="1"/>
  <c r="O60" i="25" s="1"/>
  <c r="J47" i="25"/>
  <c r="J28" i="25" s="1"/>
  <c r="E60" i="25" s="1"/>
  <c r="R117" i="19"/>
  <c r="AA117" i="19" s="1"/>
  <c r="AM68" i="19"/>
  <c r="AJ68" i="19"/>
  <c r="AJ82" i="19" s="1"/>
  <c r="AO68" i="19"/>
  <c r="AO82" i="19" s="1"/>
  <c r="R109" i="19"/>
  <c r="R120" i="19"/>
  <c r="AA120" i="19" s="1"/>
  <c r="R110" i="19"/>
  <c r="AL68" i="19"/>
  <c r="AL75" i="19" s="1"/>
  <c r="S68" i="19"/>
  <c r="AD68" i="19"/>
  <c r="U60" i="25"/>
  <c r="H51" i="25"/>
  <c r="H32" i="25" s="1"/>
  <c r="S60" i="25" s="1"/>
  <c r="N49" i="25"/>
  <c r="N30" i="25" s="1"/>
  <c r="Q60" i="25" s="1"/>
  <c r="L47" i="25"/>
  <c r="L28" i="25" s="1"/>
  <c r="G60" i="25" s="1"/>
  <c r="B61" i="25"/>
  <c r="R104" i="19"/>
  <c r="V68" i="19"/>
  <c r="AC68" i="19"/>
  <c r="AC82" i="19" s="1"/>
  <c r="X68" i="19"/>
  <c r="R68" i="19"/>
  <c r="R127" i="19"/>
  <c r="G55" i="19"/>
  <c r="Z68" i="19"/>
  <c r="AG68" i="19"/>
  <c r="AG74" i="19" s="1"/>
  <c r="R128" i="19" l="1"/>
  <c r="AA128" i="19" s="1"/>
  <c r="Q70" i="19"/>
  <c r="Q90" i="19"/>
  <c r="AH110" i="19"/>
  <c r="AP113"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AN109" i="19"/>
  <c r="AP116" i="19"/>
  <c r="AP108" i="19"/>
  <c r="AP124" i="19"/>
  <c r="AF113" i="19"/>
  <c r="AP128" i="19"/>
  <c r="AP110" i="19"/>
  <c r="AF127" i="19"/>
  <c r="Y109" i="19"/>
  <c r="Y113" i="19"/>
  <c r="AP120" i="19"/>
  <c r="U86" i="19"/>
  <c r="W120" i="19"/>
  <c r="U76" i="19"/>
  <c r="Y128" i="19"/>
  <c r="AH121" i="19"/>
  <c r="AH117" i="19"/>
  <c r="AH128" i="19"/>
  <c r="AH113" i="19"/>
  <c r="T117" i="19"/>
  <c r="K61" i="25"/>
  <c r="T128" i="19"/>
  <c r="T120" i="19"/>
  <c r="T108" i="19"/>
  <c r="U105" i="19"/>
  <c r="D15" i="11"/>
  <c r="H15" i="11" s="1"/>
  <c r="L27" i="8"/>
  <c r="D14" i="23" s="1"/>
  <c r="G14" i="23" s="1"/>
  <c r="AE108" i="19"/>
  <c r="W110" i="19"/>
  <c r="W117" i="19"/>
  <c r="AE70" i="19"/>
  <c r="AE109" i="19"/>
  <c r="U82" i="19"/>
  <c r="AE121" i="19"/>
  <c r="AE128" i="19"/>
  <c r="U75" i="19"/>
  <c r="W128" i="19"/>
  <c r="AE110" i="19"/>
  <c r="U94" i="19"/>
  <c r="U79" i="19"/>
  <c r="AE117" i="19"/>
  <c r="C18" i="1"/>
  <c r="U71" i="19"/>
  <c r="AE113" i="19"/>
  <c r="U70" i="19"/>
  <c r="U128" i="19"/>
  <c r="W108" i="19"/>
  <c r="AE120" i="19"/>
  <c r="L40" i="8"/>
  <c r="L30" i="8"/>
  <c r="E12" i="23"/>
  <c r="H12" i="23" s="1"/>
  <c r="L32" i="8"/>
  <c r="L44" i="8"/>
  <c r="L39" i="8"/>
  <c r="U74" i="19"/>
  <c r="U93" i="19"/>
  <c r="L47" i="8"/>
  <c r="AF121" i="19"/>
  <c r="AN120" i="19"/>
  <c r="AN70" i="19"/>
  <c r="AF108" i="19"/>
  <c r="AF70" i="19"/>
  <c r="AF120" i="19"/>
  <c r="AN117" i="19"/>
  <c r="AF128" i="19"/>
  <c r="AF117" i="19"/>
  <c r="AN110" i="19"/>
  <c r="AN108" i="19"/>
  <c r="L35" i="8"/>
  <c r="E14" i="23" s="1"/>
  <c r="H14" i="23" s="1"/>
  <c r="AN128" i="19"/>
  <c r="AN127" i="19"/>
  <c r="AF109" i="19"/>
  <c r="AF110" i="19"/>
  <c r="L31" i="8"/>
  <c r="M61" i="25"/>
  <c r="C12" i="23"/>
  <c r="F12" i="23" s="1"/>
  <c r="O61" i="25"/>
  <c r="T110" i="19"/>
  <c r="W127" i="19"/>
  <c r="T86" i="19"/>
  <c r="T75" i="19"/>
  <c r="T74" i="19"/>
  <c r="T79" i="19"/>
  <c r="T90" i="19"/>
  <c r="T94" i="19"/>
  <c r="T71" i="19"/>
  <c r="T70" i="19"/>
  <c r="T82" i="19"/>
  <c r="T76" i="19"/>
  <c r="T93" i="19"/>
  <c r="AN105" i="19"/>
  <c r="AN113" i="19"/>
  <c r="Y108" i="19"/>
  <c r="U108" i="19"/>
  <c r="E61" i="25"/>
  <c r="W71" i="19"/>
  <c r="W70" i="19"/>
  <c r="W79" i="19"/>
  <c r="W82" i="19"/>
  <c r="W86" i="19"/>
  <c r="W90" i="19"/>
  <c r="W94" i="19"/>
  <c r="W75" i="19"/>
  <c r="W93" i="19"/>
  <c r="W74" i="19"/>
  <c r="W76" i="19"/>
  <c r="W116" i="19"/>
  <c r="AP121" i="19"/>
  <c r="AP127" i="19"/>
  <c r="AP109" i="19"/>
  <c r="AP117" i="19"/>
  <c r="AH108" i="19"/>
  <c r="AH109" i="19"/>
  <c r="AH120" i="19"/>
  <c r="AH70" i="19"/>
  <c r="AP70" i="19"/>
  <c r="Y117" i="19"/>
  <c r="Y71" i="19"/>
  <c r="Y93" i="19"/>
  <c r="Y86" i="19"/>
  <c r="Y74" i="19"/>
  <c r="Y120" i="19"/>
  <c r="Y82" i="19"/>
  <c r="Y94" i="19"/>
  <c r="Y76" i="19"/>
  <c r="Y90" i="19"/>
  <c r="Y70" i="19"/>
  <c r="Y75" i="19"/>
  <c r="Y79" i="19"/>
  <c r="D12" i="23"/>
  <c r="G12" i="23" s="1"/>
  <c r="D13" i="23"/>
  <c r="G13" i="23" s="1"/>
  <c r="L51" i="8"/>
  <c r="L43" i="8"/>
  <c r="E15" i="11"/>
  <c r="I15" i="11" s="1"/>
  <c r="U61" i="25"/>
  <c r="C61" i="25"/>
  <c r="Y8" i="8"/>
  <c r="Y12" i="8" s="1"/>
  <c r="Y14" i="8" s="1"/>
  <c r="AA108" i="19"/>
  <c r="L50" i="8"/>
  <c r="AH127" i="19"/>
  <c r="AE127" i="19"/>
  <c r="Z127" i="19"/>
  <c r="Z117" i="19"/>
  <c r="Z120" i="19"/>
  <c r="Z109" i="19"/>
  <c r="Z128" i="19"/>
  <c r="Z70" i="19"/>
  <c r="Z108" i="19"/>
  <c r="Z110" i="19"/>
  <c r="Z90" i="19"/>
  <c r="Z82" i="19"/>
  <c r="Z76" i="19"/>
  <c r="Z86" i="19"/>
  <c r="Z75" i="19"/>
  <c r="Z94" i="19"/>
  <c r="Z71" i="19"/>
  <c r="Z93" i="19"/>
  <c r="Z74" i="19"/>
  <c r="Z113" i="19"/>
  <c r="Z79" i="19"/>
  <c r="AB117" i="19"/>
  <c r="AB120" i="19"/>
  <c r="AB108" i="19"/>
  <c r="AB128" i="19"/>
  <c r="AB113" i="19"/>
  <c r="AB105" i="19"/>
  <c r="AB70" i="19"/>
  <c r="AB127" i="19"/>
  <c r="AB110" i="19"/>
  <c r="AB121" i="19"/>
  <c r="AB109" i="19"/>
  <c r="AI105" i="19"/>
  <c r="AI120" i="19"/>
  <c r="AI128" i="19"/>
  <c r="AI127" i="19"/>
  <c r="AI113" i="19"/>
  <c r="AI108" i="19"/>
  <c r="AI110" i="19"/>
  <c r="AI109" i="19"/>
  <c r="AI121" i="19"/>
  <c r="AI117" i="19"/>
  <c r="AI70" i="19"/>
  <c r="S61" i="25"/>
  <c r="R83" i="19"/>
  <c r="AD83" i="19" s="1"/>
  <c r="R86" i="19"/>
  <c r="R87" i="19"/>
  <c r="Z87" i="19" s="1"/>
  <c r="R93" i="19"/>
  <c r="R79" i="19"/>
  <c r="R71" i="19"/>
  <c r="R82" i="19"/>
  <c r="R94" i="19"/>
  <c r="R76" i="19"/>
  <c r="R90" i="19"/>
  <c r="R70" i="19"/>
  <c r="R75" i="19"/>
  <c r="R74" i="19"/>
  <c r="AK110" i="19"/>
  <c r="AK120" i="19"/>
  <c r="AK116" i="19"/>
  <c r="AK127" i="19"/>
  <c r="AK121" i="19"/>
  <c r="AK109" i="19"/>
  <c r="AK108" i="19"/>
  <c r="AK113" i="19"/>
  <c r="AK128" i="19"/>
  <c r="AK117" i="19"/>
  <c r="AK70" i="19"/>
  <c r="U109" i="19"/>
  <c r="AA109" i="19"/>
  <c r="C13" i="23"/>
  <c r="F13" i="23" s="1"/>
  <c r="D16" i="11"/>
  <c r="H16" i="11" s="1"/>
  <c r="C18" i="14"/>
  <c r="U120" i="19"/>
  <c r="AA127" i="19"/>
  <c r="AA113" i="19"/>
  <c r="X109" i="19"/>
  <c r="X108" i="19"/>
  <c r="X117" i="19"/>
  <c r="X110" i="19"/>
  <c r="X86" i="19"/>
  <c r="X94" i="19"/>
  <c r="X75" i="19"/>
  <c r="X74" i="19"/>
  <c r="X90" i="19"/>
  <c r="X128" i="19"/>
  <c r="X82" i="19"/>
  <c r="X70" i="19"/>
  <c r="X76" i="19"/>
  <c r="X113" i="19"/>
  <c r="X120" i="19"/>
  <c r="X79" i="19"/>
  <c r="X93" i="19"/>
  <c r="X71" i="19"/>
  <c r="X127" i="19"/>
  <c r="AJ124" i="19"/>
  <c r="AJ127" i="19"/>
  <c r="AJ120" i="19"/>
  <c r="AJ110" i="19"/>
  <c r="AJ108" i="19"/>
  <c r="AJ128" i="19"/>
  <c r="AJ117" i="19"/>
  <c r="AJ109" i="19"/>
  <c r="AJ121" i="19"/>
  <c r="AJ113" i="19"/>
  <c r="AJ70" i="19"/>
  <c r="U113" i="19"/>
  <c r="AA110" i="19"/>
  <c r="Y127" i="19"/>
  <c r="AO121" i="19"/>
  <c r="AO109" i="19"/>
  <c r="AO120" i="19"/>
  <c r="AO124" i="19"/>
  <c r="AO110" i="19"/>
  <c r="AO117" i="19"/>
  <c r="AO128" i="19"/>
  <c r="AO70" i="19"/>
  <c r="AO116" i="19"/>
  <c r="AO108" i="19"/>
  <c r="AO127" i="19"/>
  <c r="AO113" i="19"/>
  <c r="AO105" i="19"/>
  <c r="I61" i="25"/>
  <c r="B62" i="25"/>
  <c r="Y61" i="25"/>
  <c r="Q61" i="25"/>
  <c r="G61" i="25"/>
  <c r="AD127" i="19"/>
  <c r="AD105" i="19"/>
  <c r="AD113" i="19"/>
  <c r="AD110" i="19"/>
  <c r="AD120" i="19"/>
  <c r="AD117" i="19"/>
  <c r="AD109" i="19"/>
  <c r="AD121" i="19"/>
  <c r="AD108" i="19"/>
  <c r="AD70" i="19"/>
  <c r="AD128" i="19"/>
  <c r="C60" i="25"/>
  <c r="J6" i="25"/>
  <c r="T109" i="19"/>
  <c r="W109" i="19"/>
  <c r="AC128" i="19"/>
  <c r="AC105" i="19"/>
  <c r="AC108" i="19"/>
  <c r="AC127" i="19"/>
  <c r="AC110" i="19"/>
  <c r="AC109" i="19"/>
  <c r="AC117" i="19"/>
  <c r="AC113" i="19"/>
  <c r="AC121" i="19"/>
  <c r="AC120" i="19"/>
  <c r="AC70" i="19"/>
  <c r="S108" i="19"/>
  <c r="S128" i="19"/>
  <c r="S105" i="19"/>
  <c r="S113" i="19"/>
  <c r="S109" i="19"/>
  <c r="S116" i="19"/>
  <c r="S117" i="19"/>
  <c r="S110" i="19"/>
  <c r="S121" i="19"/>
  <c r="S120" i="19"/>
  <c r="S127" i="19"/>
  <c r="S82" i="19"/>
  <c r="S94" i="19"/>
  <c r="S90" i="19"/>
  <c r="S70" i="19"/>
  <c r="S75" i="19"/>
  <c r="S71" i="19"/>
  <c r="S93" i="19"/>
  <c r="S86" i="19"/>
  <c r="S74" i="19"/>
  <c r="S76" i="19"/>
  <c r="S79" i="19"/>
  <c r="AM105" i="19"/>
  <c r="AM108" i="19"/>
  <c r="AM117" i="19"/>
  <c r="AM109" i="19"/>
  <c r="AM127" i="19"/>
  <c r="AM113" i="19"/>
  <c r="AM110" i="19"/>
  <c r="AM70" i="19"/>
  <c r="AM121" i="19"/>
  <c r="AM120" i="19"/>
  <c r="AM128" i="19"/>
  <c r="W61" i="25"/>
  <c r="T113" i="19"/>
  <c r="E16" i="11"/>
  <c r="I16" i="11" s="1"/>
  <c r="U110" i="19"/>
  <c r="U127" i="19"/>
  <c r="V121" i="19"/>
  <c r="V108" i="19"/>
  <c r="V110" i="19"/>
  <c r="V117" i="19"/>
  <c r="V127" i="19"/>
  <c r="V105" i="19"/>
  <c r="V109" i="19"/>
  <c r="V128" i="19"/>
  <c r="V86" i="19"/>
  <c r="V79" i="19"/>
  <c r="V113" i="19"/>
  <c r="V74" i="19"/>
  <c r="V120" i="19"/>
  <c r="V90" i="19"/>
  <c r="V75" i="19"/>
  <c r="V70" i="19"/>
  <c r="V93" i="19"/>
  <c r="V76" i="19"/>
  <c r="V94" i="19"/>
  <c r="V82" i="19"/>
  <c r="V71" i="19"/>
  <c r="AL109" i="19"/>
  <c r="AL110" i="19"/>
  <c r="AL127" i="19"/>
  <c r="AL121" i="19"/>
  <c r="AL105" i="19"/>
  <c r="AL120" i="19"/>
  <c r="AL128" i="19"/>
  <c r="AL124" i="19"/>
  <c r="AL117" i="19"/>
  <c r="AL108" i="19"/>
  <c r="AL70" i="19"/>
  <c r="AL113" i="19"/>
  <c r="Y36" i="8"/>
  <c r="AG109" i="19"/>
  <c r="AG127" i="19"/>
  <c r="AG110" i="19"/>
  <c r="AG120" i="19"/>
  <c r="AG121" i="19"/>
  <c r="AG116" i="19"/>
  <c r="AG113" i="19"/>
  <c r="AG105" i="19"/>
  <c r="AG117" i="19"/>
  <c r="AG108" i="19"/>
  <c r="AG70" i="19"/>
  <c r="AG128" i="19"/>
  <c r="Y104" i="19"/>
  <c r="AI104" i="19"/>
  <c r="AF104" i="19"/>
  <c r="AB104" i="19"/>
  <c r="T104" i="19"/>
  <c r="S104" i="19"/>
  <c r="AE104" i="19"/>
  <c r="AN104" i="19"/>
  <c r="AD104" i="19"/>
  <c r="AJ104" i="19"/>
  <c r="Z104" i="19"/>
  <c r="AM104" i="19"/>
  <c r="V104" i="19"/>
  <c r="U104" i="19"/>
  <c r="AH104" i="19"/>
  <c r="AP104" i="19"/>
  <c r="AO104" i="19"/>
  <c r="AA104" i="19"/>
  <c r="AK104" i="19"/>
  <c r="AC104" i="19"/>
  <c r="AG104" i="19"/>
  <c r="W104" i="19"/>
  <c r="AL104" i="19"/>
  <c r="X104" i="19"/>
  <c r="Y110" i="19"/>
  <c r="I19" i="11"/>
  <c r="H19" i="11"/>
  <c r="T127" i="19"/>
  <c r="W113" i="19"/>
  <c r="I17" i="11"/>
  <c r="H17" i="11"/>
  <c r="L36" i="8"/>
  <c r="U117" i="19"/>
  <c r="E13" i="23"/>
  <c r="H13" i="23" s="1"/>
  <c r="AK87" i="19" l="1"/>
  <c r="AC116" i="19"/>
  <c r="AJ116" i="19"/>
  <c r="T116" i="19"/>
  <c r="AK105" i="19"/>
  <c r="AI116" i="19"/>
  <c r="AH105" i="19"/>
  <c r="AN116" i="19"/>
  <c r="T105" i="19"/>
  <c r="AF124" i="19"/>
  <c r="AF130" i="19" s="1"/>
  <c r="AF131" i="19" s="1"/>
  <c r="AF132" i="19" s="1"/>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H99" i="19" s="1"/>
  <c r="AK83" i="19"/>
  <c r="AG83" i="19"/>
  <c r="AI83" i="19"/>
  <c r="AI99" i="19" s="1"/>
  <c r="AN83" i="19"/>
  <c r="AM87" i="19"/>
  <c r="AG87" i="19"/>
  <c r="AG99" i="19" s="1"/>
  <c r="AJ83" i="19"/>
  <c r="Y121" i="19"/>
  <c r="AA121" i="19"/>
  <c r="AP87" i="19"/>
  <c r="AF105" i="19"/>
  <c r="AM83" i="19"/>
  <c r="AN87" i="19"/>
  <c r="AJ87" i="19"/>
  <c r="AJ99" i="19" s="1"/>
  <c r="AH87" i="19"/>
  <c r="AF83" i="19"/>
  <c r="AF99" i="19" s="1"/>
  <c r="AO87" i="19"/>
  <c r="AP83" i="19"/>
  <c r="AO83" i="19"/>
  <c r="AO99" i="19" s="1"/>
  <c r="AL83" i="19"/>
  <c r="AL87" i="19"/>
  <c r="W121" i="19"/>
  <c r="W130" i="19" s="1"/>
  <c r="W131" i="19" s="1"/>
  <c r="W132" i="19" s="1"/>
  <c r="T121" i="19"/>
  <c r="X121" i="19"/>
  <c r="Z121" i="19"/>
  <c r="U121" i="19"/>
  <c r="U130" i="19" s="1"/>
  <c r="U131" i="19" s="1"/>
  <c r="U132" i="19" s="1"/>
  <c r="R130" i="19"/>
  <c r="R131" i="19" s="1"/>
  <c r="R132" i="19" s="1"/>
  <c r="AD124" i="19"/>
  <c r="Q99" i="19"/>
  <c r="Q68" i="19" s="1"/>
  <c r="AE83" i="19"/>
  <c r="AE99" i="19" s="1"/>
  <c r="AE87" i="19"/>
  <c r="AD87" i="19"/>
  <c r="AD99" i="19" s="1"/>
  <c r="AE124" i="19"/>
  <c r="AB124" i="19"/>
  <c r="T124" i="19"/>
  <c r="T130" i="19" s="1"/>
  <c r="T131" i="19" s="1"/>
  <c r="T132" i="19" s="1"/>
  <c r="Y124" i="19"/>
  <c r="V124" i="19"/>
  <c r="V130" i="19" s="1"/>
  <c r="V131" i="19" s="1"/>
  <c r="V132" i="19" s="1"/>
  <c r="S124" i="19"/>
  <c r="S130" i="19" s="1"/>
  <c r="S131" i="19" s="1"/>
  <c r="S132" i="19" s="1"/>
  <c r="AC124" i="19"/>
  <c r="X124" i="19"/>
  <c r="X130" i="19" s="1"/>
  <c r="X131" i="19" s="1"/>
  <c r="U124" i="19"/>
  <c r="Z124" i="19"/>
  <c r="W124" i="19"/>
  <c r="AB87" i="19"/>
  <c r="AC87" i="19"/>
  <c r="Z83" i="19"/>
  <c r="Z99" i="19" s="1"/>
  <c r="AB83" i="19"/>
  <c r="AC83" i="19"/>
  <c r="AP99" i="19"/>
  <c r="AK99" i="19"/>
  <c r="AP130" i="19"/>
  <c r="AP131" i="19" s="1"/>
  <c r="AP132" i="19" s="1"/>
  <c r="AH130" i="19"/>
  <c r="AH131" i="19" s="1"/>
  <c r="AH132" i="19" s="1"/>
  <c r="AA130" i="19"/>
  <c r="AA131" i="19" s="1"/>
  <c r="AA132" i="19" s="1"/>
  <c r="AI130" i="19"/>
  <c r="AI131" i="19" s="1"/>
  <c r="AI132" i="19" s="1"/>
  <c r="J15" i="11"/>
  <c r="J22" i="1" s="1"/>
  <c r="AE130" i="19"/>
  <c r="AE131" i="19" s="1"/>
  <c r="AE132" i="19" s="1"/>
  <c r="I14" i="23"/>
  <c r="N17" i="8" s="1"/>
  <c r="N7" i="8"/>
  <c r="N9" i="8" s="1"/>
  <c r="N11" i="8" s="1"/>
  <c r="N13" i="8" s="1"/>
  <c r="V87" i="19"/>
  <c r="AL130" i="19"/>
  <c r="AL131" i="19" s="1"/>
  <c r="AL132" i="19" s="1"/>
  <c r="AD130" i="19"/>
  <c r="AD131" i="19" s="1"/>
  <c r="AD132" i="19" s="1"/>
  <c r="I12" i="23"/>
  <c r="J18" i="1" s="1"/>
  <c r="X83" i="19"/>
  <c r="AN130" i="19"/>
  <c r="AN131" i="19" s="1"/>
  <c r="AN132" i="19" s="1"/>
  <c r="V83" i="19"/>
  <c r="S83" i="19"/>
  <c r="Y130" i="19"/>
  <c r="Y131" i="19" s="1"/>
  <c r="Y132" i="19" s="1"/>
  <c r="X87" i="19"/>
  <c r="AG130" i="19"/>
  <c r="AG131" i="19" s="1"/>
  <c r="AG132" i="19" s="1"/>
  <c r="J16" i="11"/>
  <c r="J22" i="14" s="1"/>
  <c r="J19" i="11"/>
  <c r="N22" i="25" s="1"/>
  <c r="S87" i="19"/>
  <c r="S99" i="19" s="1"/>
  <c r="Z130" i="19"/>
  <c r="Z131" i="19" s="1"/>
  <c r="Z132" i="19" s="1"/>
  <c r="I13" i="23"/>
  <c r="J18" i="14" s="1"/>
  <c r="AK130" i="19"/>
  <c r="J17" i="11"/>
  <c r="AO130" i="19"/>
  <c r="AB130" i="19"/>
  <c r="AJ130" i="19"/>
  <c r="W87" i="19"/>
  <c r="T87" i="19"/>
  <c r="AA87" i="19"/>
  <c r="Y87" i="19"/>
  <c r="U87" i="19"/>
  <c r="AM130" i="19"/>
  <c r="B63" i="25"/>
  <c r="Y62" i="25"/>
  <c r="I62" i="25"/>
  <c r="Q62" i="25"/>
  <c r="E62" i="25"/>
  <c r="S62" i="25"/>
  <c r="G62" i="25"/>
  <c r="W62" i="25"/>
  <c r="K62" i="25"/>
  <c r="O62" i="25"/>
  <c r="U62" i="25"/>
  <c r="C62" i="25"/>
  <c r="M62" i="25"/>
  <c r="AC130" i="19"/>
  <c r="R99" i="19"/>
  <c r="I12" i="19" s="1"/>
  <c r="W83" i="19"/>
  <c r="Y83" i="19"/>
  <c r="U83" i="19"/>
  <c r="T83" i="19"/>
  <c r="AA83" i="19"/>
  <c r="AL99" i="19" l="1"/>
  <c r="AN99" i="19"/>
  <c r="I34" i="19" s="1"/>
  <c r="M34" i="19" s="1"/>
  <c r="AM99" i="19"/>
  <c r="I33" i="19" s="1"/>
  <c r="M33" i="19" s="1"/>
  <c r="I20" i="19"/>
  <c r="I25" i="19"/>
  <c r="I24" i="19"/>
  <c r="M24" i="19" s="1"/>
  <c r="I27" i="19"/>
  <c r="I36" i="19"/>
  <c r="I13" i="19"/>
  <c r="M13" i="19" s="1"/>
  <c r="I26" i="19"/>
  <c r="I35" i="19"/>
  <c r="M35" i="19" s="1"/>
  <c r="I30" i="19"/>
  <c r="I28" i="19"/>
  <c r="I31" i="19"/>
  <c r="M31" i="19" s="1"/>
  <c r="I32" i="19"/>
  <c r="M32"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X132" i="19"/>
  <c r="X133" i="19" s="1"/>
  <c r="M12" i="19"/>
  <c r="AE133" i="19"/>
  <c r="AN133" i="19"/>
  <c r="W133" i="19"/>
  <c r="AA133" i="19"/>
  <c r="V133" i="19"/>
  <c r="AG133" i="19"/>
  <c r="U133" i="19"/>
  <c r="AH133" i="19"/>
  <c r="S133" i="19"/>
  <c r="AI133" i="19"/>
  <c r="AF133" i="19"/>
  <c r="R133" i="19"/>
  <c r="G25" i="19" s="1"/>
  <c r="T133" i="19"/>
  <c r="AD133" i="19"/>
  <c r="AP133" i="19"/>
  <c r="Y133" i="19"/>
  <c r="AL133" i="19"/>
  <c r="Z133" i="19"/>
  <c r="AB131" i="19"/>
  <c r="AB132" i="19" s="1"/>
  <c r="AB133" i="19" s="1"/>
  <c r="AO131" i="19"/>
  <c r="AO132" i="19" s="1"/>
  <c r="AO133" i="19" s="1"/>
  <c r="M30" i="19"/>
  <c r="M28" i="19"/>
  <c r="AC131" i="19"/>
  <c r="AC132" i="19" s="1"/>
  <c r="AC133" i="19" s="1"/>
  <c r="M20" i="19"/>
  <c r="M27" i="19"/>
  <c r="M25" i="19"/>
  <c r="M36" i="19"/>
  <c r="AK131" i="19"/>
  <c r="AK132" i="19" s="1"/>
  <c r="AK133" i="19" s="1"/>
  <c r="N64" i="19"/>
  <c r="N20" i="8"/>
  <c r="B64" i="25"/>
  <c r="Y63" i="25"/>
  <c r="Q63" i="25"/>
  <c r="I63" i="25"/>
  <c r="K63" i="25"/>
  <c r="O63" i="25"/>
  <c r="C63" i="25"/>
  <c r="M63" i="25"/>
  <c r="S63" i="25"/>
  <c r="W63" i="25"/>
  <c r="G63" i="25"/>
  <c r="E63" i="25"/>
  <c r="U63" i="25"/>
  <c r="AM131" i="19"/>
  <c r="AM132" i="19" s="1"/>
  <c r="AM133" i="19" s="1"/>
  <c r="AJ131" i="19"/>
  <c r="AJ132" i="19" s="1"/>
  <c r="AJ133" i="19" s="1"/>
  <c r="G28" i="19" l="1"/>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<sst xmlns="http://schemas.openxmlformats.org/spreadsheetml/2006/main" count="1961" uniqueCount="733">
  <si>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</si>
  <si>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</si>
  <si>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</si>
  <si>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</si>
  <si>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</si>
  <si>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</si>
  <si>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</si>
  <si>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</si>
  <si>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</si>
  <si>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</si>
  <si>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</si>
  <si>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</si>
  <si>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</si>
  <si>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</si>
  <si>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</si>
  <si>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</si>
  <si>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</si>
  <si>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</si>
  <si>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</si>
  <si>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</si>
  <si>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</si>
  <si>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</si>
  <si>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</si>
  <si>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</si>
  <si>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</si>
  <si>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</si>
  <si>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</si>
  <si>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</si>
  <si>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</si>
  <si>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</si>
  <si>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</si>
  <si>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</si>
  <si>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</si>
  <si>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</si>
  <si>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</si>
  <si>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</si>
  <si>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</si>
  <si>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</si>
  <si>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</si>
  <si>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</si>
  <si>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</si>
  <si>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</si>
  <si>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</si>
  <si>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</si>
  <si>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</si>
  <si>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</si>
  <si>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</si>
  <si>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</si>
  <si>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</si>
  <si>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</si>
  <si>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</si>
  <si>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</si>
  <si>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</si>
  <si>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</si>
  <si>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</si>
  <si>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</si>
  <si>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</si>
  <si>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</si>
  <si>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</si>
  <si>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</si>
  <si>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</si>
  <si>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</si>
  <si>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</si>
  <si>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</si>
  <si>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</si>
  <si>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</si>
  <si>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</si>
  <si>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</si>
  <si>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</si>
  <si>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</si>
  <si>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</si>
  <si>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</si>
  <si>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</si>
  <si>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</si>
  <si>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</si>
  <si>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</si>
  <si>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</si>
  <si>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</si>
  <si>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</si>
  <si>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</si>
  <si>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</si>
  <si>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</si>
  <si>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</si>
  <si>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</si>
  <si>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</si>
  <si>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</si>
  <si>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</si>
  <si>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</si>
  <si>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</si>
  <si>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</si>
  <si>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</si>
  <si>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</si>
  <si>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</si>
  <si>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</si>
  <si>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</si>
  <si>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</si>
  <si>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</si>
  <si>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</si>
  <si>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</si>
  <si>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</si>
  <si>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</si>
  <si>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</si>
  <si>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</si>
  <si>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</si>
  <si>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</si>
  <si>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</si>
  <si>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</si>
  <si>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</si>
  <si>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</si>
  <si>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</si>
  <si>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</si>
  <si>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</si>
  <si>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</si>
  <si>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</si>
  <si>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</si>
  <si>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</si>
  <si>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</si>
  <si>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</si>
  <si>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</si>
  <si>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</si>
  <si>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</si>
  <si>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</si>
  <si>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</si>
  <si>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</si>
  <si>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</si>
  <si>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</si>
  <si>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</si>
  <si>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</si>
  <si>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</si>
  <si>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</si>
  <si>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</si>
  <si>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</si>
  <si>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</si>
  <si>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</si>
  <si>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</si>
  <si>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</si>
  <si>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</si>
  <si>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</si>
  <si>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</si>
  <si>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</si>
  <si>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</si>
  <si>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</si>
  <si>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</si>
  <si>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</si>
  <si>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</si>
  <si>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</si>
  <si>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</si>
  <si>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</si>
  <si>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</si>
  <si>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</si>
  <si>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</si>
  <si>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</si>
  <si>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</si>
  <si>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</si>
  <si>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</si>
  <si>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</si>
  <si>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</si>
  <si>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</si>
  <si>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</si>
  <si>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</si>
  <si>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</si>
  <si>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</si>
  <si>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</si>
  <si>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</si>
  <si>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</si>
  <si>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</si>
  <si>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</si>
  <si>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</si>
  <si>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</si>
  <si>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</si>
  <si>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</si>
  <si>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</si>
  <si>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</si>
  <si>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</si>
  <si>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</si>
  <si>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</si>
  <si>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</si>
  <si>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</si>
  <si>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</si>
  <si>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</si>
  <si>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</si>
  <si>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</si>
  <si>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</si>
  <si>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</si>
  <si>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</si>
  <si>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</si>
  <si>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</si>
  <si>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</si>
  <si>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</si>
  <si>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</si>
  <si>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</si>
  <si>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</si>
  <si>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</si>
  <si>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</si>
  <si>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</si>
  <si>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</si>
  <si>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</si>
  <si>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</si>
  <si>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</si>
  <si>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</si>
  <si>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</si>
  <si>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</si>
  <si>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</si>
  <si>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</si>
  <si>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</si>
  <si>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</si>
  <si>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</si>
  <si>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</si>
  <si>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</si>
  <si>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</si>
  <si>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</si>
  <si>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</si>
  <si>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</si>
  <si>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</si>
  <si>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</si>
  <si>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</si>
  <si>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</si>
  <si>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</si>
  <si>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</si>
  <si>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</si>
  <si>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</si>
  <si>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</si>
  <si>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</si>
  <si>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</si>
  <si>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</si>
  <si>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</si>
  <si>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</si>
  <si>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</si>
  <si>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</si>
  <si>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</si>
  <si>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</si>
  <si>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</si>
  <si>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</si>
  <si>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</si>
  <si>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</si>
  <si>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</si>
  <si>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</si>
  <si>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</si>
  <si>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</si>
  <si>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</si>
  <si>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</si>
  <si>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</si>
  <si>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</si>
  <si>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</si>
  <si>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</si>
  <si>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</si>
  <si>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</si>
  <si>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</si>
  <si>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</si>
  <si>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</si>
  <si>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</si>
  <si>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</si>
  <si>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</si>
  <si>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</si>
  <si>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</si>
  <si>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</si>
  <si>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</si>
  <si>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</si>
  <si>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</si>
  <si>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</si>
  <si>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</si>
  <si>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</si>
  <si>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</si>
  <si>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</si>
  <si>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</si>
  <si>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</si>
  <si>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</si>
  <si>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</si>
  <si>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</si>
  <si>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</si>
  <si>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</si>
  <si>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</si>
  <si>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</si>
  <si>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</si>
  <si>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</si>
  <si>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</si>
  <si>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</si>
  <si>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</si>
  <si>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</si>
  <si>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</si>
  <si>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</si>
  <si>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</si>
  <si>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</si>
  <si>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</si>
  <si>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</si>
  <si>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</si>
  <si>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</si>
  <si>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</si>
  <si>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</si>
  <si>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</si>
  <si>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</si>
  <si>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</si>
  <si>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</si>
  <si>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</si>
  <si>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</si>
  <si>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</si>
  <si>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</si>
  <si>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</si>
  <si>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</si>
  <si>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</si>
  <si>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</si>
  <si>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</si>
  <si>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</si>
  <si>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</si>
  <si>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</si>
  <si>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</si>
  <si>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</si>
  <si>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</si>
  <si>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</si>
  <si>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</si>
  <si>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</si>
  <si>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</si>
  <si>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</si>
  <si>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</si>
  <si>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</si>
  <si>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</si>
  <si>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</si>
  <si>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</si>
  <si>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</si>
  <si>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</si>
  <si>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</si>
  <si>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</si>
  <si>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</si>
  <si>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</si>
  <si>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</si>
  <si>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</si>
  <si>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</si>
  <si>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</si>
  <si>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</si>
  <si>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</si>
  <si>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</si>
  <si>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</si>
  <si>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</si>
  <si>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</si>
  <si>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</si>
  <si>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</si>
  <si>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</si>
  <si>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</si>
  <si>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</si>
  <si>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</si>
  <si>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</si>
  <si>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</si>
  <si>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</si>
  <si>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</si>
  <si>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</si>
  <si>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</si>
  <si>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</si>
  <si>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</si>
  <si>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</si>
  <si>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</si>
  <si>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</si>
  <si>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</si>
  <si>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</si>
  <si>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</si>
  <si>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</si>
  <si>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</si>
  <si>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</si>
  <si>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</si>
  <si>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</si>
  <si>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</si>
  <si>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</si>
  <si>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</si>
  <si>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</si>
  <si>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</si>
  <si>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</si>
  <si>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</si>
  <si>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</si>
  <si>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</si>
  <si>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</si>
  <si>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</si>
  <si>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</si>
  <si>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</si>
  <si>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</si>
  <si>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</si>
  <si>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</si>
  <si>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</si>
  <si>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</si>
  <si>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</si>
  <si>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</si>
  <si>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</si>
  <si>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</si>
  <si>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</si>
  <si>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</si>
  <si>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</si>
  <si>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</si>
  <si>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</si>
  <si>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</si>
  <si>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</si>
  <si>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</si>
  <si>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</si>
  <si>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</si>
  <si>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</si>
  <si>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</si>
  <si>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</si>
  <si>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</si>
  <si>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</si>
  <si>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</si>
  <si>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</si>
  <si>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</si>
  <si>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</si>
  <si>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</si>
  <si>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</si>
  <si>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</si>
  <si>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</si>
  <si>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</si>
  <si>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</si>
  <si>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</si>
  <si>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</si>
  <si>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</si>
  <si>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</si>
  <si>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</si>
  <si>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</si>
  <si>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</si>
  <si>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</si>
  <si>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</si>
  <si>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</si>
  <si>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</si>
  <si>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</si>
  <si>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</si>
  <si>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</si>
  <si>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</si>
  <si>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</si>
  <si>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</si>
  <si>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</si>
  <si>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</si>
  <si>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</si>
  <si>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</si>
  <si>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</si>
  <si>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</si>
  <si>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</si>
  <si>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</si>
  <si>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</si>
  <si>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</si>
  <si>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</si>
  <si>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</si>
  <si>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</si>
  <si>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</si>
  <si>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</si>
  <si>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</si>
  <si>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</si>
  <si>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</si>
  <si>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</si>
  <si>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</si>
  <si>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</si>
  <si>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</si>
  <si>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</si>
  <si>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</si>
  <si>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</si>
  <si>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</si>
  <si>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</si>
  <si>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</si>
  <si>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</si>
  <si>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</si>
  <si>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</si>
  <si>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</si>
  <si>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</si>
  <si>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</si>
  <si>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</si>
  <si>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</si>
  <si>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</si>
  <si>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</si>
  <si>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</si>
  <si>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</si>
  <si>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</si>
  <si>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</si>
  <si>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</si>
  <si>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</si>
  <si>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</si>
  <si>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</si>
  <si>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</si>
  <si>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</si>
  <si>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</si>
  <si>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</si>
  <si>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</si>
  <si>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</si>
  <si>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</si>
  <si>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</si>
  <si>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</si>
  <si>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</si>
  <si>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</si>
  <si>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</si>
  <si>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</si>
  <si>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</si>
  <si>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</si>
  <si>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</si>
  <si>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</si>
  <si>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</si>
  <si>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</si>
  <si>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</si>
  <si>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</si>
  <si>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</si>
  <si>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</si>
  <si>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</si>
  <si>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</si>
  <si>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</si>
  <si>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</si>
  <si>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</si>
  <si>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</si>
  <si>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</si>
  <si>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</si>
  <si>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</si>
  <si>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</si>
  <si>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</si>
  <si>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</si>
  <si>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</si>
  <si>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</si>
  <si>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</si>
  <si>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</si>
  <si>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</si>
  <si>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</si>
  <si>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</si>
  <si>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</si>
  <si>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</si>
  <si>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</si>
  <si>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</si>
  <si>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</si>
  <si>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</si>
  <si>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</si>
  <si>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</si>
  <si>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</si>
  <si>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</si>
  <si>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</si>
  <si>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</si>
  <si>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</si>
  <si>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</si>
  <si>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</si>
  <si>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</si>
  <si>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</si>
  <si>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</si>
  <si>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</si>
  <si>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</si>
  <si>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</si>
  <si>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</si>
  <si>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</si>
  <si>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</si>
  <si>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</si>
  <si>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</si>
  <si>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</si>
  <si>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</si>
  <si>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</si>
  <si>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</si>
  <si>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</si>
  <si>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</si>
  <si>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</si>
  <si>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</si>
  <si>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</si>
  <si>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</si>
  <si>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</si>
  <si>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</si>
  <si>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</si>
  <si>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</si>
  <si>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</si>
  <si>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</si>
  <si>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</si>
  <si>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</si>
  <si>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</si>
  <si>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</si>
  <si>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</si>
  <si>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</si>
  <si>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</si>
  <si>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</si>
  <si>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</si>
  <si>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</si>
  <si>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</si>
  <si>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</si>
  <si>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</si>
  <si>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</si>
  <si>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</si>
  <si>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</si>
  <si>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</si>
  <si>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</si>
  <si>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</si>
  <si>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</si>
  <si>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</si>
  <si>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</si>
  <si>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</si>
  <si>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</si>
  <si>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</si>
  <si>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</si>
  <si>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</si>
  <si>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</si>
  <si>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</si>
  <si>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</si>
  <si>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</si>
  <si>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</si>
  <si>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</si>
  <si>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</si>
  <si>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</si>
  <si>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</si>
  <si>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</si>
  <si>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</si>
  <si>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</si>
  <si>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</si>
  <si>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</si>
  <si>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</si>
  <si>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</si>
  <si>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</si>
  <si>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</si>
  <si>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</si>
  <si>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</si>
  <si>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</si>
  <si>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</si>
  <si>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</si>
  <si>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</si>
  <si>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</si>
  <si>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</si>
  <si>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</si>
  <si>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</si>
  <si>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</si>
  <si>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</si>
  <si>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</si>
  <si>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</si>
  <si>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</si>
  <si>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</si>
  <si>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</si>
  <si>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</si>
  <si>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</si>
  <si>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</si>
  <si>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</si>
  <si>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</si>
  <si>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</si>
  <si>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</si>
  <si>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</si>
  <si>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</si>
  <si>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</si>
  <si>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</si>
  <si>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</si>
  <si>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</si>
  <si>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</si>
  <si>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</si>
  <si>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</si>
  <si>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</si>
  <si>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</si>
  <si>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</si>
  <si>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</si>
  <si>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</si>
  <si>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</si>
  <si>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</si>
  <si>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</si>
  <si>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</si>
  <si>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</si>
  <si>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</si>
  <si>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</si>
  <si>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</si>
  <si>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</si>
  <si>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</si>
  <si>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</si>
  <si>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</si>
  <si>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</si>
  <si>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</si>
  <si>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</si>
  <si>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</si>
  <si>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</si>
  <si>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</si>
  <si>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</si>
  <si>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</si>
  <si>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</si>
  <si>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</si>
  <si>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</si>
  <si>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</si>
  <si>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</si>
  <si>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</si>
  <si>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</si>
  <si>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</si>
  <si>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</si>
  <si>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</si>
  <si>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</si>
  <si>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</si>
  <si>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</si>
  <si>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</si>
  <si>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</si>
  <si>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</si>
  <si>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</si>
  <si>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</si>
  <si>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</si>
  <si>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</si>
  <si>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</si>
  <si>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</si>
  <si>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</si>
  <si>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</si>
  <si>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</si>
  <si>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</si>
  <si>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</si>
  <si>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</si>
  <si>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</si>
  <si>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</si>
  <si>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</si>
  <si>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</si>
  <si>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</si>
  <si>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</si>
  <si>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</si>
  <si>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</si>
  <si>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</si>
  <si>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</si>
  <si>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</si>
  <si>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</si>
  <si>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</si>
  <si>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</si>
  <si>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</si>
  <si>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</si>
  <si>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</si>
  <si>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</si>
  <si>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</si>
  <si>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</si>
  <si>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</si>
  <si>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</si>
  <si>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</si>
  <si>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</si>
  <si>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</si>
  <si>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</si>
  <si>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</si>
  <si>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</si>
  <si>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</si>
  <si>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</si>
  <si>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</si>
  <si>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</si>
  <si>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</si>
  <si>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</si>
  <si>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</si>
  <si>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</si>
  <si>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</si>
  <si>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</si>
  <si>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</si>
  <si>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</si>
  <si>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</si>
  <si>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</si>
  <si>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</si>
  <si>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</si>
  <si>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</si>
  <si>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</si>
  <si>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</si>
  <si>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</si>
  <si>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Ádám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</si>
</sst>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7">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1" fillId="3" borderId="6" xfId="0" applyNumberFormat="1" applyFont="1" applyFill="1" applyBorder="1" applyAlignment="1" applyProtection="1">
      <alignment horizontal="center" vertical="center"/>
      <protection locked="0"/>
    </xf>
    <xf numFmtId="165" fontId="0" fillId="5" borderId="6" xfId="0" applyNumberFormat="1" applyFill="1" applyBorder="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0" fillId="5" borderId="3" xfId="0" applyNumberFormat="1" applyFill="1" applyBorder="1" applyAlignment="1" applyProtection="1">
      <alignment horizontal="right"/>
      <protection hidden="1"/>
    </xf>
    <xf numFmtId="166"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6"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6"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4" borderId="8"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6"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1875" defaultRowHeight="12.75" customHeight="1" x14ac:dyDescent="0.25"/>
  <cols>
    <col min="1" max="1" width="9.21875" style="12"/>
    <col min="2" max="2" width="23.5546875" style="12" customWidth="1"/>
    <col min="3" max="3" width="17.88671875" style="12" bestFit="1" customWidth="1"/>
    <col min="4" max="4" width="3.33203125" style="12" customWidth="1"/>
    <col min="5" max="7" width="9.5546875" style="12" customWidth="1"/>
    <col min="8" max="8" width="18.33203125" style="12" customWidth="1"/>
    <col min="9" max="9" width="11.5546875" style="12" bestFit="1" customWidth="1"/>
    <col min="10" max="12" width="9.21875" style="12"/>
    <col min="13" max="13" width="9.21875" style="12" hidden="1" customWidth="1"/>
    <col min="14" max="14" width="10.109375" style="12" hidden="1" customWidth="1"/>
    <col min="15" max="21" width="9.21875" style="12" hidden="1" customWidth="1"/>
    <col min="22" max="16384" width="9.21875" style="12"/>
  </cols>
  <sheetData>
    <row r="1" spans="2:21" ht="12.75" customHeight="1" x14ac:dyDescent="0.25">
      <c r="B1" s="108" t="s">
        <v>24</v>
      </c>
      <c r="C1" s="108"/>
      <c r="D1" s="108"/>
      <c r="M1" s="12" t="s">
        <v>406</v>
      </c>
      <c r="N1" s="12" t="s">
        <v>406</v>
      </c>
      <c r="O1" s="12" t="s">
        <v>406</v>
      </c>
      <c r="P1" s="12" t="s">
        <v>406</v>
      </c>
      <c r="Q1" s="12" t="s">
        <v>406</v>
      </c>
      <c r="R1" s="12" t="s">
        <v>406</v>
      </c>
      <c r="S1" s="12" t="s">
        <v>406</v>
      </c>
      <c r="T1" s="12" t="s">
        <v>406</v>
      </c>
      <c r="U1" s="12" t="s">
        <v>406</v>
      </c>
    </row>
    <row r="2" spans="2:21" ht="12.75" customHeight="1" x14ac:dyDescent="0.25">
      <c r="B2" s="108"/>
      <c r="C2" s="108"/>
      <c r="D2" s="108"/>
      <c r="E2" s="20" t="s">
        <v>729</v>
      </c>
    </row>
    <row r="3" spans="2:21" ht="12.75" customHeight="1" x14ac:dyDescent="0.25">
      <c r="B3" s="70"/>
      <c r="C3" s="70"/>
      <c r="D3" s="70"/>
      <c r="E3" s="20"/>
    </row>
    <row r="4" spans="2:21" ht="12.75" customHeight="1" x14ac:dyDescent="0.25">
      <c r="B4" s="70"/>
      <c r="C4" s="70"/>
      <c r="D4" s="70"/>
      <c r="E4" s="20"/>
      <c r="H4" s="51" t="str">
        <f>IF(COUNTIF($J$35:$K$37,"Ezt kérem!")&gt;1,"Egy szerződéshez egyszerre csak egyfajta Kritikus betegség biztosítás választható.","")</f>
        <v/>
      </c>
    </row>
    <row r="5" spans="2:21" ht="12.75" customHeight="1" x14ac:dyDescent="0.25">
      <c r="B5" s="116" t="s">
        <v>455</v>
      </c>
      <c r="C5" s="117"/>
      <c r="D5" s="117"/>
      <c r="E5" s="117"/>
      <c r="F5" s="118"/>
      <c r="H5" s="51" t="str">
        <f>IF(Együttkötés!$A$5="STOP","A Kritikus betegség és a Cukorbetegség biztosítások együttes biztosítási összege nem lehet több több, mint "&amp;IF($C$16="Forint","50 000 000 Ft","170 000 €"),"")</f>
        <v/>
      </c>
    </row>
    <row r="6" spans="2:21" ht="12.75" customHeight="1" x14ac:dyDescent="0.25">
      <c r="B6" s="119" t="s">
        <v>731</v>
      </c>
      <c r="C6" s="120"/>
      <c r="D6" s="120"/>
      <c r="E6" s="120"/>
      <c r="F6" s="121"/>
      <c r="H6" s="51" t="str">
        <f>IF(Együttkötés!$A$9="STOP","A Baleseti halál és a Baleseti halál járadék biztosítások együttes biztosítási összege nem lehet több több, mint "&amp;IF($C$16="Forint","100 000 000 Ft","325 000 €"),"")</f>
        <v/>
      </c>
    </row>
    <row r="7" spans="2:21" ht="12.75" customHeight="1" x14ac:dyDescent="0.25">
      <c r="H7" s="51" t="str">
        <f>IF(AND(Együttkötés!$A$13="STOP",$J$30="Ezt kérem!"),"A jelzett biztosítások együttes biztosítási összege nem lehet több több, mint "&amp;IF($C$16="Forint","100 000 000 Ft","325 000 €"),"")</f>
        <v/>
      </c>
    </row>
    <row r="8" spans="2:21" ht="12.75" customHeight="1" x14ac:dyDescent="0.25">
      <c r="B8" s="14" t="s">
        <v>405</v>
      </c>
      <c r="C8" s="114">
        <v>34111</v>
      </c>
      <c r="D8" s="114"/>
      <c r="H8" s="51" t="str">
        <f>IF(Együttkötés!$A$17="STOP","A Baleseti rokkantság és a Baleseti rokkantság járadék biztosítások együttes biztosítási összege nem lehet több több, mint "&amp;IF($C$16="Forint","200 000 000 Ft","650 000 €"),"")</f>
        <v/>
      </c>
    </row>
    <row r="9" spans="2:21" ht="12.75" customHeight="1" x14ac:dyDescent="0.25">
      <c r="B9" s="14" t="s">
        <v>404</v>
      </c>
      <c r="C9" s="115">
        <f ca="1">IF(ISBLANK($C$8),"",IF(YEAR(TODAY())-YEAR($C$8)&lt;0,"",YEAR(TODAY())-YEAR($C$8)))</f>
        <v>27</v>
      </c>
      <c r="D9" s="115"/>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5">
      <c r="H10" s="51" t="str">
        <f>IF(Együttkötés!$A$25="STOP","A Bármely okú halál és a Hirtelen halál biztosítások együttes biztosítási összege nem lehet több több, mint "&amp;IF($C$16="Forint","200 000 000 Ft","650 000 €"),"")</f>
        <v/>
      </c>
    </row>
    <row r="11" spans="2:21" ht="12.75" customHeight="1" x14ac:dyDescent="0.25">
      <c r="B11" s="14" t="s">
        <v>403</v>
      </c>
      <c r="C11" s="113" t="s">
        <v>28</v>
      </c>
      <c r="D11" s="113"/>
      <c r="H11" s="51" t="str">
        <f>IF(Együttkötés!$A$29="STOP","A Baleseti kórházi napi térítés biztosítások együttes biztosítási összege nem lehet több több, mint "&amp;IF($C$16="Forint","40 000 Ft","130 €"),"")</f>
        <v/>
      </c>
    </row>
    <row r="12" spans="2:21" ht="12.75" customHeight="1" x14ac:dyDescent="0.25">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5">
      <c r="B13" s="14" t="s">
        <v>402</v>
      </c>
      <c r="C13" s="113" t="s">
        <v>35</v>
      </c>
      <c r="D13" s="113"/>
      <c r="H13" s="51" t="str">
        <f>IF(Együttkötés!$A$37="STOP","A Baleseti műtéti térítés biztosítások együttes biztosítási összege nem lehet több több, mint "&amp;IF($C$16="Forint","1 000 000 Ft","3 250 €"),"")</f>
        <v/>
      </c>
    </row>
    <row r="14" spans="2:21" ht="12.75" customHeight="1" x14ac:dyDescent="0.25">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5">
      <c r="B15" s="14" t="s">
        <v>401</v>
      </c>
      <c r="C15" s="113" t="s">
        <v>37</v>
      </c>
      <c r="D15" s="113"/>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5">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5">
      <c r="B18" s="100" t="str">
        <f>"Fizetendő "&amp;$C$12&amp;" díj:"</f>
        <v>Fizetendő Havi díj:</v>
      </c>
      <c r="C18" s="109">
        <f ca="1">IF(SUMIF($J$28:$K$80,"Ezt kérem!",$I$28:$I$80)-SUMIF($L$28:$L$80,"!",$I$28:$I$80)&lt;IF($C$16="Forint",VLOOKUP($C$12,Paraméterek!$K$1:$Q$4,IF($C$14="Postai",5,6),0),IF($C$14="Postai",SUMIF($J$28:$K$80,"Ezt kérem!",$I$28:$I$80)-SUMIF($L$28:$L$80,"!",$I$28:$I$80)+1,VLOOKUP($C$12,Paraméterek!$K$1:$Q$4,7,0))),0,SUMIF($J$28:$K$80,"Ezt kérem!",$I$28:$I$80)-SUMIF($L$28:$L$80,"!",$I$28:$I$80))</f>
        <v>5886</v>
      </c>
      <c r="D18" s="111" t="str">
        <f>IF(ISBLANK($C$16),"",IF($C$16="Forint","Ft","€"))</f>
        <v>Ft</v>
      </c>
      <c r="H18" s="122" t="s">
        <v>457</v>
      </c>
      <c r="I18" s="123"/>
      <c r="J18" s="126" t="str">
        <f ca="1">IF(COUNTIF($J$28:$K$80,"Ezt kérem!")=0,"---",'PÜ. limitek'!$I$12)</f>
        <v>Nem szükséges</v>
      </c>
      <c r="K18" s="127"/>
    </row>
    <row r="19" spans="2:21" ht="12.75" customHeight="1" x14ac:dyDescent="0.25">
      <c r="B19" s="102"/>
      <c r="C19" s="110"/>
      <c r="D19" s="112"/>
      <c r="H19" s="124"/>
      <c r="I19" s="125"/>
      <c r="J19" s="128"/>
      <c r="K19" s="129"/>
    </row>
    <row r="20" spans="2:21" ht="12.75" customHeight="1" x14ac:dyDescent="0.25">
      <c r="D20" s="33"/>
    </row>
    <row r="21" spans="2:21" ht="12.75" customHeight="1" x14ac:dyDescent="0.25">
      <c r="C21" s="32"/>
      <c r="D21" s="33"/>
      <c r="F21" s="13"/>
    </row>
    <row r="22" spans="2:21" ht="12.75" customHeight="1" x14ac:dyDescent="0.25">
      <c r="B22" s="116" t="s">
        <v>421</v>
      </c>
      <c r="C22" s="117"/>
      <c r="D22" s="117"/>
      <c r="E22" s="117"/>
      <c r="F22" s="118"/>
      <c r="H22" s="122" t="s">
        <v>386</v>
      </c>
      <c r="I22" s="123"/>
      <c r="J22" s="126" t="str">
        <f ca="1">IF(COUNTIF($J$28:$K$80,"Ezt kérem!")=0,"---",'EÜ. limitek'!$J$15)</f>
        <v>Egészségi nyilatkozat</v>
      </c>
      <c r="K22" s="127"/>
      <c r="M22" s="12" t="s">
        <v>410</v>
      </c>
      <c r="N22" s="12" t="s">
        <v>393</v>
      </c>
      <c r="O22" s="12" t="s">
        <v>394</v>
      </c>
      <c r="Q22" s="12" t="s">
        <v>398</v>
      </c>
      <c r="S22" s="12" t="s">
        <v>399</v>
      </c>
      <c r="U22" s="12" t="s">
        <v>397</v>
      </c>
    </row>
    <row r="23" spans="2:21" ht="12.75" customHeight="1" x14ac:dyDescent="0.25">
      <c r="B23" s="119" t="s">
        <v>240</v>
      </c>
      <c r="C23" s="120"/>
      <c r="D23" s="120"/>
      <c r="E23" s="120"/>
      <c r="F23" s="121"/>
      <c r="H23" s="124"/>
      <c r="I23" s="125"/>
      <c r="J23" s="128"/>
      <c r="K23" s="129"/>
      <c r="O23" s="12" t="s">
        <v>395</v>
      </c>
      <c r="P23" s="12" t="s">
        <v>396</v>
      </c>
      <c r="Q23" s="12" t="s">
        <v>395</v>
      </c>
      <c r="R23" s="12" t="s">
        <v>396</v>
      </c>
      <c r="S23" s="12" t="s">
        <v>395</v>
      </c>
      <c r="T23" s="12" t="s">
        <v>396</v>
      </c>
    </row>
    <row r="25" spans="2:21" ht="12.75" customHeight="1" x14ac:dyDescent="0.25">
      <c r="B25" s="130" t="s">
        <v>130</v>
      </c>
      <c r="C25" s="130"/>
      <c r="D25" s="130"/>
      <c r="E25" s="130"/>
      <c r="F25" s="130"/>
      <c r="G25" s="130"/>
      <c r="H25" s="130" t="s">
        <v>40</v>
      </c>
      <c r="J25" s="130" t="s">
        <v>41</v>
      </c>
      <c r="K25" s="130"/>
      <c r="O25" s="12" t="s">
        <v>387</v>
      </c>
    </row>
    <row r="26" spans="2:21" s="16" customFormat="1" ht="12.75" customHeight="1" x14ac:dyDescent="0.25">
      <c r="B26" s="130"/>
      <c r="C26" s="130"/>
      <c r="D26" s="130"/>
      <c r="E26" s="130"/>
      <c r="F26" s="130"/>
      <c r="G26" s="130"/>
      <c r="H26" s="130"/>
      <c r="J26" s="130"/>
      <c r="K26" s="130"/>
    </row>
    <row r="27" spans="2:21" ht="12.75" customHeight="1" x14ac:dyDescent="0.25">
      <c r="B27" s="13"/>
      <c r="O27" s="16"/>
    </row>
    <row r="28" spans="2:21" ht="12.75" customHeight="1" x14ac:dyDescent="0.25">
      <c r="B28" s="99" t="s">
        <v>413</v>
      </c>
      <c r="C28" s="104" t="s">
        <v>0</v>
      </c>
      <c r="D28" s="104"/>
      <c r="E28" s="104"/>
      <c r="F28" s="104"/>
      <c r="G28" s="104"/>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5" t="s">
        <v>730</v>
      </c>
      <c r="K28" s="106"/>
      <c r="L28" s="18" t="str">
        <f>IF(AND($J$28="Ezt kérem!",$H$10&lt;&gt;""),"!","")</f>
        <v/>
      </c>
      <c r="M28" s="21"/>
      <c r="O28" s="16">
        <f>IF(ISBLANK($B$23),0,VLOOKUP($B$23,'Foglalkozási pótdíjak'!$A$3:$K$494,2,0))</f>
        <v>0</v>
      </c>
    </row>
    <row r="29" spans="2:21" ht="12.75" customHeight="1" x14ac:dyDescent="0.25">
      <c r="B29" s="99"/>
      <c r="C29" s="104" t="s">
        <v>1</v>
      </c>
      <c r="D29" s="104"/>
      <c r="E29" s="104"/>
      <c r="F29" s="104"/>
      <c r="G29" s="104"/>
      <c r="H29" s="95">
        <v>20600000</v>
      </c>
      <c r="I29" s="17">
        <f ca="1">IF(ISBLANK($C$8),"",ROUND(VLOOKUP($C$9,'MM-MC Tarifák'!$A$3:$AQ$67,HLOOKUP($C29,'MM-MC Tarifák'!$B$1:$AQ$2,2,0),0)/1000*$H$29*IF(OR(AND($C$16="Forint",$H$29&gt;=500000,$H$29&lt;=100000000),AND($C$16="Euró",$H$29&gt;=1700,$H$29&lt;=325000)),1,0)*VLOOKUP($C$12,Paraméterek!$K$1:$L$4,2,0)*IF($O$29="Kizárás",1,1+$O$29),IF($C$16="Forint",0,2)))</f>
        <v>3363</v>
      </c>
      <c r="J29" s="105"/>
      <c r="K29" s="106"/>
      <c r="L29" s="18" t="str">
        <f>IF(AND($J$29="Ezt kérem!",OR($H$6&lt;&gt;"",$H$7&lt;&gt;"")),"!","")</f>
        <v/>
      </c>
      <c r="M29" s="27"/>
      <c r="O29" s="16">
        <f>IF(ISBLANK($B$23),0,VLOOKUP($B$23,'Foglalkozási pótdíjak'!$A$3:$K$494,3,0))</f>
        <v>0</v>
      </c>
    </row>
    <row r="30" spans="2:21" ht="12.75" customHeight="1" x14ac:dyDescent="0.25">
      <c r="B30" s="99"/>
      <c r="C30" s="104" t="s">
        <v>412</v>
      </c>
      <c r="D30" s="104"/>
      <c r="E30" s="104"/>
      <c r="F30" s="104"/>
      <c r="G30" s="104"/>
      <c r="H30" s="95">
        <v>20600000</v>
      </c>
      <c r="I30" s="17">
        <f ca="1">IF(ISBLANK($C$8),"",ROUND(VLOOKUP($C$9,'MM-MC Tarifák'!$A$3:$AQ$67,HLOOKUP($C30,'MM-MC Tarifák'!$B$1:$AQ$2,2,0),0)/1000*$H$30*IF(OR(AND($C$16="Forint",$H$30&gt;=500000,$H$30&lt;=100000000),AND($C$16="Euró",$H$30&gt;=1700,$H$30&lt;=325000)),1,0)*VLOOKUP($C$12,Paraméterek!$K$1:$L$4,2,0)*IF($O$30="Kizárás",1,1+$O$30),IF($C$16="Forint",0,2)))</f>
        <v>1056</v>
      </c>
      <c r="J30" s="105"/>
      <c r="K30" s="106"/>
      <c r="L30" s="18" t="str">
        <f>IF(AND($J$30="Ezt kérem!",$H$7&lt;&gt;""),"!","")</f>
        <v/>
      </c>
      <c r="M30" s="21"/>
      <c r="O30" s="49">
        <v>0</v>
      </c>
    </row>
    <row r="31" spans="2:21" ht="12.75" customHeight="1" x14ac:dyDescent="0.25">
      <c r="B31" s="99"/>
      <c r="C31" s="104" t="s">
        <v>2</v>
      </c>
      <c r="D31" s="104"/>
      <c r="E31" s="104"/>
      <c r="F31" s="104"/>
      <c r="G31" s="104"/>
      <c r="H31" s="95">
        <v>20600000</v>
      </c>
      <c r="I31" s="17">
        <f ca="1">IF(ISBLANK($C$8),"",ROUND(VLOOKUP($C$9,'MM-MC Tarifák'!$A$3:$AQ$67,HLOOKUP($C31,'MM-MC Tarifák'!$B$1:$AQ$2,2,0),0)/1000*$H$31*IF(OR(AND($C$16="Forint",$H$31&gt;=500000,$H$31&lt;=200000000),AND($C$16="Euró",$H$31&gt;=1700,$H$31&lt;=650000)),1,0)*VLOOKUP($C$12,Paraméterek!$K$1:$L$4,2,0)*IF($O$31="Kizárás",1,1+$O$31),IF($C$16="Forint",0,2)))</f>
        <v>1708</v>
      </c>
      <c r="J31" s="105"/>
      <c r="K31" s="106"/>
      <c r="L31" s="18" t="str">
        <f>IF(AND($J$31="Ezt kérem!",$H$10&lt;&gt;""),"!","")</f>
        <v/>
      </c>
      <c r="M31" s="21"/>
      <c r="O31" s="16">
        <f>IF(ISBLANK($B$23),0,VLOOKUP($B$23,'Foglalkozási pótdíjak'!$A$3:$K$494,3,0))</f>
        <v>0</v>
      </c>
    </row>
    <row r="32" spans="2:21" ht="12.75" customHeight="1" x14ac:dyDescent="0.25">
      <c r="B32" s="99"/>
      <c r="C32" s="104" t="s">
        <v>3</v>
      </c>
      <c r="D32" s="104"/>
      <c r="E32" s="104"/>
      <c r="F32" s="104"/>
      <c r="G32" s="104"/>
      <c r="H32" s="95">
        <v>10000000</v>
      </c>
      <c r="I32" s="17">
        <f ca="1">IF(ISBLANK($C$8),"",ROUND(VLOOKUP($C$9,'MM-MC Tarifák'!$A$3:$AQ$67,HLOOKUP($C32,'MM-MC Tarifák'!$B$1:$AQ$2,2,0),0)/1000*$H$32*IF(OR(AND($C$16="Forint",$H$32&gt;=500000,$H$32&lt;=100000000),AND($C$16="Euró",$H$32&gt;=1700,$H$32&lt;=325000)),1,0)*VLOOKUP($C$12,Paraméterek!$K$1:$L$4,2,0)*IF($O$32="Kizárás",1,1+$O$32),IF($C$16="Forint",0,2)))</f>
        <v>26</v>
      </c>
      <c r="J32" s="105"/>
      <c r="K32" s="106"/>
      <c r="L32" s="18" t="str">
        <f>IF(AND($J$32="Ezt kérem!",OR($H$7&lt;&gt;"",$H$9&lt;&gt;"")),"!","")</f>
        <v/>
      </c>
      <c r="M32" s="21"/>
      <c r="O32" s="49">
        <v>0</v>
      </c>
    </row>
    <row r="33" spans="2:15" ht="12.75" customHeight="1" x14ac:dyDescent="0.25">
      <c r="B33" s="74"/>
      <c r="H33" s="74"/>
      <c r="O33" s="16"/>
    </row>
    <row r="34" spans="2:15" ht="12.75" customHeight="1" x14ac:dyDescent="0.25">
      <c r="B34" s="13"/>
      <c r="O34" s="16"/>
    </row>
    <row r="35" spans="2:15" ht="12.75" customHeight="1" x14ac:dyDescent="0.25">
      <c r="B35" s="99" t="s">
        <v>4</v>
      </c>
      <c r="C35" s="104" t="s">
        <v>62</v>
      </c>
      <c r="D35" s="104"/>
      <c r="E35" s="104"/>
      <c r="F35" s="104"/>
      <c r="G35" s="104"/>
      <c r="H35" s="103">
        <v>10000000</v>
      </c>
      <c r="I35" s="17">
        <f ca="1">IF(ISBLANK($C$8),"",ROUND(VLOOKUP($C$9,'MM-MC Tarifák'!$A$3:$AQ$67,HLOOKUP($C35,'MM-MC Tarifák'!$B$1:$AQ$2,2,0),0)/1000*$H$35*IF(OR(AND($C$16="Forint",$H$35&gt;=1000000,$H$35&lt;=50000000),AND($C$16="Euró",$H$35&gt;=3400,$H$35&lt;=162500)),1,0)*VLOOKUP($C$12,Paraméterek!$K$1:$L$4,2,0)*IF($O$35="Kizárás",1,1+$O$35),IF($C$16="Forint",0,2)))</f>
        <v>1128</v>
      </c>
      <c r="J35" s="105"/>
      <c r="K35" s="106"/>
      <c r="L35" s="18" t="str">
        <f>IF(AND($J$35="Ezt kérem!",OR($H$4&lt;&gt;"",$H$5&lt;&gt;"")),"!","")</f>
        <v/>
      </c>
      <c r="M35" s="21"/>
      <c r="O35" s="16">
        <f>IF(ISBLANK($B$23),0,VLOOKUP($B$23,'Foglalkozási pótdíjak'!$A$3:$K$494,4,0))</f>
        <v>0</v>
      </c>
    </row>
    <row r="36" spans="2:15" ht="12.75" customHeight="1" x14ac:dyDescent="0.25">
      <c r="B36" s="99"/>
      <c r="C36" s="104" t="s">
        <v>63</v>
      </c>
      <c r="D36" s="104"/>
      <c r="E36" s="104"/>
      <c r="F36" s="104"/>
      <c r="G36" s="104"/>
      <c r="H36" s="103"/>
      <c r="I36" s="17">
        <f ca="1">IF(ISBLANK($C$8),"",ROUND(VLOOKUP($C$9,'MM-MC Tarifák'!$A$3:$AQ$67,HLOOKUP($C36,'MM-MC Tarifák'!$B$1:$AQ$2,2,0),0)/1000*$H$35*IF(OR(AND($C$16="Forint",$H$35&gt;=1000000,$H$35&lt;=50000000),AND($C$16="Euró",$H$35&gt;=3400,$H$35&lt;=162500)),1,0)*VLOOKUP($C$12,Paraméterek!$K$1:$L$4,2,0)*IF($O$36="Kizárás",1,1+$O$36),IF($C$16="Forint",0,2)))</f>
        <v>1547</v>
      </c>
      <c r="J36" s="105"/>
      <c r="K36" s="106"/>
      <c r="L36" s="18" t="str">
        <f>IF(AND($J$36="Ezt kérem!",OR($H$4&lt;&gt;"",$H$5&lt;&gt;"")),"!","")</f>
        <v/>
      </c>
      <c r="M36" s="21"/>
      <c r="O36" s="16">
        <f>IF(ISBLANK($B$23),0,VLOOKUP($B$23,'Foglalkozási pótdíjak'!$A$3:$K$494,4,0))</f>
        <v>0</v>
      </c>
    </row>
    <row r="37" spans="2:15" ht="12.75" customHeight="1" x14ac:dyDescent="0.25">
      <c r="B37" s="99"/>
      <c r="C37" s="104" t="s">
        <v>64</v>
      </c>
      <c r="D37" s="104"/>
      <c r="E37" s="104"/>
      <c r="F37" s="104"/>
      <c r="G37" s="104"/>
      <c r="H37" s="103"/>
      <c r="I37" s="17">
        <f ca="1">IF(ISBLANK($C$8),"",ROUND(VLOOKUP($C$9,'MM-MC Tarifák'!$A$3:$AQ$67,HLOOKUP($C37,'MM-MC Tarifák'!$B$1:$AQ$2,2,0),0)/1000*$H$35*IF(OR(AND($C$16="Forint",$H$35&gt;=1000000,$H$35&lt;=50000000),AND($C$16="Euró",$H$35&gt;=3400,$H$35&lt;=162500)),1,0)*VLOOKUP($C$12,Paraméterek!$K$1:$L$4,2,0)*IF($O$37="Kizárás",1,1+$O$37),IF($C$16="Forint",0,2)))</f>
        <v>1940</v>
      </c>
      <c r="J37" s="105"/>
      <c r="K37" s="106"/>
      <c r="L37" s="18" t="str">
        <f>IF(AND($J$37="Ezt kérem!",OR($H$4&lt;&gt;"",$H$5&lt;&gt;"")),"!","")</f>
        <v/>
      </c>
      <c r="M37" s="21"/>
      <c r="O37" s="16">
        <f>IF(ISBLANK($B$23),0,VLOOKUP($B$23,'Foglalkozási pótdíjak'!$A$3:$K$494,4,0))</f>
        <v>0</v>
      </c>
    </row>
    <row r="38" spans="2:15" ht="12.75" customHeight="1" x14ac:dyDescent="0.25">
      <c r="O38" s="16"/>
    </row>
    <row r="39" spans="2:15" ht="12.75" customHeight="1" x14ac:dyDescent="0.25">
      <c r="B39" s="13"/>
      <c r="O39" s="16"/>
    </row>
    <row r="40" spans="2:15" ht="12.75" customHeight="1" x14ac:dyDescent="0.25">
      <c r="B40" s="99" t="s">
        <v>5</v>
      </c>
      <c r="C40" s="104" t="s">
        <v>6</v>
      </c>
      <c r="D40" s="104"/>
      <c r="E40" s="104"/>
      <c r="F40" s="104"/>
      <c r="G40" s="104"/>
      <c r="H40" s="93">
        <v>28400000</v>
      </c>
      <c r="I40" s="17">
        <f ca="1">IF(ISBLANK($C$8),"",ROUND(VLOOKUP($C$9,'MM-MC Tarifák'!$A$3:$AQ$67,HLOOKUP($C40,'MM-MC Tarifák'!$B$1:$AQ$2,2,0),0)/1000*$H$40*IF(OR(AND($C$16="Forint",$H$40&gt;=500000,$H$40&lt;=200000000),AND($C$16="Euró",$H$40&gt;=1700,$H$40&lt;=650000)),1,0)*VLOOKUP($C$12,Paraméterek!$K$1:$L$4,2,0)*IF($O$40="Kizárás",1,1+$O$40),IF($C$16="Forint",0,2)))</f>
        <v>1578</v>
      </c>
      <c r="J40" s="105"/>
      <c r="K40" s="106"/>
      <c r="L40" s="18" t="str">
        <f>IF(AND($J$40="Ezt kérem!",$H$8&lt;&gt;""),"!","")</f>
        <v/>
      </c>
      <c r="M40" s="21"/>
      <c r="O40" s="16">
        <f>IF(ISBLANK($B$23),0,VLOOKUP($B$23,'Foglalkozási pótdíjak'!$A$3:$K$494,6,0))</f>
        <v>0</v>
      </c>
    </row>
    <row r="41" spans="2:15" ht="12.75" customHeight="1" x14ac:dyDescent="0.25">
      <c r="B41" s="99"/>
      <c r="C41" s="104" t="s">
        <v>7</v>
      </c>
      <c r="D41" s="104"/>
      <c r="E41" s="104"/>
      <c r="F41" s="104"/>
      <c r="G41" s="104"/>
      <c r="H41" s="96">
        <v>28400000</v>
      </c>
      <c r="I41" s="17">
        <f ca="1">IF(ISBLANK($C$8),"",ROUND(VLOOKUP($C$9,'MM-MC Tarifák'!$A$3:$AQ$67,HLOOKUP($C41,'MM-MC Tarifák'!$B$1:$AQ$2,2,0),0)/1000*$H$41*IF(OR(AND($C$16="Forint",$H$41&gt;=500000,$H$41&lt;=200000000),AND($C$16="Euró",$H$41&gt;=1700,$H$41&lt;=650000)),1,0)*VLOOKUP($C$12,Paraméterek!$K$1:$L$4,2,0)*IF($O$41="Kizárás",1,1+$O$41),IF($C$16="Forint",0,2)))</f>
        <v>4491</v>
      </c>
      <c r="J41" s="105"/>
      <c r="K41" s="106"/>
      <c r="L41" s="18" t="str">
        <f>IF(AND($J$41="Ezt kérem!",$H$8&lt;&gt;""),"!","")</f>
        <v/>
      </c>
      <c r="M41" s="21"/>
      <c r="O41" s="16">
        <f>IF(ISBLANK($B$23),0,VLOOKUP($B$23,'Foglalkozási pótdíjak'!$A$3:$K$494,5,0))</f>
        <v>0</v>
      </c>
    </row>
    <row r="42" spans="2:15" ht="12.75" customHeight="1" x14ac:dyDescent="0.25">
      <c r="B42" s="99"/>
      <c r="C42" s="104" t="s">
        <v>8</v>
      </c>
      <c r="D42" s="104"/>
      <c r="E42" s="104"/>
      <c r="F42" s="104"/>
      <c r="G42" s="104"/>
      <c r="H42" s="96">
        <v>8000000</v>
      </c>
      <c r="I42" s="17">
        <f ca="1">IF(ISBLANK($C$8),"",ROUND(VLOOKUP($C$9,'MM-MC Tarifák'!$A$3:$AQ$67,HLOOKUP($C42,'MM-MC Tarifák'!$B$1:$AQ$2,2,0),0)/1000*$H$42*IF(OR(AND($C$16="Forint",$H$42&gt;=500000,$H$42&lt;=200000000),AND($C$16="Euró",$H$42&gt;=1700,$H$42&lt;=650000)),1,0)*VLOOKUP($C$12,Paraméterek!$K$1:$L$4,2,0)*IF($O$42="Kizárás",1,1+$O$42),IF($C$16="Forint",0,2)))</f>
        <v>1962</v>
      </c>
      <c r="J42" s="105" t="s">
        <v>730</v>
      </c>
      <c r="K42" s="106"/>
      <c r="L42" s="18" t="str">
        <f>IF(AND($J$42="Ezt kérem!",$H$8&lt;&gt;""),"!","")</f>
        <v/>
      </c>
      <c r="M42" s="21"/>
      <c r="O42" s="16">
        <f>IF(ISBLANK($B$23),0,VLOOKUP($B$23,'Foglalkozási pótdíjak'!$A$3:$K$494,5,0))</f>
        <v>0</v>
      </c>
    </row>
    <row r="43" spans="2:15" ht="12.75" customHeight="1" x14ac:dyDescent="0.25">
      <c r="B43" s="99"/>
      <c r="C43" s="104" t="s">
        <v>65</v>
      </c>
      <c r="D43" s="104"/>
      <c r="E43" s="104"/>
      <c r="F43" s="104"/>
      <c r="G43" s="104"/>
      <c r="H43" s="96">
        <v>28400000</v>
      </c>
      <c r="I43" s="17">
        <f ca="1">IF(ISBLANK($C$8),"",ROUND(VLOOKUP($C$9,'MM-MC Tarifák'!$A$3:$AQ$67,HLOOKUP($C43,'MM-MC Tarifák'!$B$1:$AQ$2,2,0),0)/1000*$H$43*IF(OR(AND($C$16="Forint",$H$43&gt;=500000,$H$43&lt;=80000000),AND($C$16="Euró",$H$43&gt;=1700,$H$43&lt;=260000)),1,0)*VLOOKUP($C$12,Paraméterek!$K$1:$L$4,2,0)*IF($O$43="Kizárás",1,1+$O$43),IF($C$16="Forint",0,2)))</f>
        <v>9272</v>
      </c>
      <c r="J43" s="105"/>
      <c r="K43" s="106"/>
      <c r="L43" s="18" t="str">
        <f>IF(AND($J$43="Ezt kérem!",$H$8&lt;&gt;""),"!","")</f>
        <v/>
      </c>
      <c r="M43" s="21"/>
      <c r="O43" s="16">
        <f>IF(ISBLANK($B$23),0,VLOOKUP($B$23,'Foglalkozási pótdíjak'!$A$3:$K$494,5,0))</f>
        <v>0</v>
      </c>
    </row>
    <row r="44" spans="2:15" ht="12.75" customHeight="1" x14ac:dyDescent="0.25">
      <c r="B44" s="99"/>
      <c r="C44" s="104" t="s">
        <v>9</v>
      </c>
      <c r="D44" s="104"/>
      <c r="E44" s="104"/>
      <c r="F44" s="104"/>
      <c r="G44" s="104"/>
      <c r="H44" s="96">
        <v>8000000</v>
      </c>
      <c r="I44" s="17">
        <f ca="1">IF(ISBLANK($C$8),"",ROUND(VLOOKUP($C$9,'MM-MC Tarifák'!$A$3:$AQ$67,HLOOKUP($C44,'MM-MC Tarifák'!$B$1:$AQ$2,2,0),0)/1000*$H$44*IF(OR(AND($C$16="Forint",$H$44&gt;=500000,$H$44&lt;=100000000),AND($C$16="Euró",$H$44&gt;=1700,$H$44&lt;=325000)),1,0)*VLOOKUP($C$12,Paraméterek!$K$1:$L$4,2,0)*IF($O$44="Kizárás",1,1+$O$44),IF($C$16="Forint",0,2)))</f>
        <v>3836</v>
      </c>
      <c r="J44" s="105"/>
      <c r="K44" s="106"/>
      <c r="L44" s="18" t="str">
        <f>IF(AND($J$44="Ezt kérem!",$H$15&lt;&gt;""),"!","")</f>
        <v/>
      </c>
      <c r="M44" s="21"/>
      <c r="O44" s="16">
        <f>IF(ISBLANK($B$23),0,VLOOKUP($B$23,'Foglalkozási pótdíjak'!$A$3:$K$494,5,0))</f>
        <v>0</v>
      </c>
    </row>
    <row r="45" spans="2:15" ht="12.75" customHeight="1" x14ac:dyDescent="0.25">
      <c r="O45" s="16"/>
    </row>
    <row r="46" spans="2:15" ht="12.75" customHeight="1" x14ac:dyDescent="0.25">
      <c r="B46" s="13"/>
      <c r="O46" s="16"/>
    </row>
    <row r="47" spans="2:15" ht="12.75" customHeight="1" x14ac:dyDescent="0.25">
      <c r="B47" s="100" t="s">
        <v>10</v>
      </c>
      <c r="C47" s="104" t="s">
        <v>67</v>
      </c>
      <c r="D47" s="104"/>
      <c r="E47" s="104"/>
      <c r="F47" s="104"/>
      <c r="G47" s="104"/>
      <c r="H47" s="92">
        <v>20000</v>
      </c>
      <c r="I47" s="17">
        <f ca="1">IF(ISBLANK($C$8),"",ROUND(VLOOKUP($C$9,'MM-MC Tarifák'!$A$3:$AQ$67,HLOOKUP($C47,'MM-MC Tarifák'!$B$1:$AQ$2,2,0),0)/1000*$H$47*IF(OR(AND($C$16="Forint",$H$47&gt;=10000,$H$47&lt;=1666666),AND($C$16="Euró",$H$47&gt;=34,$H$47&lt;=5416)),1,0)*VLOOKUP($C$12,Paraméterek!$K$1:$L$4,2,0)*IF($O$47="Kizárás",1,1+$O$47),IF($C$16="Forint",0,2)))</f>
        <v>196</v>
      </c>
      <c r="J47" s="105"/>
      <c r="K47" s="106"/>
      <c r="L47" s="18" t="str">
        <f>IF(AND($J$47="Ezt kérem!",OR($H$6&lt;&gt;"",$H$7&lt;&gt;"")),"!","")</f>
        <v/>
      </c>
      <c r="M47" s="21"/>
      <c r="O47" s="16">
        <f>IF(ISBLANK($B$23),0,VLOOKUP($B$23,'Foglalkozási pótdíjak'!$A$3:$K$494,3,0))</f>
        <v>0</v>
      </c>
    </row>
    <row r="48" spans="2:15" ht="12.75" customHeight="1" x14ac:dyDescent="0.25">
      <c r="B48" s="101"/>
      <c r="C48" s="104" t="s">
        <v>68</v>
      </c>
      <c r="D48" s="104"/>
      <c r="E48" s="104"/>
      <c r="F48" s="104"/>
      <c r="G48" s="104"/>
      <c r="H48" s="92">
        <v>20000</v>
      </c>
      <c r="I48" s="17">
        <f ca="1">IF(ISBLANK($C$8),"",ROUND(VLOOKUP($C$9,'MM-MC Tarifák'!$A$3:$AQ$67,HLOOKUP($C48,'MM-MC Tarifák'!$B$1:$AQ$2,2,0),0)/1000*$H$48*IF(OR(AND($C$16="Forint",$H$48&gt;=10000,$H$48&lt;=833333),AND($C$16="Euró",$H$48&gt;=34,$H$48&lt;=2708)),1,0)*VLOOKUP($C$12,Paraméterek!$K$1:$L$4,2,0)*IF($O$48="Kizárás",1,1+$O$48),IF($C$16="Forint",0,2)))</f>
        <v>392</v>
      </c>
      <c r="J48" s="105"/>
      <c r="K48" s="106"/>
      <c r="L48" s="18" t="str">
        <f>IF(AND($J$48="Ezt kérem!",OR($H$6&lt;&gt;"",$H$7&lt;&gt;"")),"!","")</f>
        <v/>
      </c>
      <c r="M48" s="21"/>
      <c r="O48" s="16">
        <f>IF(ISBLANK($B$23),0,VLOOKUP($B$23,'Foglalkozási pótdíjak'!$A$3:$K$494,3,0))</f>
        <v>0</v>
      </c>
    </row>
    <row r="49" spans="2:15" ht="12.75" customHeight="1" x14ac:dyDescent="0.25">
      <c r="B49" s="101"/>
      <c r="C49" s="104" t="s">
        <v>69</v>
      </c>
      <c r="D49" s="104"/>
      <c r="E49" s="104"/>
      <c r="F49" s="104"/>
      <c r="G49" s="104"/>
      <c r="H49" s="92">
        <v>20000</v>
      </c>
      <c r="I49" s="17">
        <f ca="1">IF(ISBLANK($C$8),"",ROUND(VLOOKUP($C$9,'MM-MC Tarifák'!$A$3:$AQ$67,HLOOKUP($C49,'MM-MC Tarifák'!$B$1:$AQ$2,2,0),0)/1000*$H$49*IF(OR(AND($C$16="Forint",$H$49&gt;=10000,$H$49&lt;=1666666),AND($C$16="Euró",$H$49&gt;=34,$H$49&lt;=5416)),1,0)*VLOOKUP($C$12,Paraméterek!$K$1:$L$4,2,0)*IF($O$49="Kizárás",1,1+$O$49),IF($C$16="Forint",0,2)))</f>
        <v>3</v>
      </c>
      <c r="J49" s="105"/>
      <c r="K49" s="106"/>
      <c r="L49" s="18" t="str">
        <f>IF(AND($J$49="Ezt kérem!",OR($H$7&lt;&gt;"",$H$9&lt;&gt;"")),"!","")</f>
        <v/>
      </c>
      <c r="M49" s="21"/>
      <c r="O49" s="49">
        <v>0</v>
      </c>
    </row>
    <row r="50" spans="2:15" ht="12.75" customHeight="1" x14ac:dyDescent="0.25">
      <c r="B50" s="101"/>
      <c r="C50" s="104" t="s">
        <v>70</v>
      </c>
      <c r="D50" s="104"/>
      <c r="E50" s="104"/>
      <c r="F50" s="104"/>
      <c r="G50" s="104"/>
      <c r="H50" s="92">
        <v>20000</v>
      </c>
      <c r="I50" s="17">
        <f ca="1">IF(ISBLANK($C$8),"",ROUND(VLOOKUP($C$9,'MM-MC Tarifák'!$A$3:$AQ$67,HLOOKUP($C50,'MM-MC Tarifák'!$B$1:$AQ$2,2,0),0)/1000*$H$50*IF(OR(AND($C$16="Forint",$H$50&gt;=10000,$H$50&lt;=833333),AND($C$16="Euró",$H$50&gt;=34,$H$50&lt;=2708)),1,0)*VLOOKUP($C$12,Paraméterek!$K$1:$L$4,2,0)*IF($O$50="Kizárás",1,1+$O$50),IF($C$16="Forint",0,2)))</f>
        <v>6</v>
      </c>
      <c r="J50" s="105"/>
      <c r="K50" s="106"/>
      <c r="L50" s="18" t="str">
        <f>IF(AND($J$50="Ezt kérem!",OR($H$7&lt;&gt;"",$H$9&lt;&gt;"")),"!","")</f>
        <v/>
      </c>
      <c r="M50" s="21"/>
      <c r="O50" s="49">
        <v>0</v>
      </c>
    </row>
    <row r="51" spans="2:15" ht="12.75" customHeight="1" x14ac:dyDescent="0.25">
      <c r="B51" s="101"/>
      <c r="C51" s="104" t="s">
        <v>71</v>
      </c>
      <c r="D51" s="104"/>
      <c r="E51" s="104"/>
      <c r="F51" s="104"/>
      <c r="G51" s="104"/>
      <c r="H51" s="92">
        <v>20000</v>
      </c>
      <c r="I51" s="17">
        <f ca="1">IF(ISBLANK($C$8),"",ROUND(VLOOKUP($C$9,'MM-MC Tarifák'!$A$3:$AQ$67,HLOOKUP($C51,'MM-MC Tarifák'!$B$1:$AQ$2,2,0),0)/1000*$H$51*IF(OR(AND($C$16="Forint",$H$51&gt;=10000,$H$51&lt;=3333333),AND($C$16="Euró",$H$51&gt;=34,$H$51&lt;=10833)),1,0)*VLOOKUP($C$12,Paraméterek!$K$1:$L$4,2,0)*IF($O$51="Kizárás",1,1+$O$51),IF($C$16="Forint",0,2)))</f>
        <v>76</v>
      </c>
      <c r="J51" s="105"/>
      <c r="K51" s="106"/>
      <c r="L51" s="18" t="str">
        <f>IF(AND($J$51="Ezt kérem!",OR($H$8&lt;&gt;"",$H$15&lt;&gt;"")),"!","")</f>
        <v/>
      </c>
      <c r="M51" s="21"/>
      <c r="O51" s="16">
        <f>IF(ISBLANK($B$23),0,VLOOKUP($B$23,'Foglalkozási pótdíjak'!$A$3:$K$494,6,0))</f>
        <v>0</v>
      </c>
    </row>
    <row r="52" spans="2:15" ht="12.75" customHeight="1" x14ac:dyDescent="0.25">
      <c r="B52" s="101"/>
      <c r="C52" s="104" t="s">
        <v>72</v>
      </c>
      <c r="D52" s="104"/>
      <c r="E52" s="104"/>
      <c r="F52" s="104"/>
      <c r="G52" s="104"/>
      <c r="H52" s="92">
        <v>20000</v>
      </c>
      <c r="I52" s="17">
        <f ca="1">IF(ISBLANK($C$8),"",ROUND(VLOOKUP($C$9,'MM-MC Tarifák'!$A$3:$AQ$67,HLOOKUP($C52,'MM-MC Tarifák'!$B$1:$AQ$2,2,0),0)/1000*$H$52*IF(OR(AND($C$16="Forint",$H$52&gt;=10000,$H$52&lt;=1666666),AND($C$16="Euró",$H$52&gt;=34,$H$52&lt;=5416)),1,0)*VLOOKUP($C$12,Paraméterek!$K$1:$L$4,2,0)*IF($O$52="Kizárás",1,1+$O$52),IF($C$16="Forint",0,2)))</f>
        <v>153</v>
      </c>
      <c r="J52" s="105"/>
      <c r="K52" s="106"/>
      <c r="L52" s="18" t="str">
        <f>IF(AND($J$52="Ezt kérem!",OR($H$8&lt;&gt;"",$H$15&lt;&gt;"")),"!","")</f>
        <v/>
      </c>
      <c r="M52" s="21"/>
      <c r="O52" s="16">
        <f>IF(ISBLANK($B$23),0,VLOOKUP($B$23,'Foglalkozási pótdíjak'!$A$3:$K$494,6,0))</f>
        <v>0</v>
      </c>
    </row>
    <row r="53" spans="2:15" ht="12.75" customHeight="1" x14ac:dyDescent="0.25">
      <c r="B53" s="101"/>
      <c r="C53" s="104" t="s">
        <v>73</v>
      </c>
      <c r="D53" s="104"/>
      <c r="E53" s="104"/>
      <c r="F53" s="104"/>
      <c r="G53" s="104"/>
      <c r="H53" s="92">
        <v>20000</v>
      </c>
      <c r="I53" s="17">
        <f ca="1">IF(ISBLANK($C$8),"",ROUND(VLOOKUP($C$9,'MM-MC Tarifák'!$A$3:$AQ$67,HLOOKUP($C53,'MM-MC Tarifák'!$B$1:$AQ$2,2,0),0)/1000*$H$53*IF(OR(AND($C$16="Forint",$H$53&gt;=10000,$H$53&lt;=1666666),AND($C$16="Euró",$H$53&gt;=34,$H$53&lt;=5416)),1,0)*VLOOKUP($C$12,Paraméterek!$K$1:$L$4,2,0)*IF($O$53="Kizárás",1,1+$O$53),IF($C$16="Forint",0,2)))</f>
        <v>575</v>
      </c>
      <c r="J53" s="105"/>
      <c r="K53" s="106"/>
      <c r="L53" s="18" t="str">
        <f>IF(AND($J$53="Ezt kérem!",$H$15&lt;&gt;""),"!","")</f>
        <v/>
      </c>
      <c r="M53" s="21"/>
      <c r="O53" s="16">
        <f>IF(ISBLANK($B$23),0,VLOOKUP($B$23,'Foglalkozási pótdíjak'!$A$3:$K$494,5,0))</f>
        <v>0</v>
      </c>
    </row>
    <row r="54" spans="2:15" ht="12.75" customHeight="1" x14ac:dyDescent="0.25">
      <c r="B54" s="102"/>
      <c r="C54" s="104" t="s">
        <v>74</v>
      </c>
      <c r="D54" s="104"/>
      <c r="E54" s="104"/>
      <c r="F54" s="104"/>
      <c r="G54" s="104"/>
      <c r="H54" s="92">
        <v>20000</v>
      </c>
      <c r="I54" s="17">
        <f ca="1">IF(ISBLANK($C$8),"",ROUND(VLOOKUP($C$9,'MM-MC Tarifák'!$A$3:$AQ$67,HLOOKUP($C54,'MM-MC Tarifák'!$B$1:$AQ$2,2,0),0)/1000*$H$54*IF(OR(AND($C$16="Forint",$H$54&gt;=10000,$H$54&lt;=833333),AND($C$16="Euró",$H$54&gt;=34,$H$54&lt;=2708)),1,0)*VLOOKUP($C$12,Paraméterek!$K$1:$L$4,2,0)*IF($O$54="Kizárás",1,1+$O$54),IF($C$16="Forint",0,2)))</f>
        <v>1151</v>
      </c>
      <c r="J54" s="105"/>
      <c r="K54" s="106"/>
      <c r="L54" s="18" t="str">
        <f>IF(AND($J$54="Ezt kérem!",$H$15&lt;&gt;""),"!","")</f>
        <v/>
      </c>
      <c r="M54" s="21"/>
      <c r="O54" s="16">
        <f>IF(ISBLANK($B$23),0,VLOOKUP($B$23,'Foglalkozási pótdíjak'!$A$3:$K$494,5,0))</f>
        <v>0</v>
      </c>
    </row>
    <row r="55" spans="2:15" ht="12.75" customHeight="1" x14ac:dyDescent="0.25">
      <c r="O55" s="16"/>
    </row>
    <row r="56" spans="2:15" ht="12.75" customHeight="1" x14ac:dyDescent="0.25">
      <c r="B56" s="13"/>
      <c r="O56" s="16"/>
    </row>
    <row r="57" spans="2:15" ht="12.75" customHeight="1" x14ac:dyDescent="0.25">
      <c r="B57" s="99" t="s">
        <v>11</v>
      </c>
      <c r="C57" s="104" t="s">
        <v>12</v>
      </c>
      <c r="D57" s="104"/>
      <c r="E57" s="104"/>
      <c r="F57" s="104"/>
      <c r="G57" s="104"/>
      <c r="H57" s="92">
        <v>200000</v>
      </c>
      <c r="I57" s="17">
        <f ca="1">IF(ISBLANK($C$8),"",ROUND(VLOOKUP($C$9,'MM-MC Tarifák'!$A$3:$AQ$67,HLOOKUP($C57,'MM-MC Tarifák'!$B$1:$AQ$2,2,0),0)/1000*$H$57*IF(OR(AND($C$16="Forint",$H$57&gt;=100000,$H$57&lt;=1000000),AND($C$16="Euró",$H$57&gt;=340,$H$57&lt;=3250)),1,0)*VLOOKUP($C$12,Paraméterek!$K$1:$L$4,2,0)*IF($O$57="Kizárás",1,1+$O$57),IF($C$16="Forint",0,2)))</f>
        <v>395</v>
      </c>
      <c r="J57" s="105"/>
      <c r="K57" s="106"/>
      <c r="L57" s="18" t="str">
        <f>IF(AND($J$57="Ezt kérem!",$H$13&lt;&gt;""),"!","")</f>
        <v/>
      </c>
      <c r="M57" s="21"/>
      <c r="O57" s="16">
        <f>IF(ISBLANK($B$23),0,VLOOKUP($B$23,'Foglalkozási pótdíjak'!$A$3:$K$494,8,0))</f>
        <v>0</v>
      </c>
    </row>
    <row r="58" spans="2:15" ht="12.75" customHeight="1" x14ac:dyDescent="0.25">
      <c r="B58" s="99"/>
      <c r="C58" s="104" t="s">
        <v>66</v>
      </c>
      <c r="D58" s="104"/>
      <c r="E58" s="104"/>
      <c r="F58" s="104"/>
      <c r="G58" s="104"/>
      <c r="H58" s="96">
        <v>200000</v>
      </c>
      <c r="I58" s="17">
        <f ca="1">IF(ISBLANK($C$8),"",ROUND(VLOOKUP($C$9,'MM-MC Tarifák'!$A$3:$AQ$67,HLOOKUP($C58,'MM-MC Tarifák'!$B$1:$AQ$2,2,0),0)/1000*$H$58*IF(OR(AND($C$16="Forint",$H$58&gt;=100000,$H$58&lt;=500000),AND($C$16="Euró",$H$58&gt;=340,$H$58&lt;=1625)),1,0)*VLOOKUP($C$12,Paraméterek!$K$1:$L$4,2,0)*IF($O$58="Kizárás",1,1+$O$58),IF($C$16="Forint",0,2)))</f>
        <v>625</v>
      </c>
      <c r="J58" s="105"/>
      <c r="K58" s="106"/>
      <c r="L58" s="18" t="str">
        <f>IF(AND($J$58="Ezt kérem!",$H$13&lt;&gt;""),"!","")</f>
        <v/>
      </c>
      <c r="M58" s="21"/>
      <c r="O58" s="16">
        <f>IF(ISBLANK($B$23),0,VLOOKUP($B$23,'Foglalkozási pótdíjak'!$A$3:$K$494,8,0))</f>
        <v>0</v>
      </c>
    </row>
    <row r="59" spans="2:15" ht="12.75" customHeight="1" x14ac:dyDescent="0.25">
      <c r="B59" s="99"/>
      <c r="C59" s="104" t="s">
        <v>25</v>
      </c>
      <c r="D59" s="104"/>
      <c r="E59" s="104"/>
      <c r="F59" s="104"/>
      <c r="G59" s="104"/>
      <c r="H59" s="96">
        <v>300000</v>
      </c>
      <c r="I59" s="17">
        <f ca="1">IF(ISBLANK($C$8),"",ROUND(VLOOKUP($C$9,'MM-MC Tarifák'!$A$3:$AQ$67,HLOOKUP($C59,'MM-MC Tarifák'!$B$1:$AQ$2,2,0),0)/1000*$H$59*IF(OR(AND($C$16="Forint",$H$59&gt;=100000,$H$59&lt;=1000000),AND($C$16="Euró",$H$59&gt;=340,$H$59&lt;=3250)),1,0)*VLOOKUP($C$12,Paraméterek!$K$1:$L$4,2,0)*IF($O$59="Kizárás",1,1+$O$59),IF($C$16="Forint",0,2)))</f>
        <v>1568</v>
      </c>
      <c r="J59" s="105" t="s">
        <v>730</v>
      </c>
      <c r="K59" s="106"/>
      <c r="L59" s="18" t="str">
        <f>IF(AND($J$59="Ezt kérem!",$H$14&lt;&gt;""),"!","")</f>
        <v/>
      </c>
      <c r="M59" s="21"/>
      <c r="O59" s="16">
        <f>IF(ISBLANK($B$23),0,VLOOKUP($B$23,'Foglalkozási pótdíjak'!$A$3:$K$494,9,0))</f>
        <v>0</v>
      </c>
    </row>
    <row r="60" spans="2:15" ht="12.75" customHeight="1" x14ac:dyDescent="0.25">
      <c r="B60" s="99"/>
      <c r="C60" s="104" t="s">
        <v>427</v>
      </c>
      <c r="D60" s="104"/>
      <c r="E60" s="104"/>
      <c r="F60" s="104"/>
      <c r="G60" s="104"/>
      <c r="H60" s="96">
        <v>200000</v>
      </c>
      <c r="I60" s="17">
        <f ca="1">IF(ISBLANK($C$8),"",ROUND(VLOOKUP($C$9,'MM-MC Tarifák'!$A$3:$AQ$67,HLOOKUP($C60,'MM-MC Tarifák'!$B$1:$AQ$2,2,0),0)/1000*$H$60*IF(OR(AND($C$16="Forint",$H$60&gt;=100000,$H$60&lt;=500000),AND($C$16="Euró",$H$60&gt;=340,$H$60&lt;=1625)),1,0)*VLOOKUP($C$12,Paraméterek!$K$1:$L$4,2,0)*IF($O$60="Kizárás",1,1+$O$60),IF($C$16="Forint",0,2)))</f>
        <v>1636</v>
      </c>
      <c r="J60" s="105"/>
      <c r="K60" s="106"/>
      <c r="L60" s="18" t="str">
        <f>IF(AND($J$60="Ezt kérem!",$H$14&lt;&gt;""),"!","")</f>
        <v/>
      </c>
      <c r="M60" s="21"/>
      <c r="O60" s="16">
        <f>IF(ISBLANK($B$23),0,VLOOKUP($B$23,'Foglalkozási pótdíjak'!$A$3:$K$494,9,0))</f>
        <v>0</v>
      </c>
    </row>
    <row r="61" spans="2:15" ht="12.75" customHeight="1" x14ac:dyDescent="0.25">
      <c r="O61" s="16"/>
    </row>
    <row r="62" spans="2:15" ht="12.75" customHeight="1" x14ac:dyDescent="0.25">
      <c r="B62" s="13"/>
      <c r="O62" s="16"/>
    </row>
    <row r="63" spans="2:15" ht="12.75" customHeight="1" x14ac:dyDescent="0.25">
      <c r="B63" s="99" t="s">
        <v>13</v>
      </c>
      <c r="C63" s="104" t="s">
        <v>14</v>
      </c>
      <c r="D63" s="104"/>
      <c r="E63" s="104"/>
      <c r="F63" s="104"/>
      <c r="G63" s="104"/>
      <c r="H63" s="92">
        <v>5000</v>
      </c>
      <c r="I63" s="17">
        <f ca="1">IF(ISBLANK($C$8),"",ROUND(VLOOKUP($C$9,'MM-MC Tarifák'!$A$3:$AQ$67,HLOOKUP($C63,'MM-MC Tarifák'!$B$1:$AQ$2,2,0),0)/1000*$H$63*IF(OR(AND($C$16="Forint",$H$63&gt;=2000,$H$63&lt;=40000),AND($C$16="Euró",$H$63&gt;=7,$H$63&lt;=130)),1,0)*VLOOKUP($C$12,Paraméterek!$K$1:$L$4,2,0)*IF($O$63="Kizárás",1,1+$O$63),IF($C$16="Forint",0,2)))</f>
        <v>271</v>
      </c>
      <c r="J63" s="105" t="s">
        <v>730</v>
      </c>
      <c r="K63" s="106"/>
      <c r="L63" s="18" t="str">
        <f>IF(AND($J$63="Ezt kérem!",$H$11&lt;&gt;""),"!","")</f>
        <v/>
      </c>
      <c r="M63" s="21"/>
      <c r="O63" s="16">
        <f>IF(ISBLANK($B$23),0,VLOOKUP($B$23,'Foglalkozási pótdíjak'!$A$3:$K$494,10,0))</f>
        <v>0</v>
      </c>
    </row>
    <row r="64" spans="2:15" ht="12.75" customHeight="1" x14ac:dyDescent="0.25">
      <c r="B64" s="99"/>
      <c r="C64" s="104" t="s">
        <v>75</v>
      </c>
      <c r="D64" s="104"/>
      <c r="E64" s="104"/>
      <c r="F64" s="104"/>
      <c r="G64" s="104"/>
      <c r="H64" s="95">
        <v>5000</v>
      </c>
      <c r="I64" s="17">
        <f ca="1">IF(ISBLANK($C$8),"",ROUND(VLOOKUP($C$9,'MM-MC Tarifák'!$A$3:$AQ$67,HLOOKUP($C64,'MM-MC Tarifák'!$B$1:$AQ$2,2,0),0)/1000*$H$64*IF(OR(AND($C$16="Forint",$H$64&gt;=2000,$H$64&lt;=20000),AND($C$16="Euró",$H$64&gt;=7,$H$64&lt;=65)),1,0)*VLOOKUP($C$12,Paraméterek!$K$1:$L$4,2,0)*IF($O$64="Kizárás",1,1+$O$64),IF($C$16="Forint",0,2)))</f>
        <v>350</v>
      </c>
      <c r="J64" s="105"/>
      <c r="K64" s="106"/>
      <c r="L64" s="18" t="str">
        <f>IF(AND($J$64="Ezt kérem!",$H$11&lt;&gt;""),"!","")</f>
        <v/>
      </c>
      <c r="M64" s="21"/>
      <c r="O64" s="16">
        <f>IF(ISBLANK($B$23),0,VLOOKUP($B$23,'Foglalkozási pótdíjak'!$A$3:$K$494,10,0))</f>
        <v>0</v>
      </c>
    </row>
    <row r="65" spans="2:15" ht="12.75" customHeight="1" x14ac:dyDescent="0.25">
      <c r="B65" s="99"/>
      <c r="C65" s="104" t="s">
        <v>15</v>
      </c>
      <c r="D65" s="104"/>
      <c r="E65" s="104"/>
      <c r="F65" s="104"/>
      <c r="G65" s="104"/>
      <c r="H65" s="95">
        <v>5000</v>
      </c>
      <c r="I65" s="17">
        <f ca="1">IF(ISBLANK($C$8),"",ROUND(VLOOKUP($C$9,'MM-MC Tarifák'!$A$3:$AQ$67,HLOOKUP($C65,'MM-MC Tarifák'!$B$1:$AQ$2,2,0),0)/1000*$H$65*IF(OR(AND($C$16="Forint",$H$65&gt;=2000,$H$65&lt;=40000),AND($C$16="Euró",$H$65&gt;=7,$H$65&lt;=130)),1,0)*VLOOKUP($C$12,Paraméterek!$K$1:$L$4,2,0)*IF($O$65="Kizárás",1,1+$O$65),IF($C$16="Forint",0,2)))</f>
        <v>218</v>
      </c>
      <c r="J65" s="105"/>
      <c r="K65" s="106"/>
      <c r="L65" s="18" t="str">
        <f>IF(AND($J$65="Ezt kérem!",$H$11&lt;&gt;""),"!","")</f>
        <v/>
      </c>
      <c r="M65" s="21"/>
      <c r="O65" s="16">
        <f>IF(ISBLANK($B$23),0,VLOOKUP($B$23,'Foglalkozási pótdíjak'!$A$3:$K$494,10,0))</f>
        <v>0</v>
      </c>
    </row>
    <row r="66" spans="2:15" ht="12.75" customHeight="1" x14ac:dyDescent="0.25">
      <c r="B66" s="99"/>
      <c r="C66" s="104" t="s">
        <v>76</v>
      </c>
      <c r="D66" s="104"/>
      <c r="E66" s="104"/>
      <c r="F66" s="104"/>
      <c r="G66" s="104"/>
      <c r="H66" s="95">
        <v>5000</v>
      </c>
      <c r="I66" s="17">
        <f ca="1">IF(ISBLANK($C$8),"",ROUND(VLOOKUP($C$9,'MM-MC Tarifák'!$A$3:$AQ$67,HLOOKUP($C66,'MM-MC Tarifák'!$B$1:$AQ$2,2,0),0)/1000*$H$66*IF(OR(AND($C$16="Forint",$H$66&gt;=2000,$H$66&lt;=20000),AND($C$16="Euró",$H$66&gt;=7,$H$66&lt;=65)),1,0)*VLOOKUP($C$12,Paraméterek!$K$1:$L$4,2,0)*IF($O$66="Kizárás",1,1+$O$66),IF($C$16="Forint",0,2)))</f>
        <v>297</v>
      </c>
      <c r="J66" s="105"/>
      <c r="K66" s="106"/>
      <c r="L66" s="18" t="str">
        <f>IF(AND($J$66="Ezt kérem!",$H$11&lt;&gt;""),"!","")</f>
        <v/>
      </c>
      <c r="M66" s="21"/>
      <c r="O66" s="16">
        <f>IF(ISBLANK($B$23),0,VLOOKUP($B$23,'Foglalkozási pótdíjak'!$A$3:$K$494,10,0))</f>
        <v>0</v>
      </c>
    </row>
    <row r="67" spans="2:15" ht="12.75" customHeight="1" x14ac:dyDescent="0.25">
      <c r="B67" s="99"/>
      <c r="C67" s="104" t="s">
        <v>16</v>
      </c>
      <c r="D67" s="104"/>
      <c r="E67" s="104"/>
      <c r="F67" s="104"/>
      <c r="G67" s="104"/>
      <c r="H67" s="95">
        <v>3500</v>
      </c>
      <c r="I67" s="17">
        <f ca="1">IF(ISBLANK($C$8),"",ROUND(VLOOKUP($C$9,'MM-MC Tarifák'!$A$3:$AQ$67,HLOOKUP($C67,'MM-MC Tarifák'!$B$1:$AQ$2,2,0),0)/1000*$H$67*IF(OR(AND($C$16="Forint",$H$67&gt;=2000,$H$67&lt;=40000),AND($C$16="Euró",$H$67&gt;=7,$H$67&lt;=130)),1,0)*VLOOKUP($C$12,Paraméterek!$K$1:$L$4,2,0)*IF($O$67="Kizárás",1,1+$O$67),IF($C$16="Forint",0,2)))</f>
        <v>905</v>
      </c>
      <c r="J67" s="105"/>
      <c r="K67" s="106"/>
      <c r="L67" s="18" t="str">
        <f>IF(AND($J$67="Ezt kérem!",$H$12&lt;&gt;""),"!","")</f>
        <v/>
      </c>
      <c r="M67" s="21"/>
      <c r="O67" s="16">
        <f>IF(ISBLANK($B$23),0,VLOOKUP($B$23,'Foglalkozási pótdíjak'!$A$3:$K$494,11,0))</f>
        <v>0</v>
      </c>
    </row>
    <row r="68" spans="2:15" ht="12.75" customHeight="1" x14ac:dyDescent="0.25">
      <c r="B68" s="99"/>
      <c r="C68" s="104" t="s">
        <v>77</v>
      </c>
      <c r="D68" s="104"/>
      <c r="E68" s="104"/>
      <c r="F68" s="104"/>
      <c r="G68" s="104"/>
      <c r="H68" s="95">
        <v>5000</v>
      </c>
      <c r="I68" s="17">
        <f ca="1">IF(ISBLANK($C$8),"",ROUND(VLOOKUP($C$9,'MM-MC Tarifák'!$A$3:$AQ$67,HLOOKUP($C68,'MM-MC Tarifák'!$B$1:$AQ$2,2,0),0)/1000*$H$68*IF(OR(AND($C$16="Forint",$H$68&gt;=2000,$H$68&lt;=20000),AND($C$16="Euró",$H$68&gt;=7,$H$68&lt;=65)),1,0)*VLOOKUP($C$12,Paraméterek!$K$1:$L$4,2,0)*IF($O$68="Kizárás",1,1+$O$68),IF($C$16="Forint",0,2)))</f>
        <v>1042</v>
      </c>
      <c r="J68" s="105"/>
      <c r="K68" s="106"/>
      <c r="L68" s="18" t="str">
        <f>IF(AND($J$68="Ezt kérem!",$H$12&lt;&gt;""),"!","")</f>
        <v/>
      </c>
      <c r="M68" s="21"/>
      <c r="O68" s="16">
        <f>IF(ISBLANK($B$23),0,VLOOKUP($B$23,'Foglalkozási pótdíjak'!$A$3:$K$494,11,0))</f>
        <v>0</v>
      </c>
    </row>
    <row r="69" spans="2:15" ht="12.75" customHeight="1" x14ac:dyDescent="0.25">
      <c r="B69" s="99"/>
      <c r="C69" s="104" t="s">
        <v>17</v>
      </c>
      <c r="D69" s="104"/>
      <c r="E69" s="104"/>
      <c r="F69" s="104"/>
      <c r="G69" s="104"/>
      <c r="H69" s="95">
        <v>5000</v>
      </c>
      <c r="I69" s="17">
        <f ca="1">IF(ISBLANK($C$8),"",ROUND(VLOOKUP($C$9,'MM-MC Tarifák'!$A$3:$AQ$67,HLOOKUP($C69,'MM-MC Tarifák'!$B$1:$AQ$2,2,0),0)/1000*$H$69*IF(OR(AND($C$16="Forint",$H$69&gt;=2000,$H$69&lt;=40000),AND($C$16="Euró",$H$69&gt;=7,$H$69&lt;=130)),1,0)*VLOOKUP($C$12,Paraméterek!$K$1:$L$4,2,0)*IF($O$69="Kizárás",1,1+$O$69),IF($C$16="Forint",0,2)))</f>
        <v>818</v>
      </c>
      <c r="J69" s="105"/>
      <c r="K69" s="106"/>
      <c r="L69" s="18" t="str">
        <f>IF(AND($J$69="Ezt kérem!",$H$12&lt;&gt;""),"!","")</f>
        <v/>
      </c>
      <c r="M69" s="21"/>
      <c r="O69" s="16">
        <f>IF(ISBLANK($B$23),0,VLOOKUP($B$23,'Foglalkozási pótdíjak'!$A$3:$K$494,11,0))</f>
        <v>0</v>
      </c>
    </row>
    <row r="70" spans="2:15" ht="12.75" customHeight="1" x14ac:dyDescent="0.25">
      <c r="B70" s="99"/>
      <c r="C70" s="104" t="s">
        <v>78</v>
      </c>
      <c r="D70" s="104"/>
      <c r="E70" s="104"/>
      <c r="F70" s="104"/>
      <c r="G70" s="104"/>
      <c r="H70" s="95">
        <v>5000</v>
      </c>
      <c r="I70" s="17">
        <f ca="1">IF(ISBLANK($C$8),"",ROUND(VLOOKUP($C$9,'MM-MC Tarifák'!$A$3:$AQ$67,HLOOKUP($C70,'MM-MC Tarifák'!$B$1:$AQ$2,2,0),0)/1000*$H$70*IF(OR(AND($C$16="Forint",$H$70&gt;=2000,$H$70&lt;=20000),AND($C$16="Euró",$H$70&gt;=7,$H$70&lt;=65)),1,0)*VLOOKUP($C$12,Paraméterek!$K$1:$L$4,2,0)*IF($O$70="Kizárás",1,1+$O$70),IF($C$16="Forint",0,2)))</f>
        <v>1073</v>
      </c>
      <c r="J70" s="105"/>
      <c r="K70" s="106"/>
      <c r="L70" s="18" t="str">
        <f>IF(AND($J$70="Ezt kérem!",$H$12&lt;&gt;""),"!","")</f>
        <v/>
      </c>
      <c r="M70" s="21"/>
      <c r="O70" s="16">
        <f>IF(ISBLANK($B$23),0,VLOOKUP($B$23,'Foglalkozási pótdíjak'!$A$3:$K$494,11,0))</f>
        <v>0</v>
      </c>
    </row>
    <row r="71" spans="2:15" ht="12.75" customHeight="1" x14ac:dyDescent="0.25">
      <c r="O71" s="16"/>
    </row>
    <row r="72" spans="2:15" ht="12.75" customHeight="1" x14ac:dyDescent="0.25">
      <c r="B72" s="13"/>
      <c r="O72" s="16"/>
    </row>
    <row r="73" spans="2:15" ht="12.75" customHeight="1" x14ac:dyDescent="0.25">
      <c r="B73" s="69" t="s">
        <v>18</v>
      </c>
      <c r="C73" s="104" t="s">
        <v>19</v>
      </c>
      <c r="D73" s="104"/>
      <c r="E73" s="104"/>
      <c r="F73" s="104"/>
      <c r="G73" s="104"/>
      <c r="H73" s="92">
        <v>1000000</v>
      </c>
      <c r="I73" s="17">
        <f ca="1">IF(ISBLANK($C$8),"",ROUND(VLOOKUP($C$9,'MM-MC Tarifák'!$A$3:$AQ$67,HLOOKUP($C73,'MM-MC Tarifák'!$B$1:$AQ$2,2,0),0)/1000*$H$73*IF(OR(AND($C$16="Forint",$H$73&gt;=500000,$H$73&lt;=50000000),AND($C$16="Euró",$H$73&gt;=1700,$H$73&lt;=162500)),1,0)*VLOOKUP($C$12,Paraméterek!$K$1:$L$4,2,0)*IF($O$73="Kizárás",1,1+$O$73),IF($C$16="Forint",0,2)))</f>
        <v>157</v>
      </c>
      <c r="J73" s="105"/>
      <c r="K73" s="106"/>
      <c r="L73" s="18" t="str">
        <f>IF(AND($J$73="Ezt kérem!",$H$5&lt;&gt;""),"!","")</f>
        <v/>
      </c>
      <c r="M73" s="21"/>
      <c r="O73" s="49">
        <v>0</v>
      </c>
    </row>
    <row r="74" spans="2:15" ht="12.75" customHeight="1" x14ac:dyDescent="0.25">
      <c r="O74" s="16"/>
    </row>
    <row r="75" spans="2:15" ht="12.75" customHeight="1" x14ac:dyDescent="0.25">
      <c r="B75" s="13"/>
      <c r="O75" s="16"/>
    </row>
    <row r="76" spans="2:15" ht="12.75" customHeight="1" x14ac:dyDescent="0.25">
      <c r="B76" s="69" t="s">
        <v>20</v>
      </c>
      <c r="C76" s="104" t="s">
        <v>21</v>
      </c>
      <c r="D76" s="104"/>
      <c r="E76" s="104"/>
      <c r="F76" s="104"/>
      <c r="G76" s="104"/>
      <c r="H76" s="92">
        <v>200000</v>
      </c>
      <c r="I76" s="17">
        <f ca="1">IF(ISBLANK($C$8),"",ROUND(VLOOKUP($C$9,'MM-MC Tarifák'!$A$3:$AQ$67,HLOOKUP($C76,'MM-MC Tarifák'!$B$1:$AQ$2,2,0),0)/1000*$H$76*IF(OR(AND($C$16="Forint",$H$76&gt;=100000,$H$76&lt;=1000000),AND($C$16="Euró",$H$76&gt;=340,$H$76&lt;=3250)),1,0)*VLOOKUP($C$12,Paraméterek!$K$1:$L$4,2,0)*IF($O$76="Kizárás",1,1+$O$76),IF($C$16="Forint",0,2)))</f>
        <v>308</v>
      </c>
      <c r="J76" s="105" t="s">
        <v>730</v>
      </c>
      <c r="K76" s="106"/>
      <c r="L76" s="18"/>
      <c r="O76" s="16">
        <f>IF(ISBLANK($B$23),0,VLOOKUP($B$23,'Foglalkozási pótdíjak'!$A$3:$K$494,7,0))</f>
        <v>0</v>
      </c>
    </row>
    <row r="77" spans="2:15" ht="12.75" customHeight="1" x14ac:dyDescent="0.25">
      <c r="O77" s="16"/>
    </row>
    <row r="78" spans="2:15" ht="12.75" customHeight="1" x14ac:dyDescent="0.25">
      <c r="O78" s="16"/>
    </row>
    <row r="79" spans="2:15" ht="12.75" customHeight="1" x14ac:dyDescent="0.25">
      <c r="B79" s="99" t="s">
        <v>22</v>
      </c>
      <c r="C79" s="104" t="s">
        <v>79</v>
      </c>
      <c r="D79" s="104"/>
      <c r="E79" s="104"/>
      <c r="F79" s="104"/>
      <c r="G79" s="104"/>
      <c r="H79" s="19"/>
      <c r="I79" s="17">
        <f ca="1">IF(ISBLANK($C$8),"",ROUND(VLOOKUP($C$9,'MM-MC Tarifák'!$A$3:$AQ$67,HLOOKUP($C79,'MM-MC Tarifák'!$B$1:$AQ$2,2,0),0)/IF($C$16="Euró",300,1)/VLOOKUP($C$12,Paraméterek!$K$1:$M$4,3,0)*IF($O$79="Kizárás",1,1+$O$79),IF($C$16="Forint",0,2)))</f>
        <v>500</v>
      </c>
      <c r="J79" s="105"/>
      <c r="K79" s="106"/>
      <c r="L79" s="18"/>
      <c r="O79" s="49">
        <v>0</v>
      </c>
    </row>
    <row r="80" spans="2:15" ht="12.75" customHeight="1" x14ac:dyDescent="0.25">
      <c r="B80" s="99"/>
      <c r="C80" s="104" t="s">
        <v>23</v>
      </c>
      <c r="D80" s="104"/>
      <c r="E80" s="104"/>
      <c r="F80" s="104"/>
      <c r="G80" s="104"/>
      <c r="H80" s="19"/>
      <c r="I80" s="17">
        <f ca="1">IF(ISBLANK($C$8),"",ROUND(VLOOKUP($C$9,'MM-MC Tarifák'!$A$3:$AQ$67,HLOOKUP($C80,'MM-MC Tarifák'!$B$1:$AQ$2,2,0),0)/IF($C$16="Euró",300,1)/VLOOKUP($C$12,Paraméterek!$K$1:$M$4,3,0)*IF($O$80="Kizárás",1,1+$O$80),IF($C$16="Forint",0,2)))</f>
        <v>1000</v>
      </c>
      <c r="J80" s="105" t="s">
        <v>730</v>
      </c>
      <c r="K80" s="106"/>
      <c r="L80" s="18"/>
      <c r="O80" s="49">
        <v>0</v>
      </c>
    </row>
    <row r="85" spans="2:11" ht="12.75" customHeight="1" x14ac:dyDescent="0.25">
      <c r="B85" s="107" t="s">
        <v>58</v>
      </c>
      <c r="C85" s="107"/>
      <c r="D85" s="107"/>
      <c r="E85" s="107"/>
      <c r="F85" s="107"/>
      <c r="G85" s="107"/>
      <c r="H85" s="107"/>
      <c r="I85" s="107"/>
      <c r="J85" s="107"/>
      <c r="K85" s="107"/>
    </row>
    <row r="86" spans="2:11" ht="12.75" customHeight="1" x14ac:dyDescent="0.25">
      <c r="B86" s="107"/>
      <c r="C86" s="107"/>
      <c r="D86" s="107"/>
      <c r="E86" s="107"/>
      <c r="F86" s="107"/>
      <c r="G86" s="107"/>
      <c r="H86" s="107"/>
      <c r="I86" s="107"/>
      <c r="J86" s="107"/>
      <c r="K86" s="107"/>
    </row>
    <row r="87" spans="2:11" ht="12.75" customHeight="1" x14ac:dyDescent="0.25">
      <c r="B87" s="107"/>
      <c r="C87" s="107"/>
      <c r="D87" s="107"/>
      <c r="E87" s="107"/>
      <c r="F87" s="107"/>
      <c r="G87" s="107"/>
      <c r="H87" s="107"/>
      <c r="I87" s="107"/>
      <c r="J87" s="107"/>
      <c r="K87" s="107"/>
    </row>
    <row r="88" spans="2:11" ht="12.75" customHeight="1" x14ac:dyDescent="0.25">
      <c r="B88" s="107"/>
      <c r="C88" s="107"/>
      <c r="D88" s="107"/>
      <c r="E88" s="107"/>
      <c r="F88" s="107"/>
      <c r="G88" s="107"/>
      <c r="H88" s="107"/>
      <c r="I88" s="107"/>
      <c r="J88" s="107"/>
      <c r="K88" s="107"/>
    </row>
    <row r="89" spans="2:11" ht="12.75" customHeight="1" x14ac:dyDescent="0.25">
      <c r="B89" s="107"/>
      <c r="C89" s="107"/>
      <c r="D89" s="107"/>
      <c r="E89" s="107"/>
      <c r="F89" s="107"/>
      <c r="G89" s="107"/>
      <c r="H89" s="107"/>
      <c r="I89" s="107"/>
      <c r="J89" s="107"/>
      <c r="K89" s="107"/>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1875" defaultRowHeight="13.2" x14ac:dyDescent="0.25"/>
  <cols>
    <col min="1" max="1" width="9.21875" style="79"/>
    <col min="2" max="7" width="24.6640625" style="79" customWidth="1"/>
    <col min="8" max="16384" width="9.21875" style="79"/>
  </cols>
  <sheetData>
    <row r="3" spans="2:7" ht="25.5" customHeight="1" x14ac:dyDescent="0.25">
      <c r="B3" s="206" t="s">
        <v>57</v>
      </c>
      <c r="C3" s="206"/>
      <c r="D3" s="206"/>
      <c r="E3" s="206"/>
      <c r="F3" s="206"/>
      <c r="G3" s="206"/>
    </row>
    <row r="4" spans="2:7" ht="12.75" customHeight="1" x14ac:dyDescent="0.25">
      <c r="B4" s="207" t="s">
        <v>45</v>
      </c>
      <c r="C4" s="208" t="s">
        <v>44</v>
      </c>
      <c r="D4" s="208"/>
      <c r="E4" s="208"/>
      <c r="F4" s="208"/>
      <c r="G4" s="208"/>
    </row>
    <row r="5" spans="2:7" ht="26.4" x14ac:dyDescent="0.25">
      <c r="B5" s="207"/>
      <c r="C5" s="80" t="s">
        <v>135</v>
      </c>
      <c r="D5" s="81" t="s">
        <v>136</v>
      </c>
      <c r="E5" s="80" t="s">
        <v>137</v>
      </c>
      <c r="F5" s="80" t="s">
        <v>138</v>
      </c>
      <c r="G5" s="80" t="s">
        <v>139</v>
      </c>
    </row>
    <row r="6" spans="2:7" ht="12.75" customHeight="1" x14ac:dyDescent="0.25">
      <c r="B6" s="207"/>
      <c r="C6" s="208" t="s">
        <v>43</v>
      </c>
      <c r="D6" s="208"/>
      <c r="E6" s="208"/>
      <c r="F6" s="208"/>
      <c r="G6" s="208"/>
    </row>
    <row r="7" spans="2:7" ht="26.4" x14ac:dyDescent="0.25">
      <c r="B7" s="207"/>
      <c r="C7" s="82" t="s">
        <v>428</v>
      </c>
      <c r="D7" s="82" t="s">
        <v>429</v>
      </c>
      <c r="E7" s="82" t="s">
        <v>430</v>
      </c>
      <c r="F7" s="82" t="s">
        <v>431</v>
      </c>
      <c r="G7" s="82" t="s">
        <v>432</v>
      </c>
    </row>
    <row r="8" spans="2:7" ht="26.4" x14ac:dyDescent="0.25">
      <c r="B8" s="83" t="s">
        <v>46</v>
      </c>
      <c r="C8" s="84" t="s">
        <v>140</v>
      </c>
      <c r="D8" s="84" t="s">
        <v>126</v>
      </c>
      <c r="E8" s="84" t="s">
        <v>127</v>
      </c>
      <c r="F8" s="84" t="s">
        <v>128</v>
      </c>
      <c r="G8" s="84" t="s">
        <v>129</v>
      </c>
    </row>
    <row r="9" spans="2:7" ht="26.4" x14ac:dyDescent="0.25">
      <c r="B9" s="85" t="s">
        <v>47</v>
      </c>
      <c r="C9" s="84" t="s">
        <v>140</v>
      </c>
      <c r="D9" s="84" t="s">
        <v>126</v>
      </c>
      <c r="E9" s="84" t="s">
        <v>128</v>
      </c>
      <c r="F9" s="84" t="s">
        <v>128</v>
      </c>
      <c r="G9" s="84" t="s">
        <v>129</v>
      </c>
    </row>
    <row r="10" spans="2:7" ht="26.4" x14ac:dyDescent="0.25">
      <c r="B10" s="85" t="s">
        <v>48</v>
      </c>
      <c r="C10" s="84" t="s">
        <v>140</v>
      </c>
      <c r="D10" s="84" t="s">
        <v>126</v>
      </c>
      <c r="E10" s="84" t="s">
        <v>128</v>
      </c>
      <c r="F10" s="84" t="s">
        <v>128</v>
      </c>
      <c r="G10" s="84" t="s">
        <v>129</v>
      </c>
    </row>
    <row r="11" spans="2:7" ht="26.4" x14ac:dyDescent="0.25">
      <c r="B11" s="85" t="s">
        <v>49</v>
      </c>
      <c r="C11" s="84" t="s">
        <v>140</v>
      </c>
      <c r="D11" s="84" t="s">
        <v>126</v>
      </c>
      <c r="E11" s="84" t="s">
        <v>128</v>
      </c>
      <c r="F11" s="84" t="s">
        <v>129</v>
      </c>
      <c r="G11" s="84" t="s">
        <v>129</v>
      </c>
    </row>
    <row r="15" spans="2:7" ht="12.75" customHeight="1" x14ac:dyDescent="0.25">
      <c r="B15" s="209" t="s">
        <v>56</v>
      </c>
      <c r="C15" s="209"/>
      <c r="D15" s="209"/>
      <c r="E15" s="209"/>
      <c r="F15" s="209"/>
      <c r="G15" s="209"/>
    </row>
    <row r="16" spans="2:7" s="87" customFormat="1" ht="63.75" customHeight="1" x14ac:dyDescent="0.25">
      <c r="B16" s="86" t="s">
        <v>50</v>
      </c>
      <c r="C16" s="210" t="s">
        <v>141</v>
      </c>
      <c r="D16" s="210"/>
      <c r="E16" s="210"/>
      <c r="F16" s="210"/>
      <c r="G16" s="210"/>
    </row>
    <row r="17" spans="2:7" s="87" customFormat="1" ht="127.5" customHeight="1" x14ac:dyDescent="0.25">
      <c r="B17" s="88" t="s">
        <v>51</v>
      </c>
      <c r="C17" s="205" t="s">
        <v>144</v>
      </c>
      <c r="D17" s="205"/>
      <c r="E17" s="205"/>
      <c r="F17" s="205"/>
      <c r="G17" s="205"/>
    </row>
    <row r="18" spans="2:7" s="87" customFormat="1" x14ac:dyDescent="0.25">
      <c r="B18" s="88" t="s">
        <v>52</v>
      </c>
      <c r="C18" s="205" t="s">
        <v>143</v>
      </c>
      <c r="D18" s="205"/>
      <c r="E18" s="205"/>
      <c r="F18" s="205"/>
      <c r="G18" s="205"/>
    </row>
    <row r="19" spans="2:7" s="87" customFormat="1" ht="25.5" customHeight="1" x14ac:dyDescent="0.25">
      <c r="B19" s="88" t="s">
        <v>53</v>
      </c>
      <c r="C19" s="205" t="s">
        <v>142</v>
      </c>
      <c r="D19" s="205"/>
      <c r="E19" s="205"/>
      <c r="F19" s="205"/>
      <c r="G19" s="205"/>
    </row>
    <row r="20" spans="2:7" s="87" customFormat="1" ht="12.75" customHeight="1" x14ac:dyDescent="0.25">
      <c r="B20" s="88" t="s">
        <v>54</v>
      </c>
      <c r="C20" s="205" t="s">
        <v>55</v>
      </c>
      <c r="D20" s="205"/>
      <c r="E20" s="205"/>
      <c r="F20" s="205"/>
      <c r="G20" s="205"/>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1875" defaultRowHeight="13.2" x14ac:dyDescent="0.25"/>
  <cols>
    <col min="1" max="16384" width="9.21875" style="35"/>
  </cols>
  <sheetData>
    <row r="3" spans="2:18" x14ac:dyDescent="0.25">
      <c r="B3" s="211" t="s">
        <v>433</v>
      </c>
      <c r="C3" s="211"/>
      <c r="D3" s="211"/>
      <c r="E3" s="211"/>
      <c r="F3" s="211"/>
      <c r="G3" s="211"/>
      <c r="H3" s="211"/>
      <c r="I3" s="211"/>
      <c r="J3" s="211"/>
      <c r="K3" s="211"/>
      <c r="L3" s="211"/>
      <c r="M3" s="211"/>
      <c r="N3" s="211"/>
      <c r="O3" s="211"/>
      <c r="P3" s="211"/>
      <c r="Q3" s="211"/>
      <c r="R3" s="211"/>
    </row>
    <row r="4" spans="2:18" x14ac:dyDescent="0.25">
      <c r="B4" s="211"/>
      <c r="C4" s="211"/>
      <c r="D4" s="211"/>
      <c r="E4" s="211"/>
      <c r="F4" s="211"/>
      <c r="G4" s="211"/>
      <c r="H4" s="211"/>
      <c r="I4" s="211"/>
      <c r="J4" s="211"/>
      <c r="K4" s="211"/>
      <c r="L4" s="211"/>
      <c r="M4" s="211"/>
      <c r="N4" s="211"/>
      <c r="O4" s="211"/>
      <c r="P4" s="211"/>
      <c r="Q4" s="211"/>
      <c r="R4" s="211"/>
    </row>
    <row r="5" spans="2:18" x14ac:dyDescent="0.25">
      <c r="E5" s="212" t="s">
        <v>413</v>
      </c>
      <c r="F5" s="212"/>
      <c r="G5" s="212"/>
      <c r="H5" s="212" t="s">
        <v>434</v>
      </c>
      <c r="I5" s="212"/>
      <c r="J5" s="212"/>
      <c r="K5" s="212"/>
      <c r="L5" s="212"/>
      <c r="M5" s="212"/>
      <c r="N5" s="212" t="s">
        <v>435</v>
      </c>
      <c r="O5" s="212"/>
      <c r="P5" s="212"/>
      <c r="Q5" s="212"/>
      <c r="R5" s="212"/>
    </row>
    <row r="6" spans="2:18" x14ac:dyDescent="0.25">
      <c r="E6" s="213" t="s">
        <v>0</v>
      </c>
      <c r="F6" s="213"/>
      <c r="G6" s="213"/>
      <c r="H6" s="213" t="s">
        <v>1</v>
      </c>
      <c r="I6" s="213"/>
      <c r="J6" s="213"/>
      <c r="K6" s="213"/>
      <c r="L6" s="213"/>
      <c r="M6" s="213"/>
      <c r="N6" s="213" t="s">
        <v>6</v>
      </c>
      <c r="O6" s="213"/>
      <c r="P6" s="213"/>
      <c r="Q6" s="213"/>
      <c r="R6" s="213"/>
    </row>
    <row r="7" spans="2:18" x14ac:dyDescent="0.25">
      <c r="E7" s="214" t="s">
        <v>2</v>
      </c>
      <c r="F7" s="214"/>
      <c r="G7" s="214"/>
      <c r="H7" s="215" t="s">
        <v>67</v>
      </c>
      <c r="I7" s="215"/>
      <c r="J7" s="215"/>
      <c r="K7" s="215"/>
      <c r="L7" s="215"/>
      <c r="M7" s="215"/>
      <c r="N7" s="215" t="s">
        <v>7</v>
      </c>
      <c r="O7" s="215"/>
      <c r="P7" s="215"/>
      <c r="Q7" s="215"/>
      <c r="R7" s="215"/>
    </row>
    <row r="8" spans="2:18" x14ac:dyDescent="0.25">
      <c r="E8" s="216"/>
      <c r="F8" s="216"/>
      <c r="G8" s="216"/>
      <c r="H8" s="215" t="s">
        <v>68</v>
      </c>
      <c r="I8" s="215"/>
      <c r="J8" s="215"/>
      <c r="K8" s="215"/>
      <c r="L8" s="215"/>
      <c r="M8" s="215"/>
      <c r="N8" s="215" t="s">
        <v>8</v>
      </c>
      <c r="O8" s="215"/>
      <c r="P8" s="215"/>
      <c r="Q8" s="215"/>
      <c r="R8" s="215"/>
    </row>
    <row r="9" spans="2:18" x14ac:dyDescent="0.25">
      <c r="E9" s="216"/>
      <c r="F9" s="216"/>
      <c r="G9" s="216"/>
      <c r="H9" s="215" t="s">
        <v>118</v>
      </c>
      <c r="I9" s="215"/>
      <c r="J9" s="215"/>
      <c r="K9" s="215"/>
      <c r="L9" s="215"/>
      <c r="M9" s="215"/>
      <c r="N9" s="215" t="s">
        <v>65</v>
      </c>
      <c r="O9" s="215"/>
      <c r="P9" s="215"/>
      <c r="Q9" s="215"/>
      <c r="R9" s="215"/>
    </row>
    <row r="10" spans="2:18" x14ac:dyDescent="0.25">
      <c r="E10" s="216"/>
      <c r="F10" s="216"/>
      <c r="G10" s="216"/>
      <c r="H10" s="215" t="s">
        <v>412</v>
      </c>
      <c r="I10" s="215"/>
      <c r="J10" s="215"/>
      <c r="K10" s="215"/>
      <c r="L10" s="215"/>
      <c r="M10" s="215"/>
      <c r="N10" s="215" t="s">
        <v>71</v>
      </c>
      <c r="O10" s="215"/>
      <c r="P10" s="215"/>
      <c r="Q10" s="215"/>
      <c r="R10" s="215"/>
    </row>
    <row r="11" spans="2:18" x14ac:dyDescent="0.25">
      <c r="E11" s="216"/>
      <c r="F11" s="216"/>
      <c r="G11" s="216"/>
      <c r="H11" s="215" t="s">
        <v>3</v>
      </c>
      <c r="I11" s="215"/>
      <c r="J11" s="215"/>
      <c r="K11" s="215"/>
      <c r="L11" s="215"/>
      <c r="M11" s="215"/>
      <c r="N11" s="215" t="s">
        <v>72</v>
      </c>
      <c r="O11" s="215"/>
      <c r="P11" s="215"/>
      <c r="Q11" s="215"/>
      <c r="R11" s="215"/>
    </row>
    <row r="12" spans="2:18" x14ac:dyDescent="0.25">
      <c r="E12" s="216"/>
      <c r="F12" s="216"/>
      <c r="G12" s="216"/>
      <c r="H12" s="215" t="s">
        <v>69</v>
      </c>
      <c r="I12" s="215"/>
      <c r="J12" s="215"/>
      <c r="K12" s="215"/>
      <c r="L12" s="215"/>
      <c r="M12" s="215"/>
      <c r="N12" s="214" t="s">
        <v>120</v>
      </c>
      <c r="O12" s="214"/>
      <c r="P12" s="214"/>
      <c r="Q12" s="214"/>
      <c r="R12" s="214"/>
    </row>
    <row r="13" spans="2:18" x14ac:dyDescent="0.25">
      <c r="E13" s="216"/>
      <c r="F13" s="216"/>
      <c r="G13" s="216"/>
      <c r="H13" s="215" t="s">
        <v>70</v>
      </c>
      <c r="I13" s="215"/>
      <c r="J13" s="215"/>
      <c r="K13" s="215"/>
      <c r="L13" s="215"/>
      <c r="M13" s="215"/>
      <c r="N13" s="216"/>
      <c r="O13" s="216"/>
      <c r="P13" s="216"/>
      <c r="Q13" s="216"/>
      <c r="R13" s="216"/>
    </row>
    <row r="14" spans="2:18" x14ac:dyDescent="0.25">
      <c r="E14" s="216"/>
      <c r="F14" s="216"/>
      <c r="G14" s="216"/>
      <c r="H14" s="214" t="s">
        <v>119</v>
      </c>
      <c r="I14" s="214"/>
      <c r="J14" s="214"/>
      <c r="K14" s="214"/>
      <c r="L14" s="214"/>
      <c r="M14" s="214"/>
      <c r="N14" s="216"/>
      <c r="O14" s="216"/>
      <c r="P14" s="216"/>
      <c r="Q14" s="216"/>
      <c r="R14" s="216"/>
    </row>
    <row r="15" spans="2:18" ht="12.75" customHeight="1" x14ac:dyDescent="0.25">
      <c r="B15" s="217" t="s">
        <v>414</v>
      </c>
      <c r="C15" s="217"/>
      <c r="D15" s="217"/>
      <c r="E15" s="219" t="s">
        <v>436</v>
      </c>
      <c r="F15" s="219"/>
      <c r="G15" s="219"/>
      <c r="H15" s="219" t="s">
        <v>437</v>
      </c>
      <c r="I15" s="219"/>
      <c r="J15" s="219"/>
      <c r="K15" s="219"/>
      <c r="L15" s="219"/>
      <c r="M15" s="219"/>
      <c r="N15" s="219" t="s">
        <v>437</v>
      </c>
      <c r="O15" s="219"/>
      <c r="P15" s="219"/>
      <c r="Q15" s="219"/>
      <c r="R15" s="219"/>
    </row>
    <row r="16" spans="2:18" x14ac:dyDescent="0.25">
      <c r="B16" s="217"/>
      <c r="C16" s="217"/>
      <c r="D16" s="217"/>
      <c r="E16" s="220"/>
      <c r="F16" s="220"/>
      <c r="G16" s="220"/>
      <c r="H16" s="220"/>
      <c r="I16" s="220"/>
      <c r="J16" s="220"/>
      <c r="K16" s="220"/>
      <c r="L16" s="220"/>
      <c r="M16" s="220"/>
      <c r="N16" s="220"/>
      <c r="O16" s="220"/>
      <c r="P16" s="220"/>
      <c r="Q16" s="220"/>
      <c r="R16" s="220"/>
    </row>
    <row r="17" spans="2:18" x14ac:dyDescent="0.25">
      <c r="B17" s="218"/>
      <c r="C17" s="218"/>
      <c r="D17" s="218"/>
      <c r="E17" s="220"/>
      <c r="F17" s="220"/>
      <c r="G17" s="220"/>
      <c r="H17" s="220"/>
      <c r="I17" s="220"/>
      <c r="J17" s="220"/>
      <c r="K17" s="220"/>
      <c r="L17" s="220"/>
      <c r="M17" s="220"/>
      <c r="N17" s="220"/>
      <c r="O17" s="220"/>
      <c r="P17" s="220"/>
      <c r="Q17" s="220"/>
      <c r="R17" s="220"/>
    </row>
    <row r="18" spans="2:18" ht="12.75" customHeight="1" x14ac:dyDescent="0.25">
      <c r="B18" s="221" t="s">
        <v>438</v>
      </c>
      <c r="C18" s="221"/>
      <c r="D18" s="221"/>
      <c r="E18" s="220" t="s">
        <v>439</v>
      </c>
      <c r="F18" s="220"/>
      <c r="G18" s="220"/>
      <c r="H18" s="222" t="s">
        <v>440</v>
      </c>
      <c r="I18" s="220"/>
      <c r="J18" s="220"/>
      <c r="K18" s="220"/>
      <c r="L18" s="220"/>
      <c r="M18" s="220"/>
      <c r="N18" s="222" t="s">
        <v>440</v>
      </c>
      <c r="O18" s="220"/>
      <c r="P18" s="220"/>
      <c r="Q18" s="220"/>
      <c r="R18" s="220"/>
    </row>
    <row r="19" spans="2:18" x14ac:dyDescent="0.25">
      <c r="B19" s="217"/>
      <c r="C19" s="217"/>
      <c r="D19" s="217"/>
      <c r="E19" s="220"/>
      <c r="F19" s="220"/>
      <c r="G19" s="220"/>
      <c r="H19" s="220"/>
      <c r="I19" s="220"/>
      <c r="J19" s="220"/>
      <c r="K19" s="220"/>
      <c r="L19" s="220"/>
      <c r="M19" s="220"/>
      <c r="N19" s="220"/>
      <c r="O19" s="220"/>
      <c r="P19" s="220"/>
      <c r="Q19" s="220"/>
      <c r="R19" s="220"/>
    </row>
    <row r="20" spans="2:18" x14ac:dyDescent="0.25">
      <c r="B20" s="218"/>
      <c r="C20" s="218"/>
      <c r="D20" s="218"/>
      <c r="E20" s="220"/>
      <c r="F20" s="220"/>
      <c r="G20" s="220"/>
      <c r="H20" s="220"/>
      <c r="I20" s="220"/>
      <c r="J20" s="220"/>
      <c r="K20" s="220"/>
      <c r="L20" s="220"/>
      <c r="M20" s="220"/>
      <c r="N20" s="220"/>
      <c r="O20" s="220"/>
      <c r="P20" s="220"/>
      <c r="Q20" s="220"/>
      <c r="R20" s="220"/>
    </row>
    <row r="21" spans="2:18" x14ac:dyDescent="0.25">
      <c r="B21" s="223" t="s">
        <v>441</v>
      </c>
      <c r="C21" s="223"/>
      <c r="D21" s="223"/>
      <c r="E21" s="220" t="s">
        <v>442</v>
      </c>
      <c r="F21" s="220"/>
      <c r="G21" s="220"/>
      <c r="H21" s="220" t="s">
        <v>442</v>
      </c>
      <c r="I21" s="220"/>
      <c r="J21" s="220"/>
      <c r="K21" s="220"/>
      <c r="L21" s="220"/>
      <c r="M21" s="220"/>
      <c r="N21" s="220" t="s">
        <v>442</v>
      </c>
      <c r="O21" s="220"/>
      <c r="P21" s="220"/>
      <c r="Q21" s="220"/>
      <c r="R21" s="220"/>
    </row>
    <row r="22" spans="2:18" x14ac:dyDescent="0.25">
      <c r="B22" s="224" t="s">
        <v>438</v>
      </c>
      <c r="C22" s="224"/>
      <c r="D22" s="224"/>
      <c r="E22" s="220"/>
      <c r="F22" s="220"/>
      <c r="G22" s="220"/>
      <c r="H22" s="220"/>
      <c r="I22" s="220"/>
      <c r="J22" s="220"/>
      <c r="K22" s="220"/>
      <c r="L22" s="220"/>
      <c r="M22" s="220"/>
      <c r="N22" s="220"/>
      <c r="O22" s="220"/>
      <c r="P22" s="220"/>
      <c r="Q22" s="220"/>
      <c r="R22" s="220"/>
    </row>
    <row r="23" spans="2:18" x14ac:dyDescent="0.25">
      <c r="B23" s="224" t="s">
        <v>443</v>
      </c>
      <c r="C23" s="224"/>
      <c r="D23" s="224"/>
      <c r="E23" s="220"/>
      <c r="F23" s="220"/>
      <c r="G23" s="220"/>
      <c r="H23" s="220"/>
      <c r="I23" s="220"/>
      <c r="J23" s="220"/>
      <c r="K23" s="220"/>
      <c r="L23" s="220"/>
      <c r="M23" s="220"/>
      <c r="N23" s="220"/>
      <c r="O23" s="220"/>
      <c r="P23" s="220"/>
      <c r="Q23" s="220"/>
      <c r="R23" s="220"/>
    </row>
    <row r="24" spans="2:18" ht="25.5" customHeight="1" x14ac:dyDescent="0.25">
      <c r="B24" s="225" t="s">
        <v>444</v>
      </c>
      <c r="C24" s="225"/>
      <c r="D24" s="225"/>
      <c r="E24" s="220"/>
      <c r="F24" s="220"/>
      <c r="G24" s="220"/>
      <c r="H24" s="220"/>
      <c r="I24" s="220"/>
      <c r="J24" s="220"/>
      <c r="K24" s="220"/>
      <c r="L24" s="220"/>
      <c r="M24" s="220"/>
      <c r="N24" s="220"/>
      <c r="O24" s="220"/>
      <c r="P24" s="220"/>
      <c r="Q24" s="220"/>
      <c r="R24" s="220"/>
    </row>
    <row r="25" spans="2:18" x14ac:dyDescent="0.25">
      <c r="B25" s="223" t="s">
        <v>445</v>
      </c>
      <c r="C25" s="223"/>
      <c r="D25" s="223"/>
      <c r="E25" s="220" t="s">
        <v>446</v>
      </c>
      <c r="F25" s="220"/>
      <c r="G25" s="220"/>
      <c r="H25" s="220" t="s">
        <v>446</v>
      </c>
      <c r="I25" s="220"/>
      <c r="J25" s="220"/>
      <c r="K25" s="220"/>
      <c r="L25" s="220"/>
      <c r="M25" s="220"/>
      <c r="N25" s="220" t="s">
        <v>446</v>
      </c>
      <c r="O25" s="220"/>
      <c r="P25" s="220"/>
      <c r="Q25" s="220"/>
      <c r="R25" s="220"/>
    </row>
    <row r="26" spans="2:18" x14ac:dyDescent="0.25">
      <c r="B26" s="224" t="s">
        <v>438</v>
      </c>
      <c r="C26" s="224"/>
      <c r="D26" s="224"/>
      <c r="E26" s="220"/>
      <c r="F26" s="220"/>
      <c r="G26" s="220"/>
      <c r="H26" s="220"/>
      <c r="I26" s="220"/>
      <c r="J26" s="220"/>
      <c r="K26" s="220"/>
      <c r="L26" s="220"/>
      <c r="M26" s="220"/>
      <c r="N26" s="220"/>
      <c r="O26" s="220"/>
      <c r="P26" s="220"/>
      <c r="Q26" s="220"/>
      <c r="R26" s="220"/>
    </row>
    <row r="27" spans="2:18" ht="25.5" customHeight="1" x14ac:dyDescent="0.25">
      <c r="B27" s="226" t="s">
        <v>447</v>
      </c>
      <c r="C27" s="226"/>
      <c r="D27" s="226"/>
      <c r="E27" s="220"/>
      <c r="F27" s="220"/>
      <c r="G27" s="220"/>
      <c r="H27" s="220"/>
      <c r="I27" s="220"/>
      <c r="J27" s="220"/>
      <c r="K27" s="220"/>
      <c r="L27" s="220"/>
      <c r="M27" s="220"/>
      <c r="N27" s="220"/>
      <c r="O27" s="220"/>
      <c r="P27" s="220"/>
      <c r="Q27" s="220"/>
      <c r="R27" s="220"/>
    </row>
    <row r="28" spans="2:18" ht="25.5" customHeight="1" x14ac:dyDescent="0.25">
      <c r="B28" s="225" t="s">
        <v>448</v>
      </c>
      <c r="C28" s="225"/>
      <c r="D28" s="225"/>
      <c r="E28" s="220"/>
      <c r="F28" s="220"/>
      <c r="G28" s="220"/>
      <c r="H28" s="220"/>
      <c r="I28" s="220"/>
      <c r="J28" s="220"/>
      <c r="K28" s="220"/>
      <c r="L28" s="220"/>
      <c r="M28" s="220"/>
      <c r="N28" s="220"/>
      <c r="O28" s="220"/>
      <c r="P28" s="220"/>
      <c r="Q28" s="220"/>
      <c r="R28" s="220"/>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3.2" x14ac:dyDescent="0.25"/>
  <cols>
    <col min="1" max="1" width="9.21875" style="3"/>
    <col min="6" max="6" width="9.21875" style="3"/>
    <col min="9" max="9" width="9.21875" style="3"/>
    <col min="14" max="14" width="9.21875" style="3"/>
    <col min="26" max="26" width="9.21875" style="3"/>
    <col min="30" max="30" width="9.21875" style="3"/>
    <col min="38" max="38" width="9.21875" style="3"/>
    <col min="39" max="40" width="9.21875" style="5"/>
    <col min="43" max="43" width="9.21875" style="3"/>
  </cols>
  <sheetData>
    <row r="1" spans="1:43" s="1" customFormat="1" ht="105.6" x14ac:dyDescent="0.25">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5">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5">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5">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5">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5">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5">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5">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5">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5">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5">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5">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5">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5">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5">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5">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5">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5">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5">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5">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5">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5">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5">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5">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5">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5">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5">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5">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5">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5">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5">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5">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5">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5">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5">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5">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5">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5">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5">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5">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5">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5">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5">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5">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5">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5">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5">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5">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5">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5">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5">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5">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5">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5">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5">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5">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5">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5">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5">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5">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5">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5">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5">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5">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5">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5">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5">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3.2" x14ac:dyDescent="0.25"/>
  <cols>
    <col min="18" max="23" width="9.21875" customWidth="1"/>
  </cols>
  <sheetData>
    <row r="1" spans="2:23" x14ac:dyDescent="0.25">
      <c r="B1">
        <v>100000</v>
      </c>
    </row>
    <row r="2" spans="2:23" x14ac:dyDescent="0.25">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5">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5">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5">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5">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5">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5">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5">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5">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5">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5">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5">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5">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5">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5">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5">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5">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5">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5">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5">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5">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5">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5">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5">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5">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5">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5">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5">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5">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5">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5">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5">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5">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5">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5">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5">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5">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5">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5">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5">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5">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5">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5">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5">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5">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5">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5">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5">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5">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5">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5">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5">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5">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5">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5">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5">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5">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5">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5">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5">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5">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5">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5">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5">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5">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5">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5">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5">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5">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5">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5">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5">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5">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5">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5">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5">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5">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5">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5">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5">
      <c r="B84">
        <v>100000</v>
      </c>
    </row>
    <row r="85" spans="2:18" x14ac:dyDescent="0.25">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5">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5">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5">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5">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5">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5">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5">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5">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5">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5">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5">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5">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5">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5">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5">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5">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5">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5">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5">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5">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5">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5">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5">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5">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5">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5">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5">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5">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5">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5">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5">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5">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5">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5">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5">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5">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5">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5">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5">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5">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5">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5">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5">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5">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5">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5">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5">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5">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5">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5">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5">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5">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5">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5">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5">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5">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5">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5">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5">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5">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5">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5">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5">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5">
      <c r="C153" t="s">
        <v>1</v>
      </c>
      <c r="D153" t="s">
        <v>8</v>
      </c>
      <c r="E153" t="s">
        <v>21</v>
      </c>
      <c r="F153" t="s">
        <v>14</v>
      </c>
      <c r="G153" t="s">
        <v>12</v>
      </c>
      <c r="H153" t="s">
        <v>16</v>
      </c>
      <c r="I153" t="s">
        <v>25</v>
      </c>
      <c r="J153" t="s">
        <v>62</v>
      </c>
      <c r="K153" t="s">
        <v>63</v>
      </c>
      <c r="L153" t="s">
        <v>64</v>
      </c>
      <c r="M153" t="s">
        <v>79</v>
      </c>
      <c r="N153" t="s">
        <v>23</v>
      </c>
    </row>
    <row r="154" spans="2:18" x14ac:dyDescent="0.25">
      <c r="C154">
        <v>2</v>
      </c>
      <c r="D154">
        <v>3</v>
      </c>
      <c r="E154">
        <v>4</v>
      </c>
      <c r="F154">
        <v>5</v>
      </c>
      <c r="G154">
        <v>6</v>
      </c>
      <c r="H154">
        <v>7</v>
      </c>
      <c r="I154">
        <v>8</v>
      </c>
      <c r="J154">
        <v>9</v>
      </c>
      <c r="K154">
        <v>10</v>
      </c>
      <c r="L154">
        <v>11</v>
      </c>
      <c r="M154">
        <v>12</v>
      </c>
      <c r="N154">
        <v>13</v>
      </c>
    </row>
    <row r="155" spans="2:18" x14ac:dyDescent="0.25">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5">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5">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5">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5">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5">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5">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5">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5">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5">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5">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5">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5">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5">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5">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5">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5">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5">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5">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5">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5">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5">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5">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5">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5">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5">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5">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5">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5">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5">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5">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5">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5">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5">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5">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5">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5">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5">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5">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5">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5">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5">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5">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5">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5">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5">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5">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5">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5">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5">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5">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5">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5">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5">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5">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5">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5">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5">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5">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5">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5">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5">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5">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5">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5">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5">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5">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5">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5">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5">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5">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5">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5">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5">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5">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5">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5">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5">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5">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5">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5">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5">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5">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5">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5">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5">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5">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5">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5">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5">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5">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5">
      <c r="B246">
        <v>91</v>
      </c>
      <c r="C246" s="23">
        <v>0</v>
      </c>
      <c r="D246" s="23">
        <v>0</v>
      </c>
      <c r="E246" s="23">
        <v>0</v>
      </c>
      <c r="F246" s="23">
        <v>0</v>
      </c>
      <c r="G246" s="23">
        <v>0</v>
      </c>
      <c r="H246" s="23">
        <v>0</v>
      </c>
      <c r="I246" s="23">
        <v>0</v>
      </c>
      <c r="J246" s="23">
        <v>0</v>
      </c>
      <c r="K246" s="23">
        <v>0</v>
      </c>
      <c r="L246" s="23">
        <v>0</v>
      </c>
      <c r="M246" s="23">
        <v>0</v>
      </c>
      <c r="N246" s="23">
        <v>0</v>
      </c>
    </row>
    <row r="247" spans="2:14" x14ac:dyDescent="0.25">
      <c r="B247">
        <v>92</v>
      </c>
      <c r="C247" s="23">
        <v>0</v>
      </c>
      <c r="D247" s="23">
        <v>0</v>
      </c>
      <c r="E247" s="23">
        <v>0</v>
      </c>
      <c r="F247" s="23">
        <v>0</v>
      </c>
      <c r="G247" s="23">
        <v>0</v>
      </c>
      <c r="H247" s="23">
        <v>0</v>
      </c>
      <c r="I247" s="23">
        <v>0</v>
      </c>
      <c r="J247" s="23">
        <v>0</v>
      </c>
      <c r="K247" s="23">
        <v>0</v>
      </c>
      <c r="L247" s="23">
        <v>0</v>
      </c>
      <c r="M247" s="23">
        <v>0</v>
      </c>
      <c r="N247" s="23">
        <v>0</v>
      </c>
    </row>
    <row r="248" spans="2:14" x14ac:dyDescent="0.25">
      <c r="B248">
        <v>93</v>
      </c>
      <c r="C248" s="23">
        <v>0</v>
      </c>
      <c r="D248" s="23">
        <v>0</v>
      </c>
      <c r="E248" s="23">
        <v>0</v>
      </c>
      <c r="F248" s="23">
        <v>0</v>
      </c>
      <c r="G248" s="23">
        <v>0</v>
      </c>
      <c r="H248" s="23">
        <v>0</v>
      </c>
      <c r="I248" s="23">
        <v>0</v>
      </c>
      <c r="J248" s="23">
        <v>0</v>
      </c>
      <c r="K248" s="23">
        <v>0</v>
      </c>
      <c r="L248" s="23">
        <v>0</v>
      </c>
      <c r="M248" s="23">
        <v>0</v>
      </c>
      <c r="N248" s="23">
        <v>0</v>
      </c>
    </row>
    <row r="249" spans="2:14" x14ac:dyDescent="0.25">
      <c r="B249">
        <v>94</v>
      </c>
      <c r="C249" s="23">
        <v>0</v>
      </c>
      <c r="D249" s="23">
        <v>0</v>
      </c>
      <c r="E249" s="23">
        <v>0</v>
      </c>
      <c r="F249" s="23">
        <v>0</v>
      </c>
      <c r="G249" s="23">
        <v>0</v>
      </c>
      <c r="H249" s="23">
        <v>0</v>
      </c>
      <c r="I249" s="23">
        <v>0</v>
      </c>
      <c r="J249" s="23">
        <v>0</v>
      </c>
      <c r="K249" s="23">
        <v>0</v>
      </c>
      <c r="L249" s="23">
        <v>0</v>
      </c>
      <c r="M249" s="23">
        <v>0</v>
      </c>
      <c r="N249" s="23">
        <v>0</v>
      </c>
    </row>
    <row r="250" spans="2:14" x14ac:dyDescent="0.25">
      <c r="B250">
        <v>95</v>
      </c>
      <c r="C250" s="23">
        <v>0</v>
      </c>
      <c r="D250" s="23">
        <v>0</v>
      </c>
      <c r="E250" s="23">
        <v>0</v>
      </c>
      <c r="F250" s="23">
        <v>0</v>
      </c>
      <c r="G250" s="23">
        <v>0</v>
      </c>
      <c r="H250" s="23">
        <v>0</v>
      </c>
      <c r="I250" s="23">
        <v>0</v>
      </c>
      <c r="J250" s="23">
        <v>0</v>
      </c>
      <c r="K250" s="23">
        <v>0</v>
      </c>
      <c r="L250" s="23">
        <v>0</v>
      </c>
      <c r="M250" s="23">
        <v>0</v>
      </c>
      <c r="N250" s="23">
        <v>0</v>
      </c>
    </row>
    <row r="251" spans="2:14" x14ac:dyDescent="0.25">
      <c r="B251">
        <v>96</v>
      </c>
      <c r="C251" s="23">
        <v>0</v>
      </c>
      <c r="D251" s="23">
        <v>0</v>
      </c>
      <c r="E251" s="23">
        <v>0</v>
      </c>
      <c r="F251" s="23">
        <v>0</v>
      </c>
      <c r="G251" s="23">
        <v>0</v>
      </c>
      <c r="H251" s="23">
        <v>0</v>
      </c>
      <c r="I251" s="23">
        <v>0</v>
      </c>
      <c r="J251" s="23">
        <v>0</v>
      </c>
      <c r="K251" s="23">
        <v>0</v>
      </c>
      <c r="L251" s="23">
        <v>0</v>
      </c>
      <c r="M251" s="23">
        <v>0</v>
      </c>
      <c r="N251" s="23">
        <v>0</v>
      </c>
    </row>
    <row r="252" spans="2:14" x14ac:dyDescent="0.25">
      <c r="B252">
        <v>97</v>
      </c>
      <c r="C252" s="23">
        <v>0</v>
      </c>
      <c r="D252" s="23">
        <v>0</v>
      </c>
      <c r="E252" s="23">
        <v>0</v>
      </c>
      <c r="F252" s="23">
        <v>0</v>
      </c>
      <c r="G252" s="23">
        <v>0</v>
      </c>
      <c r="H252" s="23">
        <v>0</v>
      </c>
      <c r="I252" s="23">
        <v>0</v>
      </c>
      <c r="J252" s="23">
        <v>0</v>
      </c>
      <c r="K252" s="23">
        <v>0</v>
      </c>
      <c r="L252" s="23">
        <v>0</v>
      </c>
      <c r="M252" s="23">
        <v>0</v>
      </c>
      <c r="N252" s="23">
        <v>0</v>
      </c>
    </row>
    <row r="253" spans="2:14" x14ac:dyDescent="0.25">
      <c r="B253">
        <v>98</v>
      </c>
      <c r="C253" s="23">
        <v>0</v>
      </c>
      <c r="D253" s="23">
        <v>0</v>
      </c>
      <c r="E253" s="23">
        <v>0</v>
      </c>
      <c r="F253" s="23">
        <v>0</v>
      </c>
      <c r="G253" s="23">
        <v>0</v>
      </c>
      <c r="H253" s="23">
        <v>0</v>
      </c>
      <c r="I253" s="23">
        <v>0</v>
      </c>
      <c r="J253" s="23">
        <v>0</v>
      </c>
      <c r="K253" s="23">
        <v>0</v>
      </c>
      <c r="L253" s="23">
        <v>0</v>
      </c>
      <c r="M253" s="23">
        <v>0</v>
      </c>
      <c r="N253" s="23">
        <v>0</v>
      </c>
    </row>
    <row r="254" spans="2:14" x14ac:dyDescent="0.25">
      <c r="B254">
        <v>99</v>
      </c>
      <c r="C254" s="23">
        <v>0</v>
      </c>
      <c r="D254" s="23">
        <v>0</v>
      </c>
      <c r="E254" s="23">
        <v>0</v>
      </c>
      <c r="F254" s="23">
        <v>0</v>
      </c>
      <c r="G254" s="23">
        <v>0</v>
      </c>
      <c r="H254" s="23">
        <v>0</v>
      </c>
      <c r="I254" s="23">
        <v>0</v>
      </c>
      <c r="J254" s="23">
        <v>0</v>
      </c>
      <c r="K254" s="23">
        <v>0</v>
      </c>
      <c r="L254" s="23">
        <v>0</v>
      </c>
      <c r="M254" s="23">
        <v>0</v>
      </c>
      <c r="N254" s="23">
        <v>0</v>
      </c>
    </row>
    <row r="255" spans="2:14" x14ac:dyDescent="0.25">
      <c r="B255">
        <v>100</v>
      </c>
      <c r="C255" s="23">
        <v>0</v>
      </c>
      <c r="D255" s="23">
        <v>0</v>
      </c>
      <c r="E255" s="23">
        <v>0</v>
      </c>
      <c r="F255" s="23">
        <v>0</v>
      </c>
      <c r="G255" s="23">
        <v>0</v>
      </c>
      <c r="H255" s="23">
        <v>0</v>
      </c>
      <c r="I255" s="23">
        <v>0</v>
      </c>
      <c r="J255" s="23">
        <v>0</v>
      </c>
      <c r="K255" s="23">
        <v>0</v>
      </c>
      <c r="L255" s="23">
        <v>0</v>
      </c>
      <c r="M255" s="23">
        <v>0</v>
      </c>
      <c r="N255" s="23">
        <v>0</v>
      </c>
    </row>
    <row r="260" spans="2:14" x14ac:dyDescent="0.25">
      <c r="C260" t="s">
        <v>1</v>
      </c>
      <c r="D260" t="s">
        <v>8</v>
      </c>
      <c r="E260" t="s">
        <v>21</v>
      </c>
      <c r="F260" t="s">
        <v>14</v>
      </c>
      <c r="G260" t="s">
        <v>12</v>
      </c>
      <c r="H260" t="s">
        <v>16</v>
      </c>
      <c r="I260" t="s">
        <v>25</v>
      </c>
      <c r="J260" t="s">
        <v>62</v>
      </c>
      <c r="K260" t="s">
        <v>63</v>
      </c>
      <c r="L260" t="s">
        <v>64</v>
      </c>
      <c r="M260" t="s">
        <v>79</v>
      </c>
      <c r="N260" t="s">
        <v>23</v>
      </c>
    </row>
    <row r="261" spans="2:14" x14ac:dyDescent="0.25">
      <c r="C261">
        <v>2</v>
      </c>
      <c r="D261">
        <v>3</v>
      </c>
      <c r="E261">
        <v>4</v>
      </c>
      <c r="F261">
        <v>5</v>
      </c>
      <c r="G261">
        <v>6</v>
      </c>
      <c r="H261">
        <v>7</v>
      </c>
      <c r="I261">
        <v>8</v>
      </c>
      <c r="J261">
        <v>9</v>
      </c>
      <c r="K261">
        <v>10</v>
      </c>
      <c r="L261">
        <v>11</v>
      </c>
      <c r="M261">
        <v>12</v>
      </c>
      <c r="N261">
        <v>13</v>
      </c>
    </row>
    <row r="262" spans="2:14" x14ac:dyDescent="0.25">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5">
      <c r="B263">
        <v>1</v>
      </c>
      <c r="C263">
        <v>0</v>
      </c>
      <c r="D263">
        <v>0</v>
      </c>
      <c r="E263">
        <v>0</v>
      </c>
      <c r="F263">
        <v>0</v>
      </c>
      <c r="G263">
        <v>0</v>
      </c>
      <c r="H263">
        <v>0</v>
      </c>
      <c r="I263">
        <v>0</v>
      </c>
      <c r="J263">
        <v>0</v>
      </c>
      <c r="K263">
        <v>0</v>
      </c>
      <c r="L263">
        <v>0</v>
      </c>
      <c r="M263">
        <v>6000</v>
      </c>
      <c r="N263">
        <v>12000</v>
      </c>
    </row>
    <row r="264" spans="2:14" x14ac:dyDescent="0.25">
      <c r="B264">
        <v>2</v>
      </c>
      <c r="C264">
        <v>0</v>
      </c>
      <c r="D264">
        <v>0</v>
      </c>
      <c r="E264">
        <v>0</v>
      </c>
      <c r="F264">
        <v>0</v>
      </c>
      <c r="G264">
        <v>0</v>
      </c>
      <c r="H264">
        <v>0</v>
      </c>
      <c r="I264">
        <v>0</v>
      </c>
      <c r="J264">
        <v>0</v>
      </c>
      <c r="K264">
        <v>0</v>
      </c>
      <c r="L264">
        <v>0</v>
      </c>
      <c r="M264">
        <v>6000</v>
      </c>
      <c r="N264">
        <v>12000</v>
      </c>
    </row>
    <row r="265" spans="2:14" x14ac:dyDescent="0.25">
      <c r="B265">
        <v>3</v>
      </c>
      <c r="C265">
        <v>0</v>
      </c>
      <c r="D265">
        <v>0</v>
      </c>
      <c r="E265">
        <v>0</v>
      </c>
      <c r="F265">
        <v>0</v>
      </c>
      <c r="G265">
        <v>0</v>
      </c>
      <c r="H265">
        <v>0</v>
      </c>
      <c r="I265">
        <v>0</v>
      </c>
      <c r="J265">
        <v>0</v>
      </c>
      <c r="K265">
        <v>0</v>
      </c>
      <c r="L265">
        <v>0</v>
      </c>
      <c r="M265">
        <v>6000</v>
      </c>
      <c r="N265">
        <v>12000</v>
      </c>
    </row>
    <row r="266" spans="2:14" x14ac:dyDescent="0.25">
      <c r="B266">
        <v>4</v>
      </c>
      <c r="C266">
        <v>0</v>
      </c>
      <c r="D266">
        <v>0</v>
      </c>
      <c r="E266">
        <v>0</v>
      </c>
      <c r="F266">
        <v>0</v>
      </c>
      <c r="G266">
        <v>0</v>
      </c>
      <c r="H266">
        <v>0</v>
      </c>
      <c r="I266">
        <v>0</v>
      </c>
      <c r="J266">
        <v>0</v>
      </c>
      <c r="K266">
        <v>0</v>
      </c>
      <c r="L266">
        <v>0</v>
      </c>
      <c r="M266">
        <v>6000</v>
      </c>
      <c r="N266">
        <v>12000</v>
      </c>
    </row>
    <row r="267" spans="2:14" x14ac:dyDescent="0.25">
      <c r="B267">
        <v>5</v>
      </c>
      <c r="C267">
        <v>0</v>
      </c>
      <c r="D267">
        <v>0</v>
      </c>
      <c r="E267">
        <v>0</v>
      </c>
      <c r="F267">
        <v>0</v>
      </c>
      <c r="G267">
        <v>0</v>
      </c>
      <c r="H267">
        <v>0</v>
      </c>
      <c r="I267">
        <v>0</v>
      </c>
      <c r="J267">
        <v>0</v>
      </c>
      <c r="K267">
        <v>0</v>
      </c>
      <c r="L267">
        <v>0</v>
      </c>
      <c r="M267">
        <v>6000</v>
      </c>
      <c r="N267">
        <v>12000</v>
      </c>
    </row>
    <row r="268" spans="2:14" x14ac:dyDescent="0.25">
      <c r="B268">
        <v>6</v>
      </c>
      <c r="C268">
        <v>0</v>
      </c>
      <c r="D268">
        <v>0</v>
      </c>
      <c r="E268">
        <v>0</v>
      </c>
      <c r="F268">
        <v>0</v>
      </c>
      <c r="G268">
        <v>0</v>
      </c>
      <c r="H268">
        <v>0</v>
      </c>
      <c r="I268">
        <v>0</v>
      </c>
      <c r="J268">
        <v>0</v>
      </c>
      <c r="K268">
        <v>0</v>
      </c>
      <c r="L268">
        <v>0</v>
      </c>
      <c r="M268">
        <v>6000</v>
      </c>
      <c r="N268">
        <v>12000</v>
      </c>
    </row>
    <row r="269" spans="2:14" x14ac:dyDescent="0.25">
      <c r="B269">
        <v>7</v>
      </c>
      <c r="C269">
        <v>0</v>
      </c>
      <c r="D269">
        <v>0</v>
      </c>
      <c r="E269">
        <v>0</v>
      </c>
      <c r="F269">
        <v>0</v>
      </c>
      <c r="G269">
        <v>0</v>
      </c>
      <c r="H269">
        <v>0</v>
      </c>
      <c r="I269">
        <v>0</v>
      </c>
      <c r="J269">
        <v>0</v>
      </c>
      <c r="K269">
        <v>0</v>
      </c>
      <c r="L269">
        <v>0</v>
      </c>
      <c r="M269">
        <v>6000</v>
      </c>
      <c r="N269">
        <v>12000</v>
      </c>
    </row>
    <row r="270" spans="2:14" x14ac:dyDescent="0.25">
      <c r="B270">
        <v>8</v>
      </c>
      <c r="C270">
        <v>0</v>
      </c>
      <c r="D270">
        <v>0</v>
      </c>
      <c r="E270">
        <v>0</v>
      </c>
      <c r="F270">
        <v>0</v>
      </c>
      <c r="G270">
        <v>0</v>
      </c>
      <c r="H270">
        <v>0</v>
      </c>
      <c r="I270">
        <v>0</v>
      </c>
      <c r="J270">
        <v>0</v>
      </c>
      <c r="K270">
        <v>0</v>
      </c>
      <c r="L270">
        <v>0</v>
      </c>
      <c r="M270">
        <v>6000</v>
      </c>
      <c r="N270">
        <v>12000</v>
      </c>
    </row>
    <row r="271" spans="2:14" x14ac:dyDescent="0.25">
      <c r="B271">
        <v>9</v>
      </c>
      <c r="C271">
        <v>0</v>
      </c>
      <c r="D271">
        <v>0</v>
      </c>
      <c r="E271">
        <v>0</v>
      </c>
      <c r="F271">
        <v>0</v>
      </c>
      <c r="G271">
        <v>0</v>
      </c>
      <c r="H271">
        <v>0</v>
      </c>
      <c r="I271">
        <v>0</v>
      </c>
      <c r="J271">
        <v>0</v>
      </c>
      <c r="K271">
        <v>0</v>
      </c>
      <c r="L271">
        <v>0</v>
      </c>
      <c r="M271">
        <v>6000</v>
      </c>
      <c r="N271">
        <v>12000</v>
      </c>
    </row>
    <row r="272" spans="2:14" x14ac:dyDescent="0.25">
      <c r="B272">
        <v>10</v>
      </c>
      <c r="C272">
        <v>0</v>
      </c>
      <c r="D272">
        <v>0</v>
      </c>
      <c r="E272">
        <v>0</v>
      </c>
      <c r="F272">
        <v>0</v>
      </c>
      <c r="G272">
        <v>0</v>
      </c>
      <c r="H272">
        <v>0</v>
      </c>
      <c r="I272">
        <v>0</v>
      </c>
      <c r="J272">
        <v>0</v>
      </c>
      <c r="K272">
        <v>0</v>
      </c>
      <c r="L272">
        <v>0</v>
      </c>
      <c r="M272">
        <v>6000</v>
      </c>
      <c r="N272">
        <v>12000</v>
      </c>
    </row>
    <row r="273" spans="2:14" x14ac:dyDescent="0.25">
      <c r="B273">
        <v>11</v>
      </c>
      <c r="C273">
        <v>0</v>
      </c>
      <c r="D273">
        <v>240</v>
      </c>
      <c r="E273">
        <v>1800</v>
      </c>
      <c r="F273">
        <v>153000</v>
      </c>
      <c r="G273">
        <v>3810</v>
      </c>
      <c r="H273">
        <v>233000</v>
      </c>
      <c r="I273">
        <v>0</v>
      </c>
      <c r="J273">
        <v>0</v>
      </c>
      <c r="K273">
        <v>0</v>
      </c>
      <c r="L273">
        <v>0</v>
      </c>
      <c r="M273">
        <v>6000</v>
      </c>
      <c r="N273">
        <v>12000</v>
      </c>
    </row>
    <row r="274" spans="2:14" x14ac:dyDescent="0.25">
      <c r="B274">
        <v>12</v>
      </c>
      <c r="C274">
        <v>0</v>
      </c>
      <c r="D274">
        <v>240</v>
      </c>
      <c r="E274">
        <v>1800</v>
      </c>
      <c r="F274">
        <v>153000</v>
      </c>
      <c r="G274">
        <v>3810</v>
      </c>
      <c r="H274">
        <v>233000</v>
      </c>
      <c r="I274">
        <v>0</v>
      </c>
      <c r="J274">
        <v>0</v>
      </c>
      <c r="K274">
        <v>0</v>
      </c>
      <c r="L274">
        <v>0</v>
      </c>
      <c r="M274">
        <v>6000</v>
      </c>
      <c r="N274">
        <v>12000</v>
      </c>
    </row>
    <row r="275" spans="2:14" x14ac:dyDescent="0.25">
      <c r="B275">
        <v>13</v>
      </c>
      <c r="C275">
        <v>0</v>
      </c>
      <c r="D275">
        <v>240</v>
      </c>
      <c r="E275">
        <v>1800</v>
      </c>
      <c r="F275">
        <v>153000</v>
      </c>
      <c r="G275">
        <v>3810</v>
      </c>
      <c r="H275">
        <v>233000</v>
      </c>
      <c r="I275">
        <v>0</v>
      </c>
      <c r="J275">
        <v>0</v>
      </c>
      <c r="K275">
        <v>0</v>
      </c>
      <c r="L275">
        <v>0</v>
      </c>
      <c r="M275">
        <v>6000</v>
      </c>
      <c r="N275">
        <v>12000</v>
      </c>
    </row>
    <row r="276" spans="2:14" x14ac:dyDescent="0.25">
      <c r="B276">
        <v>14</v>
      </c>
      <c r="C276">
        <v>0</v>
      </c>
      <c r="D276">
        <v>240</v>
      </c>
      <c r="E276">
        <v>1800</v>
      </c>
      <c r="F276">
        <v>153000</v>
      </c>
      <c r="G276">
        <v>3810</v>
      </c>
      <c r="H276">
        <v>233000</v>
      </c>
      <c r="I276">
        <v>0</v>
      </c>
      <c r="J276">
        <v>0</v>
      </c>
      <c r="K276">
        <v>0</v>
      </c>
      <c r="L276">
        <v>0</v>
      </c>
      <c r="M276">
        <v>6000</v>
      </c>
      <c r="N276">
        <v>12000</v>
      </c>
    </row>
    <row r="277" spans="2:14" x14ac:dyDescent="0.25">
      <c r="B277">
        <v>15</v>
      </c>
      <c r="C277">
        <v>0</v>
      </c>
      <c r="D277">
        <v>240</v>
      </c>
      <c r="E277">
        <v>1800</v>
      </c>
      <c r="F277">
        <v>153000</v>
      </c>
      <c r="G277">
        <v>3810</v>
      </c>
      <c r="H277">
        <v>233000</v>
      </c>
      <c r="I277">
        <v>0</v>
      </c>
      <c r="J277">
        <v>0</v>
      </c>
      <c r="K277">
        <v>0</v>
      </c>
      <c r="L277">
        <v>0</v>
      </c>
      <c r="M277">
        <v>6000</v>
      </c>
      <c r="N277">
        <v>12000</v>
      </c>
    </row>
    <row r="278" spans="2:14" x14ac:dyDescent="0.25">
      <c r="B278">
        <v>16</v>
      </c>
      <c r="C278">
        <v>210</v>
      </c>
      <c r="D278">
        <v>240</v>
      </c>
      <c r="E278">
        <v>1800</v>
      </c>
      <c r="F278">
        <v>153000</v>
      </c>
      <c r="G278">
        <v>3810</v>
      </c>
      <c r="H278">
        <v>233000</v>
      </c>
      <c r="I278">
        <v>5600</v>
      </c>
      <c r="J278">
        <v>0</v>
      </c>
      <c r="K278">
        <v>0</v>
      </c>
      <c r="L278">
        <v>0</v>
      </c>
      <c r="M278">
        <v>6000</v>
      </c>
      <c r="N278">
        <v>12000</v>
      </c>
    </row>
    <row r="279" spans="2:14" x14ac:dyDescent="0.25">
      <c r="B279">
        <v>17</v>
      </c>
      <c r="C279">
        <v>210</v>
      </c>
      <c r="D279">
        <v>240</v>
      </c>
      <c r="E279">
        <v>1800</v>
      </c>
      <c r="F279">
        <v>153000</v>
      </c>
      <c r="G279">
        <v>3810</v>
      </c>
      <c r="H279">
        <v>233000</v>
      </c>
      <c r="I279">
        <v>5600</v>
      </c>
      <c r="J279">
        <v>0</v>
      </c>
      <c r="K279">
        <v>0</v>
      </c>
      <c r="L279">
        <v>0</v>
      </c>
      <c r="M279">
        <v>6000</v>
      </c>
      <c r="N279">
        <v>12000</v>
      </c>
    </row>
    <row r="280" spans="2:14" x14ac:dyDescent="0.25">
      <c r="B280">
        <v>18</v>
      </c>
      <c r="C280">
        <v>210</v>
      </c>
      <c r="D280">
        <v>240</v>
      </c>
      <c r="E280">
        <v>1800</v>
      </c>
      <c r="F280">
        <v>153000</v>
      </c>
      <c r="G280">
        <v>3810</v>
      </c>
      <c r="H280">
        <v>233000</v>
      </c>
      <c r="I280">
        <v>5600</v>
      </c>
      <c r="J280">
        <v>93</v>
      </c>
      <c r="K280">
        <v>127</v>
      </c>
      <c r="L280">
        <v>158</v>
      </c>
      <c r="M280">
        <v>6000</v>
      </c>
      <c r="N280">
        <v>12000</v>
      </c>
    </row>
    <row r="281" spans="2:14" x14ac:dyDescent="0.25">
      <c r="B281">
        <v>19</v>
      </c>
      <c r="C281">
        <v>210</v>
      </c>
      <c r="D281">
        <v>240</v>
      </c>
      <c r="E281">
        <v>1800</v>
      </c>
      <c r="F281">
        <v>153000</v>
      </c>
      <c r="G281">
        <v>3810</v>
      </c>
      <c r="H281">
        <v>233000</v>
      </c>
      <c r="I281">
        <v>5600</v>
      </c>
      <c r="J281">
        <v>93</v>
      </c>
      <c r="K281">
        <v>127</v>
      </c>
      <c r="L281">
        <v>158</v>
      </c>
      <c r="M281">
        <v>6000</v>
      </c>
      <c r="N281">
        <v>12000</v>
      </c>
    </row>
    <row r="282" spans="2:14" x14ac:dyDescent="0.25">
      <c r="B282">
        <v>20</v>
      </c>
      <c r="C282">
        <v>210</v>
      </c>
      <c r="D282">
        <v>240</v>
      </c>
      <c r="E282">
        <v>1800</v>
      </c>
      <c r="F282">
        <v>153000</v>
      </c>
      <c r="G282">
        <v>3810</v>
      </c>
      <c r="H282">
        <v>233000</v>
      </c>
      <c r="I282">
        <v>5600</v>
      </c>
      <c r="J282">
        <v>93</v>
      </c>
      <c r="K282">
        <v>127</v>
      </c>
      <c r="L282">
        <v>158</v>
      </c>
      <c r="M282">
        <v>6000</v>
      </c>
      <c r="N282">
        <v>12000</v>
      </c>
    </row>
    <row r="283" spans="2:14" x14ac:dyDescent="0.25">
      <c r="B283">
        <v>21</v>
      </c>
      <c r="C283">
        <v>210</v>
      </c>
      <c r="D283">
        <v>240</v>
      </c>
      <c r="E283">
        <v>1800</v>
      </c>
      <c r="F283">
        <v>153000</v>
      </c>
      <c r="G283">
        <v>3810</v>
      </c>
      <c r="H283">
        <v>233000</v>
      </c>
      <c r="I283">
        <v>5600</v>
      </c>
      <c r="J283">
        <v>93</v>
      </c>
      <c r="K283">
        <v>127</v>
      </c>
      <c r="L283">
        <v>158</v>
      </c>
      <c r="M283">
        <v>6000</v>
      </c>
      <c r="N283">
        <v>12000</v>
      </c>
    </row>
    <row r="284" spans="2:14" x14ac:dyDescent="0.25">
      <c r="B284">
        <v>22</v>
      </c>
      <c r="C284">
        <v>210</v>
      </c>
      <c r="D284">
        <v>240</v>
      </c>
      <c r="E284">
        <v>1800</v>
      </c>
      <c r="F284">
        <v>153000</v>
      </c>
      <c r="G284">
        <v>3810</v>
      </c>
      <c r="H284">
        <v>233000</v>
      </c>
      <c r="I284">
        <v>5600</v>
      </c>
      <c r="J284">
        <v>93</v>
      </c>
      <c r="K284">
        <v>127</v>
      </c>
      <c r="L284">
        <v>158</v>
      </c>
      <c r="M284">
        <v>6000</v>
      </c>
      <c r="N284">
        <v>12000</v>
      </c>
    </row>
    <row r="285" spans="2:14" x14ac:dyDescent="0.25">
      <c r="B285">
        <v>23</v>
      </c>
      <c r="C285">
        <v>210</v>
      </c>
      <c r="D285">
        <v>240</v>
      </c>
      <c r="E285">
        <v>1800</v>
      </c>
      <c r="F285">
        <v>153000</v>
      </c>
      <c r="G285">
        <v>3810</v>
      </c>
      <c r="H285">
        <v>233000</v>
      </c>
      <c r="I285">
        <v>5600</v>
      </c>
      <c r="J285">
        <v>93</v>
      </c>
      <c r="K285">
        <v>127</v>
      </c>
      <c r="L285">
        <v>158</v>
      </c>
      <c r="M285">
        <v>6000</v>
      </c>
      <c r="N285">
        <v>12000</v>
      </c>
    </row>
    <row r="286" spans="2:14" x14ac:dyDescent="0.25">
      <c r="B286">
        <v>24</v>
      </c>
      <c r="C286">
        <v>210</v>
      </c>
      <c r="D286">
        <v>240</v>
      </c>
      <c r="E286">
        <v>1800</v>
      </c>
      <c r="F286">
        <v>153000</v>
      </c>
      <c r="G286">
        <v>3810</v>
      </c>
      <c r="H286">
        <v>233000</v>
      </c>
      <c r="I286">
        <v>5600</v>
      </c>
      <c r="J286">
        <v>93</v>
      </c>
      <c r="K286">
        <v>127</v>
      </c>
      <c r="L286">
        <v>158</v>
      </c>
      <c r="M286">
        <v>6000</v>
      </c>
      <c r="N286">
        <v>12000</v>
      </c>
    </row>
    <row r="287" spans="2:14" x14ac:dyDescent="0.25">
      <c r="B287">
        <v>25</v>
      </c>
      <c r="C287">
        <v>210</v>
      </c>
      <c r="D287">
        <v>240</v>
      </c>
      <c r="E287">
        <v>1800</v>
      </c>
      <c r="F287">
        <v>153000</v>
      </c>
      <c r="G287">
        <v>3810</v>
      </c>
      <c r="H287">
        <v>233000</v>
      </c>
      <c r="I287">
        <v>5600</v>
      </c>
      <c r="J287">
        <v>93</v>
      </c>
      <c r="K287">
        <v>127</v>
      </c>
      <c r="L287">
        <v>158</v>
      </c>
      <c r="M287">
        <v>6000</v>
      </c>
      <c r="N287">
        <v>12000</v>
      </c>
    </row>
    <row r="288" spans="2:14" x14ac:dyDescent="0.25">
      <c r="B288">
        <v>26</v>
      </c>
      <c r="C288">
        <v>210</v>
      </c>
      <c r="D288">
        <v>240</v>
      </c>
      <c r="E288">
        <v>1800</v>
      </c>
      <c r="F288">
        <v>153000</v>
      </c>
      <c r="G288">
        <v>3810</v>
      </c>
      <c r="H288">
        <v>233000</v>
      </c>
      <c r="I288">
        <v>5600</v>
      </c>
      <c r="J288">
        <v>144</v>
      </c>
      <c r="K288">
        <v>197</v>
      </c>
      <c r="L288">
        <v>246</v>
      </c>
      <c r="M288">
        <v>6000</v>
      </c>
      <c r="N288">
        <v>12000</v>
      </c>
    </row>
    <row r="289" spans="2:14" x14ac:dyDescent="0.25">
      <c r="B289">
        <v>27</v>
      </c>
      <c r="C289">
        <v>210</v>
      </c>
      <c r="D289">
        <v>240</v>
      </c>
      <c r="E289">
        <v>1800</v>
      </c>
      <c r="F289">
        <v>153000</v>
      </c>
      <c r="G289">
        <v>3810</v>
      </c>
      <c r="H289">
        <v>233000</v>
      </c>
      <c r="I289">
        <v>5600</v>
      </c>
      <c r="J289">
        <v>144</v>
      </c>
      <c r="K289">
        <v>197</v>
      </c>
      <c r="L289">
        <v>246</v>
      </c>
      <c r="M289">
        <v>6000</v>
      </c>
      <c r="N289">
        <v>12000</v>
      </c>
    </row>
    <row r="290" spans="2:14" x14ac:dyDescent="0.25">
      <c r="B290">
        <v>28</v>
      </c>
      <c r="C290">
        <v>210</v>
      </c>
      <c r="D290">
        <v>240</v>
      </c>
      <c r="E290">
        <v>1800</v>
      </c>
      <c r="F290">
        <v>153000</v>
      </c>
      <c r="G290">
        <v>3810</v>
      </c>
      <c r="H290">
        <v>233000</v>
      </c>
      <c r="I290">
        <v>5600</v>
      </c>
      <c r="J290">
        <v>144</v>
      </c>
      <c r="K290">
        <v>197</v>
      </c>
      <c r="L290">
        <v>246</v>
      </c>
      <c r="M290">
        <v>6000</v>
      </c>
      <c r="N290">
        <v>12000</v>
      </c>
    </row>
    <row r="291" spans="2:14" x14ac:dyDescent="0.25">
      <c r="B291">
        <v>29</v>
      </c>
      <c r="C291">
        <v>210</v>
      </c>
      <c r="D291">
        <v>240</v>
      </c>
      <c r="E291">
        <v>1800</v>
      </c>
      <c r="F291">
        <v>153000</v>
      </c>
      <c r="G291">
        <v>3810</v>
      </c>
      <c r="H291">
        <v>233000</v>
      </c>
      <c r="I291">
        <v>5600</v>
      </c>
      <c r="J291">
        <v>144</v>
      </c>
      <c r="K291">
        <v>197</v>
      </c>
      <c r="L291">
        <v>246</v>
      </c>
      <c r="M291">
        <v>6000</v>
      </c>
      <c r="N291">
        <v>12000</v>
      </c>
    </row>
    <row r="292" spans="2:14" x14ac:dyDescent="0.25">
      <c r="B292">
        <v>30</v>
      </c>
      <c r="C292">
        <v>210</v>
      </c>
      <c r="D292">
        <v>240</v>
      </c>
      <c r="E292">
        <v>1800</v>
      </c>
      <c r="F292">
        <v>153000</v>
      </c>
      <c r="G292">
        <v>3810</v>
      </c>
      <c r="H292">
        <v>233000</v>
      </c>
      <c r="I292">
        <v>5600</v>
      </c>
      <c r="J292">
        <v>144</v>
      </c>
      <c r="K292">
        <v>197</v>
      </c>
      <c r="L292">
        <v>246</v>
      </c>
      <c r="M292">
        <v>6000</v>
      </c>
      <c r="N292">
        <v>12000</v>
      </c>
    </row>
    <row r="293" spans="2:14" x14ac:dyDescent="0.25">
      <c r="B293">
        <v>31</v>
      </c>
      <c r="C293">
        <v>210</v>
      </c>
      <c r="D293">
        <v>240</v>
      </c>
      <c r="E293">
        <v>1800</v>
      </c>
      <c r="F293">
        <v>153000</v>
      </c>
      <c r="G293">
        <v>3810</v>
      </c>
      <c r="H293">
        <v>397000</v>
      </c>
      <c r="I293">
        <v>9500</v>
      </c>
      <c r="J293">
        <v>276</v>
      </c>
      <c r="K293">
        <v>379</v>
      </c>
      <c r="L293">
        <v>474</v>
      </c>
      <c r="M293">
        <v>6000</v>
      </c>
      <c r="N293">
        <v>12000</v>
      </c>
    </row>
    <row r="294" spans="2:14" x14ac:dyDescent="0.25">
      <c r="B294">
        <v>32</v>
      </c>
      <c r="C294">
        <v>210</v>
      </c>
      <c r="D294">
        <v>240</v>
      </c>
      <c r="E294">
        <v>1800</v>
      </c>
      <c r="F294">
        <v>153000</v>
      </c>
      <c r="G294">
        <v>3810</v>
      </c>
      <c r="H294">
        <v>397000</v>
      </c>
      <c r="I294">
        <v>9500</v>
      </c>
      <c r="J294">
        <v>276</v>
      </c>
      <c r="K294">
        <v>379</v>
      </c>
      <c r="L294">
        <v>474</v>
      </c>
      <c r="M294">
        <v>6000</v>
      </c>
      <c r="N294">
        <v>12000</v>
      </c>
    </row>
    <row r="295" spans="2:14" x14ac:dyDescent="0.25">
      <c r="B295">
        <v>33</v>
      </c>
      <c r="C295">
        <v>210</v>
      </c>
      <c r="D295">
        <v>240</v>
      </c>
      <c r="E295">
        <v>1800</v>
      </c>
      <c r="F295">
        <v>153000</v>
      </c>
      <c r="G295">
        <v>3810</v>
      </c>
      <c r="H295">
        <v>397000</v>
      </c>
      <c r="I295">
        <v>9500</v>
      </c>
      <c r="J295">
        <v>276</v>
      </c>
      <c r="K295">
        <v>379</v>
      </c>
      <c r="L295">
        <v>474</v>
      </c>
      <c r="M295">
        <v>6000</v>
      </c>
      <c r="N295">
        <v>12000</v>
      </c>
    </row>
    <row r="296" spans="2:14" x14ac:dyDescent="0.25">
      <c r="B296">
        <v>34</v>
      </c>
      <c r="C296">
        <v>210</v>
      </c>
      <c r="D296">
        <v>240</v>
      </c>
      <c r="E296">
        <v>1800</v>
      </c>
      <c r="F296">
        <v>153000</v>
      </c>
      <c r="G296">
        <v>3810</v>
      </c>
      <c r="H296">
        <v>397000</v>
      </c>
      <c r="I296">
        <v>9500</v>
      </c>
      <c r="J296">
        <v>276</v>
      </c>
      <c r="K296">
        <v>379</v>
      </c>
      <c r="L296">
        <v>474</v>
      </c>
      <c r="M296">
        <v>6000</v>
      </c>
      <c r="N296">
        <v>12000</v>
      </c>
    </row>
    <row r="297" spans="2:14" x14ac:dyDescent="0.25">
      <c r="B297">
        <v>35</v>
      </c>
      <c r="C297">
        <v>210</v>
      </c>
      <c r="D297">
        <v>240</v>
      </c>
      <c r="E297">
        <v>1800</v>
      </c>
      <c r="F297">
        <v>153000</v>
      </c>
      <c r="G297">
        <v>3810</v>
      </c>
      <c r="H297">
        <v>397000</v>
      </c>
      <c r="I297">
        <v>9500</v>
      </c>
      <c r="J297">
        <v>276</v>
      </c>
      <c r="K297">
        <v>379</v>
      </c>
      <c r="L297">
        <v>474</v>
      </c>
      <c r="M297">
        <v>6000</v>
      </c>
      <c r="N297">
        <v>12000</v>
      </c>
    </row>
    <row r="298" spans="2:14" x14ac:dyDescent="0.25">
      <c r="B298">
        <v>36</v>
      </c>
      <c r="C298">
        <v>210</v>
      </c>
      <c r="D298">
        <v>240</v>
      </c>
      <c r="E298">
        <v>1800</v>
      </c>
      <c r="F298">
        <v>153000</v>
      </c>
      <c r="G298">
        <v>3810</v>
      </c>
      <c r="H298">
        <v>513000</v>
      </c>
      <c r="I298">
        <v>12700</v>
      </c>
      <c r="J298">
        <v>472</v>
      </c>
      <c r="K298">
        <v>660</v>
      </c>
      <c r="L298">
        <v>825</v>
      </c>
      <c r="M298">
        <v>6000</v>
      </c>
      <c r="N298">
        <v>12000</v>
      </c>
    </row>
    <row r="299" spans="2:14" x14ac:dyDescent="0.25">
      <c r="B299">
        <v>37</v>
      </c>
      <c r="C299">
        <v>210</v>
      </c>
      <c r="D299">
        <v>240</v>
      </c>
      <c r="E299">
        <v>1800</v>
      </c>
      <c r="F299">
        <v>153000</v>
      </c>
      <c r="G299">
        <v>3810</v>
      </c>
      <c r="H299">
        <v>513000</v>
      </c>
      <c r="I299">
        <v>12700</v>
      </c>
      <c r="J299">
        <v>472</v>
      </c>
      <c r="K299">
        <v>660</v>
      </c>
      <c r="L299">
        <v>825</v>
      </c>
      <c r="M299">
        <v>6000</v>
      </c>
      <c r="N299">
        <v>12000</v>
      </c>
    </row>
    <row r="300" spans="2:14" x14ac:dyDescent="0.25">
      <c r="B300">
        <v>38</v>
      </c>
      <c r="C300">
        <v>210</v>
      </c>
      <c r="D300">
        <v>240</v>
      </c>
      <c r="E300">
        <v>1800</v>
      </c>
      <c r="F300">
        <v>153000</v>
      </c>
      <c r="G300">
        <v>3810</v>
      </c>
      <c r="H300">
        <v>513000</v>
      </c>
      <c r="I300">
        <v>12700</v>
      </c>
      <c r="J300">
        <v>472</v>
      </c>
      <c r="K300">
        <v>660</v>
      </c>
      <c r="L300">
        <v>825</v>
      </c>
      <c r="M300">
        <v>6000</v>
      </c>
      <c r="N300">
        <v>12000</v>
      </c>
    </row>
    <row r="301" spans="2:14" x14ac:dyDescent="0.25">
      <c r="B301">
        <v>39</v>
      </c>
      <c r="C301">
        <v>210</v>
      </c>
      <c r="D301">
        <v>240</v>
      </c>
      <c r="E301">
        <v>1800</v>
      </c>
      <c r="F301">
        <v>153000</v>
      </c>
      <c r="G301">
        <v>3810</v>
      </c>
      <c r="H301">
        <v>513000</v>
      </c>
      <c r="I301">
        <v>12700</v>
      </c>
      <c r="J301">
        <v>472</v>
      </c>
      <c r="K301">
        <v>660</v>
      </c>
      <c r="L301">
        <v>825</v>
      </c>
      <c r="M301">
        <v>6000</v>
      </c>
      <c r="N301">
        <v>12000</v>
      </c>
    </row>
    <row r="302" spans="2:14" x14ac:dyDescent="0.25">
      <c r="B302">
        <v>40</v>
      </c>
      <c r="C302">
        <v>210</v>
      </c>
      <c r="D302">
        <v>240</v>
      </c>
      <c r="E302">
        <v>1800</v>
      </c>
      <c r="F302">
        <v>153000</v>
      </c>
      <c r="G302">
        <v>3810</v>
      </c>
      <c r="H302">
        <v>513000</v>
      </c>
      <c r="I302">
        <v>12700</v>
      </c>
      <c r="J302">
        <v>472</v>
      </c>
      <c r="K302">
        <v>660</v>
      </c>
      <c r="L302">
        <v>825</v>
      </c>
      <c r="M302">
        <v>6000</v>
      </c>
      <c r="N302">
        <v>12000</v>
      </c>
    </row>
    <row r="303" spans="2:14" x14ac:dyDescent="0.25">
      <c r="B303">
        <v>41</v>
      </c>
      <c r="C303">
        <v>210</v>
      </c>
      <c r="D303">
        <v>240</v>
      </c>
      <c r="E303">
        <v>1800</v>
      </c>
      <c r="F303">
        <v>153000</v>
      </c>
      <c r="G303">
        <v>3810</v>
      </c>
      <c r="H303">
        <v>616000</v>
      </c>
      <c r="I303">
        <v>16100</v>
      </c>
      <c r="J303">
        <v>861</v>
      </c>
      <c r="K303">
        <v>1237</v>
      </c>
      <c r="L303">
        <v>1546</v>
      </c>
      <c r="M303">
        <v>6000</v>
      </c>
      <c r="N303">
        <v>12000</v>
      </c>
    </row>
    <row r="304" spans="2:14" x14ac:dyDescent="0.25">
      <c r="B304">
        <v>42</v>
      </c>
      <c r="C304">
        <v>210</v>
      </c>
      <c r="D304">
        <v>240</v>
      </c>
      <c r="E304">
        <v>1800</v>
      </c>
      <c r="F304">
        <v>153000</v>
      </c>
      <c r="G304">
        <v>3810</v>
      </c>
      <c r="H304">
        <v>616000</v>
      </c>
      <c r="I304">
        <v>16100</v>
      </c>
      <c r="J304">
        <v>861</v>
      </c>
      <c r="K304">
        <v>1237</v>
      </c>
      <c r="L304">
        <v>1546</v>
      </c>
      <c r="M304">
        <v>6000</v>
      </c>
      <c r="N304">
        <v>12000</v>
      </c>
    </row>
    <row r="305" spans="2:14" x14ac:dyDescent="0.25">
      <c r="B305">
        <v>43</v>
      </c>
      <c r="C305">
        <v>210</v>
      </c>
      <c r="D305">
        <v>240</v>
      </c>
      <c r="E305">
        <v>1800</v>
      </c>
      <c r="F305">
        <v>153000</v>
      </c>
      <c r="G305">
        <v>3810</v>
      </c>
      <c r="H305">
        <v>616000</v>
      </c>
      <c r="I305">
        <v>16100</v>
      </c>
      <c r="J305">
        <v>861</v>
      </c>
      <c r="K305">
        <v>1237</v>
      </c>
      <c r="L305">
        <v>1546</v>
      </c>
      <c r="M305">
        <v>6000</v>
      </c>
      <c r="N305">
        <v>12000</v>
      </c>
    </row>
    <row r="306" spans="2:14" x14ac:dyDescent="0.25">
      <c r="B306">
        <v>44</v>
      </c>
      <c r="C306">
        <v>210</v>
      </c>
      <c r="D306">
        <v>240</v>
      </c>
      <c r="E306">
        <v>1800</v>
      </c>
      <c r="F306">
        <v>153000</v>
      </c>
      <c r="G306">
        <v>3810</v>
      </c>
      <c r="H306">
        <v>616000</v>
      </c>
      <c r="I306">
        <v>16100</v>
      </c>
      <c r="J306">
        <v>861</v>
      </c>
      <c r="K306">
        <v>1237</v>
      </c>
      <c r="L306">
        <v>1546</v>
      </c>
      <c r="M306">
        <v>6000</v>
      </c>
      <c r="N306">
        <v>12000</v>
      </c>
    </row>
    <row r="307" spans="2:14" x14ac:dyDescent="0.25">
      <c r="B307">
        <v>45</v>
      </c>
      <c r="C307">
        <v>210</v>
      </c>
      <c r="D307">
        <v>240</v>
      </c>
      <c r="E307">
        <v>1800</v>
      </c>
      <c r="F307">
        <v>153000</v>
      </c>
      <c r="G307">
        <v>3810</v>
      </c>
      <c r="H307">
        <v>616000</v>
      </c>
      <c r="I307">
        <v>16100</v>
      </c>
      <c r="J307">
        <v>861</v>
      </c>
      <c r="K307">
        <v>1237</v>
      </c>
      <c r="L307">
        <v>1546</v>
      </c>
      <c r="M307">
        <v>6000</v>
      </c>
      <c r="N307">
        <v>12000</v>
      </c>
    </row>
    <row r="308" spans="2:14" x14ac:dyDescent="0.25">
      <c r="B308">
        <v>46</v>
      </c>
      <c r="C308">
        <v>210</v>
      </c>
      <c r="D308">
        <v>240</v>
      </c>
      <c r="E308">
        <v>1800</v>
      </c>
      <c r="F308">
        <v>153000</v>
      </c>
      <c r="G308">
        <v>3810</v>
      </c>
      <c r="H308">
        <v>692000</v>
      </c>
      <c r="I308">
        <v>19000</v>
      </c>
      <c r="J308">
        <v>1390</v>
      </c>
      <c r="K308">
        <v>2050</v>
      </c>
      <c r="L308">
        <v>2563</v>
      </c>
      <c r="M308">
        <v>6000</v>
      </c>
      <c r="N308">
        <v>12000</v>
      </c>
    </row>
    <row r="309" spans="2:14" x14ac:dyDescent="0.25">
      <c r="B309">
        <v>47</v>
      </c>
      <c r="C309">
        <v>210</v>
      </c>
      <c r="D309">
        <v>240</v>
      </c>
      <c r="E309">
        <v>1800</v>
      </c>
      <c r="F309">
        <v>153000</v>
      </c>
      <c r="G309">
        <v>3810</v>
      </c>
      <c r="H309">
        <v>692000</v>
      </c>
      <c r="I309">
        <v>19000</v>
      </c>
      <c r="J309">
        <v>1390</v>
      </c>
      <c r="K309">
        <v>2050</v>
      </c>
      <c r="L309">
        <v>2563</v>
      </c>
      <c r="M309">
        <v>6000</v>
      </c>
      <c r="N309">
        <v>12000</v>
      </c>
    </row>
    <row r="310" spans="2:14" x14ac:dyDescent="0.25">
      <c r="B310">
        <v>48</v>
      </c>
      <c r="C310">
        <v>210</v>
      </c>
      <c r="D310">
        <v>240</v>
      </c>
      <c r="E310">
        <v>1800</v>
      </c>
      <c r="F310">
        <v>153000</v>
      </c>
      <c r="G310">
        <v>3810</v>
      </c>
      <c r="H310">
        <v>692000</v>
      </c>
      <c r="I310">
        <v>19000</v>
      </c>
      <c r="J310">
        <v>1390</v>
      </c>
      <c r="K310">
        <v>2050</v>
      </c>
      <c r="L310">
        <v>2563</v>
      </c>
      <c r="M310">
        <v>6000</v>
      </c>
      <c r="N310">
        <v>12000</v>
      </c>
    </row>
    <row r="311" spans="2:14" x14ac:dyDescent="0.25">
      <c r="B311">
        <v>49</v>
      </c>
      <c r="C311">
        <v>210</v>
      </c>
      <c r="D311">
        <v>240</v>
      </c>
      <c r="E311">
        <v>1800</v>
      </c>
      <c r="F311">
        <v>153000</v>
      </c>
      <c r="G311">
        <v>3810</v>
      </c>
      <c r="H311">
        <v>692000</v>
      </c>
      <c r="I311">
        <v>19000</v>
      </c>
      <c r="J311">
        <v>1390</v>
      </c>
      <c r="K311">
        <v>2050</v>
      </c>
      <c r="L311">
        <v>2563</v>
      </c>
      <c r="M311">
        <v>6000</v>
      </c>
      <c r="N311">
        <v>12000</v>
      </c>
    </row>
    <row r="312" spans="2:14" x14ac:dyDescent="0.25">
      <c r="B312">
        <v>50</v>
      </c>
      <c r="C312">
        <v>210</v>
      </c>
      <c r="D312">
        <v>240</v>
      </c>
      <c r="E312">
        <v>1800</v>
      </c>
      <c r="F312">
        <v>153000</v>
      </c>
      <c r="G312">
        <v>3810</v>
      </c>
      <c r="H312">
        <v>692000</v>
      </c>
      <c r="I312">
        <v>19000</v>
      </c>
      <c r="J312">
        <v>1390</v>
      </c>
      <c r="K312">
        <v>2050</v>
      </c>
      <c r="L312">
        <v>2563</v>
      </c>
      <c r="M312">
        <v>6000</v>
      </c>
      <c r="N312">
        <v>12000</v>
      </c>
    </row>
    <row r="313" spans="2:14" x14ac:dyDescent="0.25">
      <c r="B313">
        <v>51</v>
      </c>
      <c r="C313">
        <v>210</v>
      </c>
      <c r="D313">
        <v>240</v>
      </c>
      <c r="E313">
        <v>1800</v>
      </c>
      <c r="F313">
        <v>153000</v>
      </c>
      <c r="G313">
        <v>3810</v>
      </c>
      <c r="H313">
        <v>724000</v>
      </c>
      <c r="I313">
        <v>21300</v>
      </c>
      <c r="J313">
        <v>2018</v>
      </c>
      <c r="K313">
        <v>3117</v>
      </c>
      <c r="L313">
        <v>3897</v>
      </c>
      <c r="M313">
        <v>6000</v>
      </c>
      <c r="N313">
        <v>12000</v>
      </c>
    </row>
    <row r="314" spans="2:14" x14ac:dyDescent="0.25">
      <c r="B314">
        <v>52</v>
      </c>
      <c r="C314">
        <v>210</v>
      </c>
      <c r="D314">
        <v>240</v>
      </c>
      <c r="E314">
        <v>1800</v>
      </c>
      <c r="F314">
        <v>153000</v>
      </c>
      <c r="G314">
        <v>3810</v>
      </c>
      <c r="H314">
        <v>724000</v>
      </c>
      <c r="I314">
        <v>21300</v>
      </c>
      <c r="J314">
        <v>2018</v>
      </c>
      <c r="K314">
        <v>3117</v>
      </c>
      <c r="L314">
        <v>3897</v>
      </c>
      <c r="M314">
        <v>6000</v>
      </c>
      <c r="N314">
        <v>12000</v>
      </c>
    </row>
    <row r="315" spans="2:14" x14ac:dyDescent="0.25">
      <c r="B315">
        <v>53</v>
      </c>
      <c r="C315">
        <v>210</v>
      </c>
      <c r="D315">
        <v>240</v>
      </c>
      <c r="E315">
        <v>1800</v>
      </c>
      <c r="F315">
        <v>153000</v>
      </c>
      <c r="G315">
        <v>3810</v>
      </c>
      <c r="H315">
        <v>724000</v>
      </c>
      <c r="I315">
        <v>21300</v>
      </c>
      <c r="J315">
        <v>2018</v>
      </c>
      <c r="K315">
        <v>3117</v>
      </c>
      <c r="L315">
        <v>3897</v>
      </c>
      <c r="M315">
        <v>6000</v>
      </c>
      <c r="N315">
        <v>12000</v>
      </c>
    </row>
    <row r="316" spans="2:14" x14ac:dyDescent="0.25">
      <c r="B316">
        <v>54</v>
      </c>
      <c r="C316">
        <v>210</v>
      </c>
      <c r="D316">
        <v>240</v>
      </c>
      <c r="E316">
        <v>1800</v>
      </c>
      <c r="F316">
        <v>153000</v>
      </c>
      <c r="G316">
        <v>3810</v>
      </c>
      <c r="H316">
        <v>724000</v>
      </c>
      <c r="I316">
        <v>21300</v>
      </c>
      <c r="J316">
        <v>2018</v>
      </c>
      <c r="K316">
        <v>3117</v>
      </c>
      <c r="L316">
        <v>3897</v>
      </c>
      <c r="M316">
        <v>6000</v>
      </c>
      <c r="N316">
        <v>12000</v>
      </c>
    </row>
    <row r="317" spans="2:14" x14ac:dyDescent="0.25">
      <c r="B317">
        <v>55</v>
      </c>
      <c r="C317">
        <v>210</v>
      </c>
      <c r="D317">
        <v>240</v>
      </c>
      <c r="E317">
        <v>1800</v>
      </c>
      <c r="F317">
        <v>153000</v>
      </c>
      <c r="G317">
        <v>3810</v>
      </c>
      <c r="H317">
        <v>724000</v>
      </c>
      <c r="I317">
        <v>21300</v>
      </c>
      <c r="J317">
        <v>2018</v>
      </c>
      <c r="K317">
        <v>3117</v>
      </c>
      <c r="L317">
        <v>3897</v>
      </c>
      <c r="M317">
        <v>6000</v>
      </c>
      <c r="N317">
        <v>12000</v>
      </c>
    </row>
    <row r="318" spans="2:14" x14ac:dyDescent="0.25">
      <c r="B318">
        <v>56</v>
      </c>
      <c r="C318">
        <v>210</v>
      </c>
      <c r="D318">
        <v>240</v>
      </c>
      <c r="E318">
        <v>1800</v>
      </c>
      <c r="F318">
        <v>153000</v>
      </c>
      <c r="G318">
        <v>3810</v>
      </c>
      <c r="H318">
        <v>724000</v>
      </c>
      <c r="I318">
        <v>21300</v>
      </c>
      <c r="J318">
        <v>2846</v>
      </c>
      <c r="K318">
        <v>4555</v>
      </c>
      <c r="L318">
        <v>5694</v>
      </c>
      <c r="M318">
        <v>6000</v>
      </c>
      <c r="N318">
        <v>12000</v>
      </c>
    </row>
    <row r="319" spans="2:14" x14ac:dyDescent="0.25">
      <c r="B319">
        <v>57</v>
      </c>
      <c r="C319">
        <v>210</v>
      </c>
      <c r="D319">
        <v>240</v>
      </c>
      <c r="E319">
        <v>1800</v>
      </c>
      <c r="F319">
        <v>153000</v>
      </c>
      <c r="G319">
        <v>3810</v>
      </c>
      <c r="H319">
        <v>724000</v>
      </c>
      <c r="I319">
        <v>21300</v>
      </c>
      <c r="J319">
        <v>2846</v>
      </c>
      <c r="K319">
        <v>4555</v>
      </c>
      <c r="L319">
        <v>5694</v>
      </c>
      <c r="M319">
        <v>6000</v>
      </c>
      <c r="N319">
        <v>12000</v>
      </c>
    </row>
    <row r="320" spans="2:14" x14ac:dyDescent="0.25">
      <c r="B320">
        <v>58</v>
      </c>
      <c r="C320">
        <v>210</v>
      </c>
      <c r="D320">
        <v>240</v>
      </c>
      <c r="E320">
        <v>1800</v>
      </c>
      <c r="F320">
        <v>153000</v>
      </c>
      <c r="G320">
        <v>3810</v>
      </c>
      <c r="H320">
        <v>724000</v>
      </c>
      <c r="I320">
        <v>21300</v>
      </c>
      <c r="J320">
        <v>2846</v>
      </c>
      <c r="K320">
        <v>4555</v>
      </c>
      <c r="L320">
        <v>5694</v>
      </c>
      <c r="M320">
        <v>6000</v>
      </c>
      <c r="N320">
        <v>12000</v>
      </c>
    </row>
    <row r="321" spans="2:14" x14ac:dyDescent="0.25">
      <c r="B321">
        <v>59</v>
      </c>
      <c r="C321">
        <v>210</v>
      </c>
      <c r="D321">
        <v>240</v>
      </c>
      <c r="E321">
        <v>1800</v>
      </c>
      <c r="F321">
        <v>153000</v>
      </c>
      <c r="G321">
        <v>3810</v>
      </c>
      <c r="H321">
        <v>724000</v>
      </c>
      <c r="I321">
        <v>21300</v>
      </c>
      <c r="J321">
        <v>2846</v>
      </c>
      <c r="K321">
        <v>4555</v>
      </c>
      <c r="L321">
        <v>5694</v>
      </c>
      <c r="M321">
        <v>6000</v>
      </c>
      <c r="N321">
        <v>12000</v>
      </c>
    </row>
    <row r="322" spans="2:14" x14ac:dyDescent="0.25">
      <c r="B322">
        <v>60</v>
      </c>
      <c r="C322">
        <v>210</v>
      </c>
      <c r="D322">
        <v>240</v>
      </c>
      <c r="E322">
        <v>1800</v>
      </c>
      <c r="F322">
        <v>153000</v>
      </c>
      <c r="G322">
        <v>3810</v>
      </c>
      <c r="H322">
        <v>724000</v>
      </c>
      <c r="I322">
        <v>21300</v>
      </c>
      <c r="J322">
        <v>2846</v>
      </c>
      <c r="K322">
        <v>4555</v>
      </c>
      <c r="L322">
        <v>5694</v>
      </c>
      <c r="M322">
        <v>6000</v>
      </c>
      <c r="N322">
        <v>12000</v>
      </c>
    </row>
    <row r="323" spans="2:14" x14ac:dyDescent="0.25">
      <c r="B323">
        <v>61</v>
      </c>
      <c r="C323">
        <v>210</v>
      </c>
      <c r="D323">
        <v>240</v>
      </c>
      <c r="E323">
        <v>1800</v>
      </c>
      <c r="F323">
        <v>153000</v>
      </c>
      <c r="G323">
        <v>3810</v>
      </c>
      <c r="H323">
        <v>724000</v>
      </c>
      <c r="I323">
        <v>21300</v>
      </c>
      <c r="J323">
        <v>3634</v>
      </c>
      <c r="K323">
        <v>6237</v>
      </c>
      <c r="L323">
        <v>7796</v>
      </c>
      <c r="M323">
        <v>6000</v>
      </c>
      <c r="N323">
        <v>12000</v>
      </c>
    </row>
    <row r="324" spans="2:14" x14ac:dyDescent="0.25">
      <c r="B324">
        <v>62</v>
      </c>
      <c r="C324">
        <v>210</v>
      </c>
      <c r="D324">
        <v>240</v>
      </c>
      <c r="E324">
        <v>1800</v>
      </c>
      <c r="F324">
        <v>153000</v>
      </c>
      <c r="G324">
        <v>3810</v>
      </c>
      <c r="H324">
        <v>724000</v>
      </c>
      <c r="I324">
        <v>21300</v>
      </c>
      <c r="J324">
        <v>3634</v>
      </c>
      <c r="K324">
        <v>6237</v>
      </c>
      <c r="L324">
        <v>7796</v>
      </c>
      <c r="M324">
        <v>6000</v>
      </c>
      <c r="N324">
        <v>12000</v>
      </c>
    </row>
    <row r="325" spans="2:14" x14ac:dyDescent="0.25">
      <c r="B325">
        <v>63</v>
      </c>
      <c r="C325">
        <v>210</v>
      </c>
      <c r="D325">
        <v>240</v>
      </c>
      <c r="E325">
        <v>1800</v>
      </c>
      <c r="F325">
        <v>153000</v>
      </c>
      <c r="G325">
        <v>3810</v>
      </c>
      <c r="H325">
        <v>724000</v>
      </c>
      <c r="I325">
        <v>21300</v>
      </c>
      <c r="J325">
        <v>3634</v>
      </c>
      <c r="K325">
        <v>6237</v>
      </c>
      <c r="L325">
        <v>7796</v>
      </c>
      <c r="M325">
        <v>6000</v>
      </c>
      <c r="N325">
        <v>12000</v>
      </c>
    </row>
    <row r="326" spans="2:14" x14ac:dyDescent="0.25">
      <c r="B326">
        <v>64</v>
      </c>
      <c r="C326">
        <v>210</v>
      </c>
      <c r="D326">
        <v>240</v>
      </c>
      <c r="E326">
        <v>1800</v>
      </c>
      <c r="F326">
        <v>153000</v>
      </c>
      <c r="G326">
        <v>3810</v>
      </c>
      <c r="H326">
        <v>724000</v>
      </c>
      <c r="I326">
        <v>21300</v>
      </c>
      <c r="J326">
        <v>3634</v>
      </c>
      <c r="K326">
        <v>6237</v>
      </c>
      <c r="L326">
        <v>7796</v>
      </c>
      <c r="M326">
        <v>6000</v>
      </c>
      <c r="N326">
        <v>12000</v>
      </c>
    </row>
    <row r="327" spans="2:14" x14ac:dyDescent="0.25">
      <c r="B327">
        <v>65</v>
      </c>
      <c r="C327">
        <v>210</v>
      </c>
      <c r="D327">
        <v>240</v>
      </c>
      <c r="E327">
        <v>1800</v>
      </c>
      <c r="F327">
        <v>153000</v>
      </c>
      <c r="G327">
        <v>3810</v>
      </c>
      <c r="H327">
        <v>724000</v>
      </c>
      <c r="I327">
        <v>21300</v>
      </c>
      <c r="J327">
        <v>3634</v>
      </c>
      <c r="K327">
        <v>6237</v>
      </c>
      <c r="L327">
        <v>7796</v>
      </c>
      <c r="M327">
        <v>6000</v>
      </c>
      <c r="N327">
        <v>12000</v>
      </c>
    </row>
    <row r="328" spans="2:14" x14ac:dyDescent="0.25">
      <c r="B328">
        <v>66</v>
      </c>
      <c r="C328">
        <v>210</v>
      </c>
      <c r="D328">
        <v>240</v>
      </c>
      <c r="E328">
        <v>1800</v>
      </c>
      <c r="F328">
        <v>153000</v>
      </c>
      <c r="G328">
        <v>3810</v>
      </c>
      <c r="H328">
        <v>724000</v>
      </c>
      <c r="I328">
        <v>0</v>
      </c>
      <c r="J328">
        <v>0</v>
      </c>
      <c r="K328">
        <v>0</v>
      </c>
      <c r="L328">
        <v>0</v>
      </c>
      <c r="M328">
        <v>6000</v>
      </c>
      <c r="N328">
        <v>12000</v>
      </c>
    </row>
    <row r="329" spans="2:14" x14ac:dyDescent="0.25">
      <c r="B329">
        <v>67</v>
      </c>
      <c r="C329">
        <v>210</v>
      </c>
      <c r="D329">
        <v>240</v>
      </c>
      <c r="E329">
        <v>1800</v>
      </c>
      <c r="F329">
        <v>153000</v>
      </c>
      <c r="G329">
        <v>3810</v>
      </c>
      <c r="H329">
        <v>724000</v>
      </c>
      <c r="I329">
        <v>0</v>
      </c>
      <c r="J329">
        <v>0</v>
      </c>
      <c r="K329">
        <v>0</v>
      </c>
      <c r="L329">
        <v>0</v>
      </c>
      <c r="M329">
        <v>6000</v>
      </c>
      <c r="N329">
        <v>12000</v>
      </c>
    </row>
    <row r="330" spans="2:14" x14ac:dyDescent="0.25">
      <c r="B330">
        <v>68</v>
      </c>
      <c r="C330">
        <v>210</v>
      </c>
      <c r="D330">
        <v>240</v>
      </c>
      <c r="E330">
        <v>1800</v>
      </c>
      <c r="F330">
        <v>153000</v>
      </c>
      <c r="G330">
        <v>3810</v>
      </c>
      <c r="H330">
        <v>724000</v>
      </c>
      <c r="I330">
        <v>0</v>
      </c>
      <c r="J330">
        <v>0</v>
      </c>
      <c r="K330">
        <v>0</v>
      </c>
      <c r="L330">
        <v>0</v>
      </c>
      <c r="M330">
        <v>6000</v>
      </c>
      <c r="N330">
        <v>12000</v>
      </c>
    </row>
    <row r="331" spans="2:14" x14ac:dyDescent="0.25">
      <c r="B331">
        <v>69</v>
      </c>
      <c r="C331">
        <v>210</v>
      </c>
      <c r="D331">
        <v>240</v>
      </c>
      <c r="E331">
        <v>1800</v>
      </c>
      <c r="F331">
        <v>153000</v>
      </c>
      <c r="G331">
        <v>3810</v>
      </c>
      <c r="H331">
        <v>724000</v>
      </c>
      <c r="I331">
        <v>0</v>
      </c>
      <c r="J331">
        <v>0</v>
      </c>
      <c r="K331">
        <v>0</v>
      </c>
      <c r="L331">
        <v>0</v>
      </c>
      <c r="M331">
        <v>6000</v>
      </c>
      <c r="N331">
        <v>12000</v>
      </c>
    </row>
    <row r="332" spans="2:14" x14ac:dyDescent="0.25">
      <c r="B332">
        <v>70</v>
      </c>
      <c r="C332">
        <v>210</v>
      </c>
      <c r="D332">
        <v>240</v>
      </c>
      <c r="E332">
        <v>1800</v>
      </c>
      <c r="F332">
        <v>153000</v>
      </c>
      <c r="G332">
        <v>3810</v>
      </c>
      <c r="H332">
        <v>724000</v>
      </c>
      <c r="I332">
        <v>0</v>
      </c>
      <c r="J332">
        <v>0</v>
      </c>
      <c r="K332">
        <v>0</v>
      </c>
      <c r="L332">
        <v>0</v>
      </c>
      <c r="M332">
        <v>6000</v>
      </c>
      <c r="N332">
        <v>12000</v>
      </c>
    </row>
    <row r="333" spans="2:14" x14ac:dyDescent="0.25">
      <c r="B333">
        <v>71</v>
      </c>
      <c r="C333">
        <v>210</v>
      </c>
      <c r="D333">
        <v>240</v>
      </c>
      <c r="E333">
        <v>1800</v>
      </c>
      <c r="F333">
        <v>153000</v>
      </c>
      <c r="G333">
        <v>3810</v>
      </c>
      <c r="H333">
        <v>724000</v>
      </c>
      <c r="I333">
        <v>0</v>
      </c>
      <c r="J333">
        <v>0</v>
      </c>
      <c r="K333">
        <v>0</v>
      </c>
      <c r="L333">
        <v>0</v>
      </c>
      <c r="M333">
        <v>0</v>
      </c>
      <c r="N333">
        <v>0</v>
      </c>
    </row>
    <row r="334" spans="2:14" x14ac:dyDescent="0.25">
      <c r="B334">
        <v>72</v>
      </c>
      <c r="C334">
        <v>210</v>
      </c>
      <c r="D334">
        <v>240</v>
      </c>
      <c r="E334">
        <v>1800</v>
      </c>
      <c r="F334">
        <v>153000</v>
      </c>
      <c r="G334">
        <v>3810</v>
      </c>
      <c r="H334">
        <v>724000</v>
      </c>
      <c r="I334">
        <v>0</v>
      </c>
      <c r="J334">
        <v>0</v>
      </c>
      <c r="K334">
        <v>0</v>
      </c>
      <c r="L334">
        <v>0</v>
      </c>
      <c r="M334">
        <v>0</v>
      </c>
      <c r="N334">
        <v>0</v>
      </c>
    </row>
    <row r="335" spans="2:14" x14ac:dyDescent="0.25">
      <c r="B335">
        <v>73</v>
      </c>
      <c r="C335">
        <v>210</v>
      </c>
      <c r="D335">
        <v>240</v>
      </c>
      <c r="E335">
        <v>1800</v>
      </c>
      <c r="F335">
        <v>153000</v>
      </c>
      <c r="G335">
        <v>3810</v>
      </c>
      <c r="H335">
        <v>724000</v>
      </c>
      <c r="I335">
        <v>0</v>
      </c>
      <c r="J335">
        <v>0</v>
      </c>
      <c r="K335">
        <v>0</v>
      </c>
      <c r="L335">
        <v>0</v>
      </c>
      <c r="M335">
        <v>0</v>
      </c>
      <c r="N335">
        <v>0</v>
      </c>
    </row>
    <row r="336" spans="2:14" x14ac:dyDescent="0.25">
      <c r="B336">
        <v>74</v>
      </c>
      <c r="C336">
        <v>210</v>
      </c>
      <c r="D336">
        <v>240</v>
      </c>
      <c r="E336">
        <v>1800</v>
      </c>
      <c r="F336">
        <v>153000</v>
      </c>
      <c r="G336">
        <v>3810</v>
      </c>
      <c r="H336">
        <v>724000</v>
      </c>
      <c r="I336">
        <v>0</v>
      </c>
      <c r="J336">
        <v>0</v>
      </c>
      <c r="K336">
        <v>0</v>
      </c>
      <c r="L336">
        <v>0</v>
      </c>
      <c r="M336">
        <v>0</v>
      </c>
      <c r="N336">
        <v>0</v>
      </c>
    </row>
    <row r="337" spans="2:14" x14ac:dyDescent="0.25">
      <c r="B337">
        <v>75</v>
      </c>
      <c r="C337">
        <v>210</v>
      </c>
      <c r="D337">
        <v>240</v>
      </c>
      <c r="E337">
        <v>1800</v>
      </c>
      <c r="F337">
        <v>153000</v>
      </c>
      <c r="G337">
        <v>3810</v>
      </c>
      <c r="H337">
        <v>724000</v>
      </c>
      <c r="I337">
        <v>0</v>
      </c>
      <c r="J337">
        <v>0</v>
      </c>
      <c r="K337">
        <v>0</v>
      </c>
      <c r="L337">
        <v>0</v>
      </c>
      <c r="M337">
        <v>0</v>
      </c>
      <c r="N337">
        <v>0</v>
      </c>
    </row>
    <row r="338" spans="2:14" x14ac:dyDescent="0.25">
      <c r="B338">
        <v>76</v>
      </c>
      <c r="C338">
        <v>210</v>
      </c>
      <c r="D338">
        <v>240</v>
      </c>
      <c r="E338">
        <v>1800</v>
      </c>
      <c r="F338">
        <v>153000</v>
      </c>
      <c r="G338">
        <v>3810</v>
      </c>
      <c r="H338">
        <v>724000</v>
      </c>
      <c r="I338">
        <v>0</v>
      </c>
      <c r="J338">
        <v>0</v>
      </c>
      <c r="K338">
        <v>0</v>
      </c>
      <c r="L338">
        <v>0</v>
      </c>
      <c r="M338">
        <v>0</v>
      </c>
      <c r="N338">
        <v>0</v>
      </c>
    </row>
    <row r="339" spans="2:14" x14ac:dyDescent="0.25">
      <c r="B339">
        <v>77</v>
      </c>
      <c r="C339">
        <v>210</v>
      </c>
      <c r="D339">
        <v>240</v>
      </c>
      <c r="E339">
        <v>1800</v>
      </c>
      <c r="F339">
        <v>153000</v>
      </c>
      <c r="G339">
        <v>3810</v>
      </c>
      <c r="H339">
        <v>724000</v>
      </c>
      <c r="I339">
        <v>0</v>
      </c>
      <c r="J339">
        <v>0</v>
      </c>
      <c r="K339">
        <v>0</v>
      </c>
      <c r="L339">
        <v>0</v>
      </c>
      <c r="M339">
        <v>0</v>
      </c>
      <c r="N339">
        <v>0</v>
      </c>
    </row>
    <row r="340" spans="2:14" x14ac:dyDescent="0.25">
      <c r="B340">
        <v>78</v>
      </c>
      <c r="C340">
        <v>210</v>
      </c>
      <c r="D340">
        <v>240</v>
      </c>
      <c r="E340">
        <v>1800</v>
      </c>
      <c r="F340">
        <v>153000</v>
      </c>
      <c r="G340">
        <v>3810</v>
      </c>
      <c r="H340">
        <v>724000</v>
      </c>
      <c r="I340">
        <v>0</v>
      </c>
      <c r="J340">
        <v>0</v>
      </c>
      <c r="K340">
        <v>0</v>
      </c>
      <c r="L340">
        <v>0</v>
      </c>
      <c r="M340">
        <v>0</v>
      </c>
      <c r="N340">
        <v>0</v>
      </c>
    </row>
    <row r="341" spans="2:14" x14ac:dyDescent="0.25">
      <c r="B341">
        <v>79</v>
      </c>
      <c r="C341">
        <v>210</v>
      </c>
      <c r="D341">
        <v>240</v>
      </c>
      <c r="E341">
        <v>1800</v>
      </c>
      <c r="F341">
        <v>153000</v>
      </c>
      <c r="G341">
        <v>3810</v>
      </c>
      <c r="H341">
        <v>724000</v>
      </c>
      <c r="I341">
        <v>0</v>
      </c>
      <c r="J341">
        <v>0</v>
      </c>
      <c r="K341">
        <v>0</v>
      </c>
      <c r="L341">
        <v>0</v>
      </c>
      <c r="M341">
        <v>0</v>
      </c>
      <c r="N341">
        <v>0</v>
      </c>
    </row>
    <row r="342" spans="2:14" x14ac:dyDescent="0.25">
      <c r="B342">
        <v>80</v>
      </c>
      <c r="C342">
        <v>210</v>
      </c>
      <c r="D342">
        <v>240</v>
      </c>
      <c r="E342">
        <v>1800</v>
      </c>
      <c r="F342">
        <v>153000</v>
      </c>
      <c r="G342">
        <v>3810</v>
      </c>
      <c r="H342">
        <v>724000</v>
      </c>
      <c r="I342">
        <v>0</v>
      </c>
      <c r="J342">
        <v>0</v>
      </c>
      <c r="K342">
        <v>0</v>
      </c>
      <c r="L342">
        <v>0</v>
      </c>
      <c r="M342">
        <v>0</v>
      </c>
      <c r="N342">
        <v>0</v>
      </c>
    </row>
    <row r="343" spans="2:14" x14ac:dyDescent="0.25">
      <c r="B343">
        <v>81</v>
      </c>
      <c r="C343">
        <v>0</v>
      </c>
      <c r="D343">
        <v>240</v>
      </c>
      <c r="E343">
        <v>1800</v>
      </c>
      <c r="F343">
        <v>153000</v>
      </c>
      <c r="G343">
        <v>3810</v>
      </c>
      <c r="H343">
        <v>724000</v>
      </c>
      <c r="I343">
        <v>0</v>
      </c>
      <c r="J343">
        <v>0</v>
      </c>
      <c r="K343">
        <v>0</v>
      </c>
      <c r="L343">
        <v>0</v>
      </c>
      <c r="M343">
        <v>0</v>
      </c>
      <c r="N343">
        <v>0</v>
      </c>
    </row>
    <row r="344" spans="2:14" x14ac:dyDescent="0.25">
      <c r="B344">
        <v>82</v>
      </c>
      <c r="C344">
        <v>0</v>
      </c>
      <c r="D344">
        <v>240</v>
      </c>
      <c r="E344">
        <v>1800</v>
      </c>
      <c r="F344">
        <v>153000</v>
      </c>
      <c r="G344">
        <v>3810</v>
      </c>
      <c r="H344">
        <v>724000</v>
      </c>
      <c r="I344">
        <v>0</v>
      </c>
      <c r="J344">
        <v>0</v>
      </c>
      <c r="K344">
        <v>0</v>
      </c>
      <c r="L344">
        <v>0</v>
      </c>
      <c r="M344">
        <v>0</v>
      </c>
      <c r="N344">
        <v>0</v>
      </c>
    </row>
    <row r="345" spans="2:14" x14ac:dyDescent="0.25">
      <c r="B345">
        <v>83</v>
      </c>
      <c r="C345">
        <v>0</v>
      </c>
      <c r="D345">
        <v>240</v>
      </c>
      <c r="E345">
        <v>1800</v>
      </c>
      <c r="F345">
        <v>153000</v>
      </c>
      <c r="G345">
        <v>3810</v>
      </c>
      <c r="H345">
        <v>724000</v>
      </c>
      <c r="I345">
        <v>0</v>
      </c>
      <c r="J345">
        <v>0</v>
      </c>
      <c r="K345">
        <v>0</v>
      </c>
      <c r="L345">
        <v>0</v>
      </c>
      <c r="M345">
        <v>0</v>
      </c>
      <c r="N345">
        <v>0</v>
      </c>
    </row>
    <row r="346" spans="2:14" x14ac:dyDescent="0.25">
      <c r="B346">
        <v>84</v>
      </c>
      <c r="C346">
        <v>0</v>
      </c>
      <c r="D346">
        <v>240</v>
      </c>
      <c r="E346">
        <v>1800</v>
      </c>
      <c r="F346">
        <v>153000</v>
      </c>
      <c r="G346">
        <v>3810</v>
      </c>
      <c r="H346">
        <v>724000</v>
      </c>
      <c r="I346">
        <v>0</v>
      </c>
      <c r="J346">
        <v>0</v>
      </c>
      <c r="K346">
        <v>0</v>
      </c>
      <c r="L346">
        <v>0</v>
      </c>
      <c r="M346">
        <v>0</v>
      </c>
      <c r="N346">
        <v>0</v>
      </c>
    </row>
    <row r="347" spans="2:14" x14ac:dyDescent="0.25">
      <c r="B347">
        <v>85</v>
      </c>
      <c r="C347">
        <v>0</v>
      </c>
      <c r="D347">
        <v>240</v>
      </c>
      <c r="E347">
        <v>1800</v>
      </c>
      <c r="F347">
        <v>153000</v>
      </c>
      <c r="G347">
        <v>3810</v>
      </c>
      <c r="H347">
        <v>724000</v>
      </c>
      <c r="I347">
        <v>0</v>
      </c>
      <c r="J347">
        <v>0</v>
      </c>
      <c r="K347">
        <v>0</v>
      </c>
      <c r="L347">
        <v>0</v>
      </c>
      <c r="M347">
        <v>0</v>
      </c>
      <c r="N347">
        <v>0</v>
      </c>
    </row>
    <row r="348" spans="2:14" x14ac:dyDescent="0.25">
      <c r="B348">
        <v>86</v>
      </c>
      <c r="C348">
        <v>0</v>
      </c>
      <c r="D348">
        <v>240</v>
      </c>
      <c r="E348">
        <v>1800</v>
      </c>
      <c r="F348">
        <v>153000</v>
      </c>
      <c r="G348">
        <v>3810</v>
      </c>
      <c r="H348">
        <v>724000</v>
      </c>
      <c r="I348">
        <v>0</v>
      </c>
      <c r="J348">
        <v>0</v>
      </c>
      <c r="K348">
        <v>0</v>
      </c>
      <c r="L348">
        <v>0</v>
      </c>
      <c r="M348">
        <v>0</v>
      </c>
      <c r="N348">
        <v>0</v>
      </c>
    </row>
    <row r="349" spans="2:14" x14ac:dyDescent="0.25">
      <c r="B349">
        <v>87</v>
      </c>
      <c r="C349">
        <v>0</v>
      </c>
      <c r="D349">
        <v>240</v>
      </c>
      <c r="E349">
        <v>1800</v>
      </c>
      <c r="F349">
        <v>153000</v>
      </c>
      <c r="G349">
        <v>3810</v>
      </c>
      <c r="H349">
        <v>724000</v>
      </c>
      <c r="I349">
        <v>0</v>
      </c>
      <c r="J349">
        <v>0</v>
      </c>
      <c r="K349">
        <v>0</v>
      </c>
      <c r="L349">
        <v>0</v>
      </c>
      <c r="M349">
        <v>0</v>
      </c>
      <c r="N349">
        <v>0</v>
      </c>
    </row>
    <row r="350" spans="2:14" x14ac:dyDescent="0.25">
      <c r="B350">
        <v>88</v>
      </c>
      <c r="C350">
        <v>0</v>
      </c>
      <c r="D350">
        <v>240</v>
      </c>
      <c r="E350">
        <v>1800</v>
      </c>
      <c r="F350">
        <v>153000</v>
      </c>
      <c r="G350">
        <v>3810</v>
      </c>
      <c r="H350">
        <v>724000</v>
      </c>
      <c r="I350">
        <v>0</v>
      </c>
      <c r="J350">
        <v>0</v>
      </c>
      <c r="K350">
        <v>0</v>
      </c>
      <c r="L350">
        <v>0</v>
      </c>
      <c r="M350">
        <v>0</v>
      </c>
      <c r="N350">
        <v>0</v>
      </c>
    </row>
    <row r="351" spans="2:14" x14ac:dyDescent="0.25">
      <c r="B351">
        <v>89</v>
      </c>
      <c r="C351">
        <v>0</v>
      </c>
      <c r="D351">
        <v>240</v>
      </c>
      <c r="E351">
        <v>1800</v>
      </c>
      <c r="F351">
        <v>153000</v>
      </c>
      <c r="G351">
        <v>3810</v>
      </c>
      <c r="H351">
        <v>724000</v>
      </c>
      <c r="I351">
        <v>0</v>
      </c>
      <c r="J351">
        <v>0</v>
      </c>
      <c r="K351">
        <v>0</v>
      </c>
      <c r="L351">
        <v>0</v>
      </c>
      <c r="M351">
        <v>0</v>
      </c>
      <c r="N351">
        <v>0</v>
      </c>
    </row>
    <row r="352" spans="2:14" x14ac:dyDescent="0.25">
      <c r="B352">
        <v>90</v>
      </c>
      <c r="C352">
        <v>0</v>
      </c>
      <c r="D352">
        <v>240</v>
      </c>
      <c r="E352">
        <v>1800</v>
      </c>
      <c r="F352">
        <v>153000</v>
      </c>
      <c r="G352">
        <v>3810</v>
      </c>
      <c r="H352">
        <v>724000</v>
      </c>
      <c r="I352">
        <v>0</v>
      </c>
      <c r="J352">
        <v>0</v>
      </c>
      <c r="K352">
        <v>0</v>
      </c>
      <c r="L352">
        <v>0</v>
      </c>
      <c r="M352">
        <v>0</v>
      </c>
      <c r="N352">
        <v>0</v>
      </c>
    </row>
    <row r="353" spans="2:47" x14ac:dyDescent="0.25">
      <c r="B353">
        <v>91</v>
      </c>
      <c r="C353">
        <v>0</v>
      </c>
      <c r="D353">
        <v>0</v>
      </c>
      <c r="E353">
        <v>0</v>
      </c>
      <c r="F353">
        <v>0</v>
      </c>
      <c r="G353">
        <v>0</v>
      </c>
      <c r="H353">
        <v>0</v>
      </c>
      <c r="I353">
        <v>0</v>
      </c>
      <c r="J353">
        <v>0</v>
      </c>
      <c r="K353">
        <v>0</v>
      </c>
      <c r="L353">
        <v>0</v>
      </c>
      <c r="M353">
        <v>0</v>
      </c>
      <c r="N353">
        <v>0</v>
      </c>
    </row>
    <row r="354" spans="2:47" x14ac:dyDescent="0.25">
      <c r="B354">
        <v>92</v>
      </c>
      <c r="C354">
        <v>0</v>
      </c>
      <c r="D354">
        <v>0</v>
      </c>
      <c r="E354">
        <v>0</v>
      </c>
      <c r="F354">
        <v>0</v>
      </c>
      <c r="G354">
        <v>0</v>
      </c>
      <c r="H354">
        <v>0</v>
      </c>
      <c r="I354">
        <v>0</v>
      </c>
      <c r="J354">
        <v>0</v>
      </c>
      <c r="K354">
        <v>0</v>
      </c>
      <c r="L354">
        <v>0</v>
      </c>
      <c r="M354">
        <v>0</v>
      </c>
      <c r="N354">
        <v>0</v>
      </c>
    </row>
    <row r="355" spans="2:47" x14ac:dyDescent="0.25">
      <c r="B355">
        <v>93</v>
      </c>
      <c r="C355">
        <v>0</v>
      </c>
      <c r="D355">
        <v>0</v>
      </c>
      <c r="E355">
        <v>0</v>
      </c>
      <c r="F355">
        <v>0</v>
      </c>
      <c r="G355">
        <v>0</v>
      </c>
      <c r="H355">
        <v>0</v>
      </c>
      <c r="I355">
        <v>0</v>
      </c>
      <c r="J355">
        <v>0</v>
      </c>
      <c r="K355">
        <v>0</v>
      </c>
      <c r="L355">
        <v>0</v>
      </c>
      <c r="M355">
        <v>0</v>
      </c>
      <c r="N355">
        <v>0</v>
      </c>
    </row>
    <row r="356" spans="2:47" x14ac:dyDescent="0.25">
      <c r="B356">
        <v>94</v>
      </c>
      <c r="C356">
        <v>0</v>
      </c>
      <c r="D356">
        <v>0</v>
      </c>
      <c r="E356">
        <v>0</v>
      </c>
      <c r="F356">
        <v>0</v>
      </c>
      <c r="G356">
        <v>0</v>
      </c>
      <c r="H356">
        <v>0</v>
      </c>
      <c r="I356">
        <v>0</v>
      </c>
      <c r="J356">
        <v>0</v>
      </c>
      <c r="K356">
        <v>0</v>
      </c>
      <c r="L356">
        <v>0</v>
      </c>
      <c r="M356">
        <v>0</v>
      </c>
      <c r="N356">
        <v>0</v>
      </c>
    </row>
    <row r="357" spans="2:47" x14ac:dyDescent="0.25">
      <c r="B357">
        <v>95</v>
      </c>
      <c r="C357">
        <v>0</v>
      </c>
      <c r="D357">
        <v>0</v>
      </c>
      <c r="E357">
        <v>0</v>
      </c>
      <c r="F357">
        <v>0</v>
      </c>
      <c r="G357">
        <v>0</v>
      </c>
      <c r="H357">
        <v>0</v>
      </c>
      <c r="I357">
        <v>0</v>
      </c>
      <c r="J357">
        <v>0</v>
      </c>
      <c r="K357">
        <v>0</v>
      </c>
      <c r="L357">
        <v>0</v>
      </c>
      <c r="M357">
        <v>0</v>
      </c>
      <c r="N357">
        <v>0</v>
      </c>
    </row>
    <row r="358" spans="2:47" x14ac:dyDescent="0.25">
      <c r="B358">
        <v>96</v>
      </c>
      <c r="C358">
        <v>0</v>
      </c>
      <c r="D358">
        <v>0</v>
      </c>
      <c r="E358">
        <v>0</v>
      </c>
      <c r="F358">
        <v>0</v>
      </c>
      <c r="G358">
        <v>0</v>
      </c>
      <c r="H358">
        <v>0</v>
      </c>
      <c r="I358">
        <v>0</v>
      </c>
      <c r="J358">
        <v>0</v>
      </c>
      <c r="K358">
        <v>0</v>
      </c>
      <c r="L358">
        <v>0</v>
      </c>
      <c r="M358">
        <v>0</v>
      </c>
      <c r="N358">
        <v>0</v>
      </c>
    </row>
    <row r="359" spans="2:47" x14ac:dyDescent="0.25">
      <c r="B359">
        <v>97</v>
      </c>
      <c r="C359">
        <v>0</v>
      </c>
      <c r="D359">
        <v>0</v>
      </c>
      <c r="E359">
        <v>0</v>
      </c>
      <c r="F359">
        <v>0</v>
      </c>
      <c r="G359">
        <v>0</v>
      </c>
      <c r="H359">
        <v>0</v>
      </c>
      <c r="I359">
        <v>0</v>
      </c>
      <c r="J359">
        <v>0</v>
      </c>
      <c r="K359">
        <v>0</v>
      </c>
      <c r="L359">
        <v>0</v>
      </c>
      <c r="M359">
        <v>0</v>
      </c>
      <c r="N359">
        <v>0</v>
      </c>
    </row>
    <row r="360" spans="2:47" x14ac:dyDescent="0.25">
      <c r="B360">
        <v>98</v>
      </c>
      <c r="C360">
        <v>0</v>
      </c>
      <c r="D360">
        <v>0</v>
      </c>
      <c r="E360">
        <v>0</v>
      </c>
      <c r="F360">
        <v>0</v>
      </c>
      <c r="G360">
        <v>0</v>
      </c>
      <c r="H360">
        <v>0</v>
      </c>
      <c r="I360">
        <v>0</v>
      </c>
      <c r="J360">
        <v>0</v>
      </c>
      <c r="K360">
        <v>0</v>
      </c>
      <c r="L360">
        <v>0</v>
      </c>
      <c r="M360">
        <v>0</v>
      </c>
      <c r="N360">
        <v>0</v>
      </c>
    </row>
    <row r="361" spans="2:47" x14ac:dyDescent="0.25">
      <c r="B361">
        <v>99</v>
      </c>
      <c r="C361">
        <v>0</v>
      </c>
      <c r="D361">
        <v>0</v>
      </c>
      <c r="E361">
        <v>0</v>
      </c>
      <c r="F361">
        <v>0</v>
      </c>
      <c r="G361">
        <v>0</v>
      </c>
      <c r="H361">
        <v>0</v>
      </c>
      <c r="I361">
        <v>0</v>
      </c>
      <c r="J361">
        <v>0</v>
      </c>
      <c r="K361">
        <v>0</v>
      </c>
      <c r="L361">
        <v>0</v>
      </c>
      <c r="M361">
        <v>0</v>
      </c>
      <c r="N361">
        <v>0</v>
      </c>
    </row>
    <row r="362" spans="2:47" x14ac:dyDescent="0.25">
      <c r="B362">
        <v>100</v>
      </c>
      <c r="C362">
        <v>0</v>
      </c>
      <c r="D362">
        <v>0</v>
      </c>
      <c r="E362">
        <v>0</v>
      </c>
      <c r="F362">
        <v>0</v>
      </c>
      <c r="G362">
        <v>0</v>
      </c>
      <c r="H362">
        <v>0</v>
      </c>
      <c r="I362">
        <v>0</v>
      </c>
      <c r="J362">
        <v>0</v>
      </c>
      <c r="K362">
        <v>0</v>
      </c>
      <c r="L362">
        <v>0</v>
      </c>
      <c r="M362">
        <v>0</v>
      </c>
      <c r="N362">
        <v>0</v>
      </c>
    </row>
    <row r="366" spans="2:47" x14ac:dyDescent="0.25">
      <c r="B366">
        <v>10000</v>
      </c>
    </row>
    <row r="367" spans="2:47" x14ac:dyDescent="0.25">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5">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5">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5">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5">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5">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5">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5">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5">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5">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5">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5">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5">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5">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5">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5">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5">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5">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5">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5">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5">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5">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5">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5">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5">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5">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5">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5">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5">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5">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5">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5">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5">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5">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5">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5">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5">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5">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5">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5">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5">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5">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5">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5">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5">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5">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5">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5">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5">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5">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5">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5">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5">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5">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5">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5">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5">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5">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5">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5">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5">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5">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5">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5">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5">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5">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5">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5">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5">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5">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5">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5">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5">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5">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5">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5">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5">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5">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5">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5">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5">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5">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5">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5">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5">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5">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5">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5">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5">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5">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5">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5">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5">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5">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5">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5">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5">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5">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5">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5">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5">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5">
      <c r="B471">
        <v>10000</v>
      </c>
    </row>
    <row r="472" spans="2:47" x14ac:dyDescent="0.25">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5">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5">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5">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5">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5">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5">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5">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5">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5">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5">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5">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5">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5">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5">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5">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5">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5">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5">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5">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5">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5">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5">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5">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5">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5">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5">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5">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5">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5">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5">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5">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5">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5">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5">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5">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5">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5">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5">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5">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5">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5">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5">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5">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5">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5">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5">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5">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5">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5">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5">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5">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5">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5">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5">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5">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5">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5">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5">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5">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5">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5">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5">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5">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5">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5">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5">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5">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5">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5">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5">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5">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5">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5">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5">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5">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5">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5">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5">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5">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5">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5">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5">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5">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5">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5">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5">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5">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5">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5">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5">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5">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5">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5">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5">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5">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5">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5">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5">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5">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5">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3.2" x14ac:dyDescent="0.25"/>
  <sheetData>
    <row r="1" spans="2:50" x14ac:dyDescent="0.25">
      <c r="B1">
        <v>100000</v>
      </c>
    </row>
    <row r="2" spans="2:50" x14ac:dyDescent="0.25">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5">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5">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5">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5">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5">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5">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5">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5">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5">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5">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5">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5">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5">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5">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5">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5">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5">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5">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5">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5">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5">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5">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5">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5">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5">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5">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5">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5">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5">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5">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5">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5">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5">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5">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5">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5">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5">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5">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5">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5">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5">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5">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5">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5">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5">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5">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5">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5">
      <c r="B53">
        <v>100000</v>
      </c>
    </row>
    <row r="54" spans="2:50" x14ac:dyDescent="0.25">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5">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5">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5">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5">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5">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5">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5">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5">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5">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5">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5">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5">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5">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5">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5">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5">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5">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5">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5">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5">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5">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5">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5">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5">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5">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5">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5">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5">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5">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5">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5">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5">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5">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5">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5">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5">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5">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5">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5">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5">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5">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5">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5">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5">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5">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5">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5">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5">
      <c r="B105">
        <v>100000</v>
      </c>
    </row>
    <row r="106" spans="2:50" x14ac:dyDescent="0.25">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5">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5">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5">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5">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5">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5">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5">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5">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5">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5">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5">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5">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5">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5">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5">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5">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5">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5">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5">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5">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5">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5">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5">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5">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5">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5">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5">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5">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5">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5">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5">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5">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5">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5">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5">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5">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5">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5">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5">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5">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5">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5">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5">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5">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5">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5">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5">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5">
      <c r="B157">
        <v>100000</v>
      </c>
    </row>
    <row r="158" spans="2:50" x14ac:dyDescent="0.25">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5">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5">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5">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5">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5">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5">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5">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5">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5">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5">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5">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5">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5">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5">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5">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5">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5">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5">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5">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5">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5">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5">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5">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5">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5">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5">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5">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5">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5">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5">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5">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5">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5">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5">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5">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5">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5">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5">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5">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5">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5">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5">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5">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5">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5">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5">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5">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5">
      <c r="B209">
        <v>100000</v>
      </c>
    </row>
    <row r="210" spans="2:50" x14ac:dyDescent="0.25">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5">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5">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5">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5">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5">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5">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5">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5">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5">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5">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5">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5">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5">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5">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5">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5">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5">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5">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5">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5">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5">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5">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5">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5">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5">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5">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5">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5">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5">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5">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5">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5">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5">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5">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5">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5">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5">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5">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5">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5">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5">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5">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5">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5">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5">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5">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5">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5">
      <c r="B261">
        <v>100000</v>
      </c>
    </row>
    <row r="262" spans="2:50" x14ac:dyDescent="0.25">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5">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5">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5">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5">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5">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5">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5">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5">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5">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5">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5">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5">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5">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5">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5">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5">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5">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5">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5">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5">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5">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5">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5">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5">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5">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5">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5">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5">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5">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5">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5">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5">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5">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5">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5">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5">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5">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5">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5">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5">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5">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5">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5">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5">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5">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5">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5">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5">
      <c r="B313">
        <v>100000</v>
      </c>
    </row>
    <row r="314" spans="2:50" x14ac:dyDescent="0.25">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5">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5">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5">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5">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5">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5">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5">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5">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5">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5">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5">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5">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5">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5">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5">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5">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5">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5">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5">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5">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5">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5">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5">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5">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5">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5">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5">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5">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5">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5">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5">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5">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5">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5">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5">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5">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5">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5">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5">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5">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5">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5">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5">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5">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5">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5">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5">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5">
      <c r="B365">
        <v>100000</v>
      </c>
    </row>
    <row r="366" spans="2:50" x14ac:dyDescent="0.25">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5">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5">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5">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5">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5">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5">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5">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5">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5">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5">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5">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5">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5">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5">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5">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5">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5">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5">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5">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5">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5">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5">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5">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5">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5">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5">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5">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5">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5">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5">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5">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5">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5">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5">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5">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5">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5">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5">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5">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5">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5">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5">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5">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5">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5">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5">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5">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5">
      <c r="B417">
        <v>100000</v>
      </c>
    </row>
    <row r="418" spans="2:50" x14ac:dyDescent="0.25">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5">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5">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5">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5">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5">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5">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5">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5">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5">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5">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5">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5">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5">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5">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5">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5">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5">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5">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5">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5">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5">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5">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5">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5">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5">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5">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5">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5">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5">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5">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5">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5">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5">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5">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5">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5">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5">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5">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5">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5">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5">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5">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5">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5">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5">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5">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5">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5">
      <c r="B469">
        <v>100000</v>
      </c>
    </row>
    <row r="470" spans="2:50" x14ac:dyDescent="0.25">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5">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5">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5">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5">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5">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5">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5">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5">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5">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5">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5">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5">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5">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5">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5">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5">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5">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5">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5">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5">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5">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5">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5">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5">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5">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5">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5">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5">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5">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5">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5">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5">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5">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5">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5">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5">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5">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5">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5">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5">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5">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5">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5">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5">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5">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5">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5">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5">
      <c r="B521">
        <v>100000</v>
      </c>
    </row>
    <row r="522" spans="2:50" x14ac:dyDescent="0.25">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5">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5">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5">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5">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5">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5">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5">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5">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5">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5">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5">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5">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5">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5">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5">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5">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5">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5">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5">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5">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5">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5">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5">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5">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5">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5">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5">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5">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5">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5">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5">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5">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5">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5">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5">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5">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5">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5">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5">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5">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5">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5">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5">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5">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5">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5">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5">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5">
      <c r="B573">
        <v>100000</v>
      </c>
    </row>
    <row r="574" spans="2:50" x14ac:dyDescent="0.25">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5">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5">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5">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5">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5">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5">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5">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5">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5">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5">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5">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5">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5">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5">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5">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5">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5">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5">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5">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5">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5">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5">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5">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5">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5">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5">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5">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5">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5">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5">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5">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5">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5">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5">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5">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5">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5">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5">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5">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5">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5">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5">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5">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5">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5">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5">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5">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3.2" x14ac:dyDescent="0.25"/>
  <sheetData>
    <row r="1" spans="1:31" x14ac:dyDescent="0.25">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5">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5">
      <c r="B3" t="s">
        <v>30</v>
      </c>
      <c r="E3" t="s">
        <v>35</v>
      </c>
      <c r="K3" t="s">
        <v>28</v>
      </c>
      <c r="L3" s="11">
        <v>8.5470000000000004E-2</v>
      </c>
      <c r="M3">
        <v>12</v>
      </c>
      <c r="N3">
        <v>2000</v>
      </c>
      <c r="O3">
        <v>1000</v>
      </c>
      <c r="P3">
        <v>500</v>
      </c>
      <c r="Q3">
        <v>2</v>
      </c>
      <c r="T3" t="s">
        <v>131</v>
      </c>
      <c r="W3" t="s">
        <v>64</v>
      </c>
      <c r="X3">
        <v>5</v>
      </c>
      <c r="AA3" t="s">
        <v>460</v>
      </c>
      <c r="AB3">
        <v>5</v>
      </c>
    </row>
    <row r="4" spans="1:31" x14ac:dyDescent="0.25">
      <c r="B4" t="s">
        <v>31</v>
      </c>
      <c r="E4" t="s">
        <v>36</v>
      </c>
      <c r="K4" t="s">
        <v>29</v>
      </c>
      <c r="L4" s="11">
        <v>0.255</v>
      </c>
      <c r="M4">
        <v>4</v>
      </c>
      <c r="N4">
        <v>6000</v>
      </c>
      <c r="O4">
        <v>3000</v>
      </c>
      <c r="P4">
        <v>1500</v>
      </c>
      <c r="Q4">
        <v>5</v>
      </c>
      <c r="AA4" t="s">
        <v>461</v>
      </c>
      <c r="AB4">
        <v>7</v>
      </c>
    </row>
  </sheetData>
  <sortState xmlns:xlrd2="http://schemas.microsoft.com/office/spreadsheetml/2017/richdata2"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1" zoomScale="110" zoomScaleNormal="110" workbookViewId="0">
      <selection activeCell="N80" sqref="N80"/>
    </sheetView>
  </sheetViews>
  <sheetFormatPr defaultColWidth="9.21875" defaultRowHeight="12.75" customHeight="1" x14ac:dyDescent="0.25"/>
  <cols>
    <col min="1" max="1" width="9.21875" style="12"/>
    <col min="2" max="2" width="23.5546875" style="12" customWidth="1"/>
    <col min="3" max="3" width="17.88671875" style="12" bestFit="1" customWidth="1"/>
    <col min="4" max="4" width="3.33203125" style="12" customWidth="1"/>
    <col min="5" max="7" width="9.5546875" style="12" customWidth="1"/>
    <col min="8" max="8" width="18.33203125" style="12" customWidth="1"/>
    <col min="9" max="9" width="11.5546875" style="12" bestFit="1" customWidth="1"/>
    <col min="10" max="14" width="9.21875" style="12"/>
    <col min="15" max="15" width="10.109375" style="12" hidden="1" customWidth="1"/>
    <col min="16" max="16384" width="9.21875" style="12"/>
  </cols>
  <sheetData>
    <row r="1" spans="2:15" ht="12.75" customHeight="1" x14ac:dyDescent="0.25">
      <c r="B1" s="108" t="s">
        <v>131</v>
      </c>
      <c r="C1" s="108"/>
      <c r="D1" s="108"/>
      <c r="O1" s="12" t="s">
        <v>406</v>
      </c>
    </row>
    <row r="2" spans="2:15" ht="12.75" customHeight="1" x14ac:dyDescent="0.25">
      <c r="B2" s="108"/>
      <c r="C2" s="108"/>
      <c r="D2" s="108"/>
      <c r="E2" s="20" t="str">
        <f>MetMax!$E$2</f>
        <v>v2.1.7</v>
      </c>
    </row>
    <row r="3" spans="2:15" ht="12.75" customHeight="1" x14ac:dyDescent="0.25">
      <c r="B3" s="70"/>
      <c r="C3" s="70"/>
      <c r="D3" s="70"/>
      <c r="E3" s="20"/>
    </row>
    <row r="4" spans="2:15" ht="12.75" customHeight="1" x14ac:dyDescent="0.25">
      <c r="B4" s="70"/>
      <c r="C4" s="70"/>
      <c r="D4" s="70"/>
      <c r="E4" s="20"/>
      <c r="H4" s="51" t="str">
        <f>IF(COUNTIF($J$35:$K$37,"Ezt kérem!")&gt;1,"Egy szerződéshez egyszerre csak egyfajta Kritikus betegség biztosítás választható.","")</f>
        <v/>
      </c>
    </row>
    <row r="5" spans="2:15" ht="12.75" customHeight="1" x14ac:dyDescent="0.25">
      <c r="B5" s="116" t="s">
        <v>455</v>
      </c>
      <c r="C5" s="117"/>
      <c r="D5" s="117"/>
      <c r="E5" s="117"/>
      <c r="F5" s="118"/>
      <c r="H5" s="51" t="str">
        <f>IF(Együttkötés!$A$58="STOP","A Kritikus betegség és a Cukorbetegség biztosítások együttes biztosítási összege nem lehet több több, mint "&amp;IF($C$16="Forint","50 000 000 Ft","170 000 €"),"")</f>
        <v/>
      </c>
    </row>
    <row r="6" spans="2:15" ht="12.75" customHeight="1" x14ac:dyDescent="0.25">
      <c r="B6" s="119" t="s">
        <v>732</v>
      </c>
      <c r="C6" s="120"/>
      <c r="D6" s="120"/>
      <c r="E6" s="120"/>
      <c r="F6" s="121"/>
      <c r="H6" s="51" t="str">
        <f>IF(Együttkötés!$A$62="STOP","A Baleseti halál és a Baleseti halál járadék biztosítások együttes biztosítási összege nem lehet több több, mint "&amp;IF($C$16="Forint","100 000 000 Ft","325 000 €"),"")</f>
        <v/>
      </c>
    </row>
    <row r="7" spans="2:15" ht="12.75" customHeight="1" x14ac:dyDescent="0.25">
      <c r="H7" s="51" t="str">
        <f>IF(AND(Együttkötés!$A$66="STOP",$J$30="Ezt kérem!"),"A jelzett biztosítások együttes biztosítási összege nem lehet több több, mint "&amp;IF($C$16="Forint","100 000 000 Ft","325 000 €"),"")</f>
        <v/>
      </c>
    </row>
    <row r="8" spans="2:15" ht="12.75" customHeight="1" x14ac:dyDescent="0.25">
      <c r="B8" s="14" t="s">
        <v>405</v>
      </c>
      <c r="C8" s="114">
        <v>33934</v>
      </c>
      <c r="D8" s="114"/>
      <c r="H8" s="51" t="str">
        <f>IF(Együttkötés!$A$70="STOP","A Baleseti rokkantság és a Baleseti rokkantság járadék biztosítások együttes biztosítási összege nem lehet több több, mint "&amp;IF($C$16="Forint","200 000 000 Ft","650 000 €"),"")</f>
        <v/>
      </c>
    </row>
    <row r="9" spans="2:15" ht="12.75" customHeight="1" x14ac:dyDescent="0.25">
      <c r="B9" s="14" t="s">
        <v>404</v>
      </c>
      <c r="C9" s="115">
        <f ca="1">IF(ISBLANK($C$8),"",IF(YEAR(TODAY())-YEAR($C$8)&lt;0,"",YEAR(TODAY())-YEAR($C$8)))</f>
        <v>28</v>
      </c>
      <c r="D9" s="115"/>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5">
      <c r="H10" s="51" t="str">
        <f>IF(Együttkötés!$A$78="STOP","A Bármely okú halál és a Hirtelen halál biztosítások együttes biztosítási összege nem lehet több több, mint "&amp;IF($C$16="Forint","200 000 000 Ft","650 000 €"),"")</f>
        <v/>
      </c>
    </row>
    <row r="11" spans="2:15" ht="12.75" customHeight="1" x14ac:dyDescent="0.25">
      <c r="B11" s="14" t="s">
        <v>403</v>
      </c>
      <c r="C11" s="113" t="s">
        <v>28</v>
      </c>
      <c r="D11" s="113"/>
      <c r="H11" s="51" t="str">
        <f>IF(Együttkötés!$A$82="STOP","A Baleseti kórházi napi térítés biztosítások együttes biztosítási összege nem lehet több több, mint "&amp;IF($C$16="Forint","40 000 Ft","130 €"),"")</f>
        <v/>
      </c>
    </row>
    <row r="12" spans="2:15" ht="12.75" customHeight="1" x14ac:dyDescent="0.25">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5">
      <c r="B13" s="14" t="s">
        <v>402</v>
      </c>
      <c r="C13" s="113" t="s">
        <v>35</v>
      </c>
      <c r="D13" s="113"/>
      <c r="H13" s="51" t="str">
        <f>IF(Együttkötés!$A$90="STOP","A Baleseti műtéti térítés biztosítások együttes biztosítási összege nem lehet több több, mint "&amp;IF($C$16="Forint","1 000 000 Ft","3 250 €"),"")</f>
        <v/>
      </c>
    </row>
    <row r="14" spans="2:15" ht="12.75" customHeight="1" x14ac:dyDescent="0.25">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5">
      <c r="B15" s="14" t="s">
        <v>401</v>
      </c>
      <c r="C15" s="131" t="s">
        <v>37</v>
      </c>
      <c r="D15" s="131"/>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5">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5">
      <c r="B18" s="100" t="str">
        <f>"Fizetendő "&amp;$C$12&amp;" díj:"</f>
        <v>Fizetendő Havi díj:</v>
      </c>
      <c r="C18" s="109">
        <f ca="1">IF(SUMIF($J$28:$K$84,"Ezt kérem!",$I$28:$I$84)-SUMIF($L$28:$L$84,"!",$I$28:$I$84)&lt;IF($C$16="Forint",VLOOKUP($C$12,Paraméterek!$K$1:$Q$4,4,0),IF($C$14="Postai",SUMIF($J$28:$K$84,"Ezt kérem!",$I$28:$I$84)-SUMIF($L$28:$L$84,"!",$I$28:$I$84)+1,VLOOKUP($C$12,Paraméterek!$K$1:$Q$4,7,0))),0,SUMIF($J$28:$K$84,"Ezt kérem!",$I$28:$I$84)-SUMIF($L$28:$L$84,"!",$I$28:$I$84))</f>
        <v>6378</v>
      </c>
      <c r="D18" s="111" t="str">
        <f>IF(ISBLANK($C$16),"",IF($C$16="Forint","Ft","€"))</f>
        <v>Ft</v>
      </c>
      <c r="H18" s="122" t="s">
        <v>457</v>
      </c>
      <c r="I18" s="123"/>
      <c r="J18" s="126" t="str">
        <f ca="1">IF(COUNTIF($J$28:$K$80,"Ezt kérem!")=0,"---",'PÜ. limitek'!$I$13)</f>
        <v>Nem szükséges</v>
      </c>
      <c r="K18" s="127"/>
    </row>
    <row r="19" spans="2:15" ht="12.75" customHeight="1" x14ac:dyDescent="0.25">
      <c r="B19" s="102"/>
      <c r="C19" s="110"/>
      <c r="D19" s="112"/>
      <c r="H19" s="124"/>
      <c r="I19" s="125"/>
      <c r="J19" s="128"/>
      <c r="K19" s="129"/>
    </row>
    <row r="20" spans="2:15" ht="12.75" customHeight="1" x14ac:dyDescent="0.25">
      <c r="C20" s="32"/>
      <c r="D20" s="33"/>
    </row>
    <row r="21" spans="2:15" ht="12.75" customHeight="1" x14ac:dyDescent="0.25">
      <c r="C21" s="32"/>
      <c r="D21" s="33"/>
      <c r="F21" s="13"/>
    </row>
    <row r="22" spans="2:15" ht="12.75" customHeight="1" x14ac:dyDescent="0.25">
      <c r="B22" s="116" t="s">
        <v>421</v>
      </c>
      <c r="C22" s="117"/>
      <c r="D22" s="117"/>
      <c r="E22" s="117"/>
      <c r="F22" s="118"/>
      <c r="H22" s="122" t="s">
        <v>386</v>
      </c>
      <c r="I22" s="123"/>
      <c r="J22" s="126" t="str">
        <f ca="1">IF(COUNTIF($J$28:$K$84,"Ezt kérem!")=0,"---",'EÜ. limitek'!$J$16)</f>
        <v>Egészségi nyilatkozat</v>
      </c>
      <c r="K22" s="127"/>
    </row>
    <row r="23" spans="2:15" ht="12.75" customHeight="1" x14ac:dyDescent="0.25">
      <c r="B23" s="119" t="s">
        <v>240</v>
      </c>
      <c r="C23" s="120"/>
      <c r="D23" s="120"/>
      <c r="E23" s="120"/>
      <c r="F23" s="121"/>
      <c r="H23" s="124"/>
      <c r="I23" s="125"/>
      <c r="J23" s="128"/>
      <c r="K23" s="129"/>
    </row>
    <row r="25" spans="2:15" ht="12.75" customHeight="1" x14ac:dyDescent="0.25">
      <c r="B25" s="130" t="s">
        <v>130</v>
      </c>
      <c r="C25" s="130"/>
      <c r="D25" s="130"/>
      <c r="E25" s="130"/>
      <c r="F25" s="130"/>
      <c r="G25" s="130"/>
      <c r="H25" s="130" t="s">
        <v>40</v>
      </c>
      <c r="J25" s="130" t="s">
        <v>41</v>
      </c>
      <c r="K25" s="130"/>
      <c r="O25" s="12" t="s">
        <v>387</v>
      </c>
    </row>
    <row r="26" spans="2:15" s="16" customFormat="1" ht="12.75" customHeight="1" x14ac:dyDescent="0.25">
      <c r="B26" s="130"/>
      <c r="C26" s="130"/>
      <c r="D26" s="130"/>
      <c r="E26" s="130"/>
      <c r="F26" s="130"/>
      <c r="G26" s="130"/>
      <c r="H26" s="130"/>
      <c r="J26" s="130"/>
      <c r="K26" s="130"/>
    </row>
    <row r="27" spans="2:15" ht="12.75" customHeight="1" x14ac:dyDescent="0.25">
      <c r="B27" s="13"/>
      <c r="O27" s="16"/>
    </row>
    <row r="28" spans="2:15" ht="12.75" customHeight="1" x14ac:dyDescent="0.25">
      <c r="B28" s="99" t="s">
        <v>413</v>
      </c>
      <c r="C28" s="104" t="s">
        <v>0</v>
      </c>
      <c r="D28" s="104"/>
      <c r="E28" s="104"/>
      <c r="F28" s="104"/>
      <c r="G28" s="104"/>
      <c r="H28" s="97">
        <v>2500000</v>
      </c>
      <c r="I28" s="17">
        <f ca="1">IF(ISBLANK($C$8),"",ROUND((VLOOKUP($C$9,'MM-MC Tarifák'!$A$3:$AQ$67,HLOOKUP($C28,'MM-MC Tarifák'!$B$1:$AQ$2,2,0),0)+IF($O$28="Ezrelékes",1000,0))/1000000*$H$28*IF(OR(AND($C$16="Forint",OR($H$28=250000,AND($H$28&gt;=500000,$H$28&lt;=200000000))),AND($C$16="Euró",OR($H$28=850,AND($H$28&gt;=1700,$H$28&lt;=650000)))),1,0)*VLOOKUP($C$12,Paraméterek!$K$1:$L$4,2,0),IF($C$16="Forint",0,2)))</f>
        <v>202</v>
      </c>
      <c r="J28" s="105" t="s">
        <v>730</v>
      </c>
      <c r="K28" s="106"/>
      <c r="L28" s="18" t="str">
        <f>IF(AND($J$28="Ezt kérem!",$H$10&lt;&gt;""),"!","")</f>
        <v/>
      </c>
      <c r="M28" s="48"/>
      <c r="N28" s="21"/>
      <c r="O28" s="16">
        <f>IF(ISBLANK($B$23),0,VLOOKUP($B$23,'Foglalkozási pótdíjak'!$A$3:$K$494,2,0))</f>
        <v>0</v>
      </c>
    </row>
    <row r="29" spans="2:15" ht="12.75" customHeight="1" x14ac:dyDescent="0.25">
      <c r="B29" s="99"/>
      <c r="C29" s="104" t="s">
        <v>1</v>
      </c>
      <c r="D29" s="104"/>
      <c r="E29" s="104"/>
      <c r="F29" s="104"/>
      <c r="G29" s="104"/>
      <c r="H29" s="94">
        <v>3000000</v>
      </c>
      <c r="I29" s="17">
        <f ca="1">IF(ISBLANK($C$8),"",ROUND(VLOOKUP($C$9,'MM-MC Tarifák'!$A$3:$AQ$67,HLOOKUP($C29,'MM-MC Tarifák'!$B$1:$AQ$2,2,0),0)/1000*$H$29*IF(OR(AND($C$16="Forint",$H$29&gt;=500000,$H$29&lt;=100000000),AND($C$16="Euró",$H$29&gt;=1700,$H$29&lt;=325000)),1,0)*VLOOKUP($C$12,Paraméterek!$K$1:$L$4,2,0)*IF($O$29="Kizárás",1,1+$O$29),IF($C$16="Forint",0,2)))</f>
        <v>490</v>
      </c>
      <c r="J29" s="105"/>
      <c r="K29" s="106"/>
      <c r="L29" s="18" t="str">
        <f>IF(AND($J$29="Ezt kérem!",OR($H$6&lt;&gt;"",$H$7&lt;&gt;"")),"!","")</f>
        <v/>
      </c>
      <c r="M29" s="48"/>
      <c r="N29" s="27"/>
      <c r="O29" s="16">
        <f>IF(ISBLANK($B$23),0,VLOOKUP($B$23,'Foglalkozási pótdíjak'!$A$3:$K$494,3,0))</f>
        <v>0</v>
      </c>
    </row>
    <row r="30" spans="2:15" ht="12.75" customHeight="1" x14ac:dyDescent="0.25">
      <c r="B30" s="99"/>
      <c r="C30" s="104" t="s">
        <v>412</v>
      </c>
      <c r="D30" s="104"/>
      <c r="E30" s="104"/>
      <c r="F30" s="104"/>
      <c r="G30" s="104"/>
      <c r="H30" s="98">
        <v>10000000</v>
      </c>
      <c r="I30" s="17">
        <f ca="1">IF(ISBLANK($C$8),"",ROUND(VLOOKUP($C$9,'MM-MC Tarifák'!$A$3:$AQ$67,HLOOKUP($C30,'MM-MC Tarifák'!$B$1:$AQ$2,2,0),0)/1000*$H$30*IF(OR(AND($C$16="Forint",$H$30&gt;=500000,$H$30&lt;=100000000),AND($C$16="Euró",$H$30&gt;=1700,$H$30&lt;=325000)),1,0)*VLOOKUP($C$12,Paraméterek!$K$1:$L$4,2,0)*IF($O$30="Kizárás",1,1+$O$30),IF($C$16="Forint",0,2)))</f>
        <v>513</v>
      </c>
      <c r="J30" s="105"/>
      <c r="K30" s="106"/>
      <c r="L30" s="18" t="str">
        <f>IF(AND($J$30="Ezt kérem!",$H$7&lt;&gt;""),"!","")</f>
        <v/>
      </c>
      <c r="M30" s="48"/>
      <c r="N30" s="21"/>
      <c r="O30" s="49">
        <v>0</v>
      </c>
    </row>
    <row r="31" spans="2:15" ht="12.75" customHeight="1" x14ac:dyDescent="0.25">
      <c r="B31" s="99"/>
      <c r="C31" s="104" t="s">
        <v>2</v>
      </c>
      <c r="D31" s="104"/>
      <c r="E31" s="104"/>
      <c r="F31" s="104"/>
      <c r="G31" s="104"/>
      <c r="H31" s="94">
        <v>10000000</v>
      </c>
      <c r="I31" s="17">
        <f ca="1">IF(ISBLANK($C$8),"",ROUND(VLOOKUP($C$9,'MM-MC Tarifák'!$A$3:$AQ$67,HLOOKUP($C31,'MM-MC Tarifák'!$B$1:$AQ$2,2,0),0)/1000*$H$31*IF(OR(AND($C$16="Forint",$H$31&gt;=500000,$H$31&lt;=200000000),AND($C$16="Euró",$H$31&gt;=1700,$H$31&lt;=650000)),1,0)*VLOOKUP($C$12,Paraméterek!$K$1:$L$4,2,0)*IF($O$31="Kizárás",1,1+$O$31),IF($C$16="Forint",0,2)))</f>
        <v>829</v>
      </c>
      <c r="J31" s="105"/>
      <c r="K31" s="106"/>
      <c r="L31" s="18" t="str">
        <f>IF(AND($J$31="Ezt kérem!",$H$10&lt;&gt;""),"!","")</f>
        <v/>
      </c>
      <c r="M31" s="48"/>
      <c r="N31" s="21"/>
      <c r="O31" s="16">
        <f>IF(ISBLANK($B$23),0,VLOOKUP($B$23,'Foglalkozási pótdíjak'!$A$3:$K$494,3,0))</f>
        <v>0</v>
      </c>
    </row>
    <row r="32" spans="2:15" ht="12.75" customHeight="1" x14ac:dyDescent="0.25">
      <c r="B32" s="99"/>
      <c r="C32" s="104" t="s">
        <v>3</v>
      </c>
      <c r="D32" s="104"/>
      <c r="E32" s="104"/>
      <c r="F32" s="104"/>
      <c r="G32" s="104"/>
      <c r="H32" s="94">
        <v>30000000</v>
      </c>
      <c r="I32" s="17">
        <f ca="1">IF(ISBLANK($C$8),"",ROUND(VLOOKUP($C$9,'MM-MC Tarifák'!$A$3:$AQ$67,HLOOKUP($C32,'MM-MC Tarifák'!$B$1:$AQ$2,2,0),0)/1000*$H$32*IF(OR(AND($C$16="Forint",$H$32&gt;=500000,$H$32&lt;=100000000),AND($C$16="Euró",$H$32&gt;=1700,$H$32&lt;=325000)),1,0)*VLOOKUP($C$12,Paraméterek!$K$1:$L$4,2,0)*IF($O$32="Kizárás",1,1+$O$32),IF($C$16="Forint",0,2)))</f>
        <v>77</v>
      </c>
      <c r="J32" s="105"/>
      <c r="K32" s="106"/>
      <c r="L32" s="18" t="str">
        <f>IF(AND($J$32="Ezt kérem!",OR($H$7&lt;&gt;"",$H$9&lt;&gt;"")),"!","")</f>
        <v/>
      </c>
      <c r="M32" s="48"/>
      <c r="N32" s="21"/>
      <c r="O32" s="49">
        <v>0</v>
      </c>
    </row>
    <row r="33" spans="2:15" ht="12.75" customHeight="1" x14ac:dyDescent="0.25">
      <c r="B33" s="74"/>
      <c r="H33" s="74"/>
      <c r="O33" s="16"/>
    </row>
    <row r="34" spans="2:15" ht="12.75" customHeight="1" x14ac:dyDescent="0.25">
      <c r="B34" s="13"/>
      <c r="O34" s="16"/>
    </row>
    <row r="35" spans="2:15" ht="12.75" customHeight="1" x14ac:dyDescent="0.25">
      <c r="B35" s="99" t="s">
        <v>4</v>
      </c>
      <c r="C35" s="104" t="s">
        <v>62</v>
      </c>
      <c r="D35" s="104"/>
      <c r="E35" s="104"/>
      <c r="F35" s="104"/>
      <c r="G35" s="104"/>
      <c r="H35" s="103">
        <v>10000000</v>
      </c>
      <c r="I35" s="17">
        <f ca="1">IF(ISBLANK($C$8),"",ROUND(VLOOKUP($C$9,'MM-MC Tarifák'!$A$3:$AQ$67,HLOOKUP($C35,'MM-MC Tarifák'!$B$1:$AQ$2,2,0),0)/1000*$H$35*IF(OR(AND($C$16="Forint",$H$35&gt;=1000000,$H$35&lt;=50000000),AND($C$16="Euró",$H$35&gt;=3400,$H$35&lt;=162500)),1,0)*VLOOKUP($C$12,Paraméterek!$K$1:$L$4,2,0)*IF($O$35="Kizárás",1,1+$O$35),IF($C$16="Forint",0,2)))</f>
        <v>1231</v>
      </c>
      <c r="J35" s="105"/>
      <c r="K35" s="106"/>
      <c r="L35" s="18" t="str">
        <f>IF(AND($J$35="Ezt kérem!",OR($H$4&lt;&gt;"",$H$5&lt;&gt;"")),"!","")</f>
        <v/>
      </c>
      <c r="M35" s="48"/>
      <c r="N35" s="21"/>
      <c r="O35" s="16">
        <f>IF(ISBLANK($B$23),0,VLOOKUP($B$23,'Foglalkozási pótdíjak'!$A$3:$K$494,4,0))</f>
        <v>0</v>
      </c>
    </row>
    <row r="36" spans="2:15" ht="12.75" customHeight="1" x14ac:dyDescent="0.25">
      <c r="B36" s="99"/>
      <c r="C36" s="104" t="s">
        <v>63</v>
      </c>
      <c r="D36" s="104"/>
      <c r="E36" s="104"/>
      <c r="F36" s="104"/>
      <c r="G36" s="104"/>
      <c r="H36" s="103"/>
      <c r="I36" s="17">
        <f ca="1">IF(ISBLANK($C$8),"",ROUND(VLOOKUP($C$9,'MM-MC Tarifák'!$A$3:$AQ$67,HLOOKUP($C36,'MM-MC Tarifák'!$B$1:$AQ$2,2,0),0)/1000*$H$35*IF(OR(AND($C$16="Forint",$H$35&gt;=1000000,$H$35&lt;=50000000),AND($C$16="Euró",$H$35&gt;=3400,$H$35&lt;=162500)),1,0)*VLOOKUP($C$12,Paraméterek!$K$1:$L$4,2,0)*IF($O$36="Kizárás",1,1+$O$36),IF($C$16="Forint",0,2)))</f>
        <v>1684</v>
      </c>
      <c r="J36" s="105"/>
      <c r="K36" s="106"/>
      <c r="L36" s="18" t="str">
        <f>IF(AND($J$36="Ezt kérem!",OR($H$4&lt;&gt;"",$H$5&lt;&gt;"")),"!","")</f>
        <v/>
      </c>
      <c r="M36" s="48"/>
      <c r="N36" s="21"/>
      <c r="O36" s="16">
        <f>IF(ISBLANK($B$23),0,VLOOKUP($B$23,'Foglalkozási pótdíjak'!$A$3:$K$494,4,0))</f>
        <v>0</v>
      </c>
    </row>
    <row r="37" spans="2:15" ht="12.75" customHeight="1" x14ac:dyDescent="0.25">
      <c r="B37" s="99"/>
      <c r="C37" s="104" t="s">
        <v>64</v>
      </c>
      <c r="D37" s="104"/>
      <c r="E37" s="104"/>
      <c r="F37" s="104"/>
      <c r="G37" s="104"/>
      <c r="H37" s="103"/>
      <c r="I37" s="17">
        <f ca="1">IF(ISBLANK($C$8),"",ROUND(VLOOKUP($C$9,'MM-MC Tarifák'!$A$3:$AQ$67,HLOOKUP($C37,'MM-MC Tarifák'!$B$1:$AQ$2,2,0),0)/1000*$H$35*IF(OR(AND($C$16="Forint",$H$35&gt;=1000000,$H$35&lt;=50000000),AND($C$16="Euró",$H$35&gt;=3400,$H$35&lt;=162500)),1,0)*VLOOKUP($C$12,Paraméterek!$K$1:$L$4,2,0)*IF($O$37="Kizárás",1,1+$O$37),IF($C$16="Forint",0,2)))</f>
        <v>2111</v>
      </c>
      <c r="J37" s="105" t="s">
        <v>730</v>
      </c>
      <c r="K37" s="106"/>
      <c r="L37" s="18" t="str">
        <f>IF(AND($J$37="Ezt kérem!",OR($H$4&lt;&gt;"",$H$5&lt;&gt;"")),"!","")</f>
        <v/>
      </c>
      <c r="M37" s="48"/>
      <c r="N37" s="21"/>
      <c r="O37" s="16">
        <f>IF(ISBLANK($B$23),0,VLOOKUP($B$23,'Foglalkozási pótdíjak'!$A$3:$K$494,4,0))</f>
        <v>0</v>
      </c>
    </row>
    <row r="38" spans="2:15" ht="12.75" customHeight="1" x14ac:dyDescent="0.25">
      <c r="O38" s="16"/>
    </row>
    <row r="39" spans="2:15" ht="12.75" customHeight="1" x14ac:dyDescent="0.25">
      <c r="B39" s="13"/>
      <c r="O39" s="16"/>
    </row>
    <row r="40" spans="2:15" ht="12.75" customHeight="1" x14ac:dyDescent="0.25">
      <c r="B40" s="99" t="s">
        <v>5</v>
      </c>
      <c r="C40" s="104" t="s">
        <v>6</v>
      </c>
      <c r="D40" s="104"/>
      <c r="E40" s="104"/>
      <c r="F40" s="104"/>
      <c r="G40" s="104"/>
      <c r="H40" s="91">
        <v>500000</v>
      </c>
      <c r="I40" s="17">
        <f ca="1">IF(ISBLANK($C$8),"",ROUND(VLOOKUP($C$9,'MM-MC Tarifák'!$A$3:$AQ$67,HLOOKUP($C40,'MM-MC Tarifák'!$B$1:$AQ$2,2,0),0)/1000*$H$40*IF(OR(AND($C$16="Forint",$H$40&gt;=500000,$H$40&lt;=200000000),AND($C$16="Euró",$H$40&gt;=1700,$H$40&lt;=650000)),1,0)*VLOOKUP($C$12,Paraméterek!$K$1:$L$4,2,0)*IF($O$40="Kizárás",1,1+$O$40),IF($C$16="Forint",0,2)))</f>
        <v>28</v>
      </c>
      <c r="J40" s="105"/>
      <c r="K40" s="106"/>
      <c r="L40" s="18" t="str">
        <f>IF(AND($J$40="Ezt kérem!",$H$8&lt;&gt;""),"!","")</f>
        <v/>
      </c>
      <c r="M40" s="48"/>
      <c r="N40" s="21"/>
      <c r="O40" s="16">
        <f>IF(ISBLANK($B$23),0,VLOOKUP($B$23,'Foglalkozási pótdíjak'!$A$3:$K$494,6,0))</f>
        <v>0</v>
      </c>
    </row>
    <row r="41" spans="2:15" ht="12.75" customHeight="1" x14ac:dyDescent="0.25">
      <c r="B41" s="99"/>
      <c r="C41" s="104" t="s">
        <v>7</v>
      </c>
      <c r="D41" s="104"/>
      <c r="E41" s="104"/>
      <c r="F41" s="104"/>
      <c r="G41" s="104"/>
      <c r="H41" s="91">
        <v>500000</v>
      </c>
      <c r="I41" s="17">
        <f ca="1">IF(ISBLANK($C$8),"",ROUND(VLOOKUP($C$9,'MM-MC Tarifák'!$A$3:$AQ$67,HLOOKUP($C41,'MM-MC Tarifák'!$B$1:$AQ$2,2,0),0)/1000*$H$41*IF(OR(AND($C$16="Forint",$H$41&gt;=500000,$H$41&lt;=200000000),AND($C$16="Euró",$H$41&gt;=1700,$H$41&lt;=650000)),1,0)*VLOOKUP($C$12,Paraméterek!$K$1:$L$4,2,0)*IF($O$41="Kizárás",1,1+$O$41),IF($C$16="Forint",0,2)))</f>
        <v>79</v>
      </c>
      <c r="J41" s="105"/>
      <c r="K41" s="106"/>
      <c r="L41" s="18" t="str">
        <f>IF(AND($J$41="Ezt kérem!",$H$8&lt;&gt;""),"!","")</f>
        <v/>
      </c>
      <c r="M41" s="48"/>
      <c r="N41" s="21"/>
      <c r="O41" s="16">
        <f>IF(ISBLANK($B$23),0,VLOOKUP($B$23,'Foglalkozási pótdíjak'!$A$3:$K$494,5,0))</f>
        <v>0</v>
      </c>
    </row>
    <row r="42" spans="2:15" ht="12.75" customHeight="1" x14ac:dyDescent="0.25">
      <c r="B42" s="99"/>
      <c r="C42" s="104" t="s">
        <v>8</v>
      </c>
      <c r="D42" s="104"/>
      <c r="E42" s="104"/>
      <c r="F42" s="104"/>
      <c r="G42" s="104"/>
      <c r="H42" s="91">
        <v>5000000</v>
      </c>
      <c r="I42" s="17">
        <f ca="1">IF(ISBLANK($C$8),"",ROUND(VLOOKUP($C$9,'MM-MC Tarifák'!$A$3:$AQ$67,HLOOKUP($C42,'MM-MC Tarifák'!$B$1:$AQ$2,2,0),0)/1000*$H$42*IF(OR(AND($C$16="Forint",$H$42&gt;=500000,$H$42&lt;=200000000),AND($C$16="Euró",$H$42&gt;=1700,$H$42&lt;=650000)),1,0)*VLOOKUP($C$12,Paraméterek!$K$1:$L$4,2,0)*IF($O$42="Kizárás",1,1+$O$42),IF($C$16="Forint",0,2)))</f>
        <v>1226</v>
      </c>
      <c r="J42" s="105" t="s">
        <v>730</v>
      </c>
      <c r="K42" s="106"/>
      <c r="L42" s="18" t="str">
        <f>IF(AND($J$42="Ezt kérem!",$H$8&lt;&gt;""),"!","")</f>
        <v/>
      </c>
      <c r="M42" s="48"/>
      <c r="N42" s="21"/>
      <c r="O42" s="16">
        <f>IF(ISBLANK($B$23),0,VLOOKUP($B$23,'Foglalkozási pótdíjak'!$A$3:$K$494,5,0))</f>
        <v>0</v>
      </c>
    </row>
    <row r="43" spans="2:15" ht="12.75" customHeight="1" x14ac:dyDescent="0.25">
      <c r="B43" s="99"/>
      <c r="C43" s="104" t="s">
        <v>65</v>
      </c>
      <c r="D43" s="104"/>
      <c r="E43" s="104"/>
      <c r="F43" s="104"/>
      <c r="G43" s="104"/>
      <c r="H43" s="91">
        <v>500000</v>
      </c>
      <c r="I43" s="17">
        <f ca="1">IF(ISBLANK($C$8),"",ROUND(VLOOKUP($C$9,'MM-MC Tarifák'!$A$3:$AQ$67,HLOOKUP($C43,'MM-MC Tarifák'!$B$1:$AQ$2,2,0),0)/1000*$H$43*IF(OR(AND($C$16="Forint",$H$43&gt;=500000,$H$43&lt;=80000000),AND($C$16="Euró",$H$43&gt;=1700,$H$43&lt;=260000)),1,0)*VLOOKUP($C$12,Paraméterek!$K$1:$L$4,2,0)*IF($O$43="Kizárás",1,1+$O$43),IF($C$16="Forint",0,2)))</f>
        <v>163</v>
      </c>
      <c r="J43" s="105"/>
      <c r="K43" s="106"/>
      <c r="L43" s="18" t="str">
        <f>IF(AND($J$43="Ezt kérem!",$H$8&lt;&gt;""),"!","")</f>
        <v/>
      </c>
      <c r="M43" s="48"/>
      <c r="N43" s="21"/>
      <c r="O43" s="16">
        <f>IF(ISBLANK($B$23),0,VLOOKUP($B$23,'Foglalkozási pótdíjak'!$A$3:$K$494,5,0))</f>
        <v>0</v>
      </c>
    </row>
    <row r="44" spans="2:15" ht="12.75" customHeight="1" x14ac:dyDescent="0.25">
      <c r="B44" s="99"/>
      <c r="C44" s="104" t="s">
        <v>9</v>
      </c>
      <c r="D44" s="104"/>
      <c r="E44" s="104"/>
      <c r="F44" s="104"/>
      <c r="G44" s="104"/>
      <c r="H44" s="91">
        <v>20000000</v>
      </c>
      <c r="I44" s="17">
        <f ca="1">IF(ISBLANK($C$8),"",ROUND(VLOOKUP($C$9,'MM-MC Tarifák'!$A$3:$AQ$67,HLOOKUP($C44,'MM-MC Tarifák'!$B$1:$AQ$2,2,0),0)/1000*$H$44*IF(OR(AND($C$16="Forint",$H$44&gt;=500000,$H$44&lt;=100000000),AND($C$16="Euró",$H$44&gt;=1700,$H$44&lt;=325000)),1,0)*VLOOKUP($C$12,Paraméterek!$K$1:$L$4,2,0)*IF($O$44="Kizárás",1,1+$O$44),IF($C$16="Forint",0,2)))</f>
        <v>9590</v>
      </c>
      <c r="J44" s="105"/>
      <c r="K44" s="106"/>
      <c r="L44" s="18" t="str">
        <f>IF(AND($J$44="Ezt kérem!",$H$15&lt;&gt;""),"!","")</f>
        <v/>
      </c>
      <c r="M44" s="48"/>
      <c r="N44" s="21"/>
      <c r="O44" s="16">
        <f>IF(ISBLANK($B$23),0,VLOOKUP($B$23,'Foglalkozási pótdíjak'!$A$3:$K$494,5,0))</f>
        <v>0</v>
      </c>
    </row>
    <row r="45" spans="2:15" ht="12.75" customHeight="1" x14ac:dyDescent="0.25">
      <c r="O45" s="16"/>
    </row>
    <row r="46" spans="2:15" ht="12.75" customHeight="1" x14ac:dyDescent="0.25">
      <c r="B46" s="13"/>
      <c r="O46" s="16"/>
    </row>
    <row r="47" spans="2:15" ht="12.75" customHeight="1" x14ac:dyDescent="0.25">
      <c r="B47" s="133" t="s">
        <v>10</v>
      </c>
      <c r="C47" s="104" t="s">
        <v>67</v>
      </c>
      <c r="D47" s="104"/>
      <c r="E47" s="104"/>
      <c r="F47" s="104"/>
      <c r="G47" s="104"/>
      <c r="H47" s="90"/>
      <c r="I47" s="17">
        <f ca="1">IF(ISBLANK($C$8),"",ROUND(VLOOKUP($C$9,'MM-MC Tarifák'!$A$3:$AQ$67,HLOOKUP($C47,'MM-MC Tarifák'!$B$1:$AQ$2,2,0),0)/1000*$H$47*IF(OR(AND($C$16="Forint",$H$47&gt;=10000,$H$47&lt;=1666666),AND($C$16="Euró",$H$47&gt;=34,$H$47&lt;=5416)),1,0)*VLOOKUP($C$12,Paraméterek!$K$1:$L$4,2,0)*IF($O$47="Kizárás",1,1+$O$47),IF($C$16="Forint",0,2)))</f>
        <v>0</v>
      </c>
      <c r="J47" s="132"/>
      <c r="K47" s="132"/>
      <c r="L47" s="18" t="str">
        <f>IF(AND($J$47="Ezt kérem!",OR($H$6&lt;&gt;"",$H$7&lt;&gt;"")),"!","")</f>
        <v/>
      </c>
      <c r="M47" s="48"/>
      <c r="N47" s="21"/>
      <c r="O47" s="16">
        <f>IF(ISBLANK($B$23),0,VLOOKUP($B$23,'Foglalkozási pótdíjak'!$A$3:$K$494,3,0))</f>
        <v>0</v>
      </c>
    </row>
    <row r="48" spans="2:15" ht="12.75" customHeight="1" x14ac:dyDescent="0.25">
      <c r="B48" s="133"/>
      <c r="C48" s="104" t="s">
        <v>68</v>
      </c>
      <c r="D48" s="104"/>
      <c r="E48" s="104"/>
      <c r="F48" s="104"/>
      <c r="G48" s="104"/>
      <c r="H48" s="90"/>
      <c r="I48" s="17">
        <f ca="1">IF(ISBLANK($C$8),"",ROUND(VLOOKUP($C$9,'MM-MC Tarifák'!$A$3:$AQ$67,HLOOKUP($C48,'MM-MC Tarifák'!$B$1:$AQ$2,2,0),0)/1000*$H$48*IF(OR(AND($C$16="Forint",$H$48&gt;=10000,$H$48&lt;=833333),AND($C$16="Euró",$H$48&gt;=34,$H$48&lt;=2708)),1,0)*VLOOKUP($C$12,Paraméterek!$K$1:$L$4,2,0)*IF($O$48="Kizárás",1,1+$O$48),IF($C$16="Forint",0,2)))</f>
        <v>0</v>
      </c>
      <c r="J48" s="132"/>
      <c r="K48" s="132"/>
      <c r="L48" s="18" t="str">
        <f>IF(AND($J$48="Ezt kérem!",OR($H$6&lt;&gt;"",$H$7&lt;&gt;"")),"!","")</f>
        <v/>
      </c>
      <c r="M48" s="48"/>
      <c r="N48" s="21"/>
      <c r="O48" s="16">
        <f>IF(ISBLANK($B$23),0,VLOOKUP($B$23,'Foglalkozási pótdíjak'!$A$3:$K$494,3,0))</f>
        <v>0</v>
      </c>
    </row>
    <row r="49" spans="2:15" ht="12.75" customHeight="1" x14ac:dyDescent="0.25">
      <c r="B49" s="133"/>
      <c r="C49" s="104" t="s">
        <v>118</v>
      </c>
      <c r="D49" s="104"/>
      <c r="E49" s="104"/>
      <c r="F49" s="104"/>
      <c r="G49" s="104"/>
      <c r="H49" s="90"/>
      <c r="I49" s="17">
        <f ca="1">IF(ISBLANK($C$8),"",ROUND(VLOOKUP($C$9,'MM-MC Tarifák'!$A$3:$AQ$67,HLOOKUP($C49,'MM-MC Tarifák'!$B$1:$AQ$2,2,0),0)/1000*$H$49*IF(OR(AND($C$16="Forint",$H$49&gt;=10000,$H$49&lt;=416666),AND($C$16="Euró",$H$49&gt;=34,$H$49&lt;=1354)),1,0)*VLOOKUP($C$12,Paraméterek!$K$1:$L$4,2,0)*IF($O$49="Kizárás",1,1+$O$49),IF($C$16="Forint",0,2)))</f>
        <v>0</v>
      </c>
      <c r="J49" s="132"/>
      <c r="K49" s="132"/>
      <c r="L49" s="18" t="str">
        <f>IF(AND($J$49="Ezt kérem!",OR($H$6&lt;&gt;"",$H$7&lt;&gt;"")),"!","")</f>
        <v/>
      </c>
      <c r="M49" s="48"/>
      <c r="N49" s="21"/>
      <c r="O49" s="16">
        <f>IF(ISBLANK($B$23),0,VLOOKUP($B$23,'Foglalkozási pótdíjak'!$A$3:$K$494,3,0))</f>
        <v>0</v>
      </c>
    </row>
    <row r="50" spans="2:15" ht="12.75" customHeight="1" x14ac:dyDescent="0.25">
      <c r="B50" s="133"/>
      <c r="C50" s="104" t="s">
        <v>69</v>
      </c>
      <c r="D50" s="104"/>
      <c r="E50" s="104"/>
      <c r="F50" s="104"/>
      <c r="G50" s="104"/>
      <c r="H50" s="90"/>
      <c r="I50" s="17">
        <f ca="1">IF(ISBLANK($C$8),"",ROUND(VLOOKUP($C$9,'MM-MC Tarifák'!$A$3:$AQ$67,HLOOKUP($C50,'MM-MC Tarifák'!$B$1:$AQ$2,2,0),0)/1000*$H$50*IF(OR(AND($C$16="Forint",$H$50&gt;=10000,$H$50&lt;=1666666),AND($C$16="Euró",$H$50&gt;=34,$H$50&lt;=5417)),1,0)*VLOOKUP($C$12,Paraméterek!$K$1:$L$4,2,0)*IF($O$50="Kizárás",1,1+$O$50),IF($C$16="Forint",0,2)))</f>
        <v>0</v>
      </c>
      <c r="J50" s="132"/>
      <c r="K50" s="132"/>
      <c r="L50" s="18" t="str">
        <f>IF(AND($J$50="Ezt kérem!",OR($H$7&lt;&gt;"",$H$9&lt;&gt;"")),"!","")</f>
        <v/>
      </c>
      <c r="M50" s="48"/>
      <c r="N50" s="21"/>
      <c r="O50" s="49">
        <v>0</v>
      </c>
    </row>
    <row r="51" spans="2:15" ht="12.75" customHeight="1" x14ac:dyDescent="0.25">
      <c r="B51" s="133"/>
      <c r="C51" s="104" t="s">
        <v>70</v>
      </c>
      <c r="D51" s="104"/>
      <c r="E51" s="104"/>
      <c r="F51" s="104"/>
      <c r="G51" s="104"/>
      <c r="H51" s="90"/>
      <c r="I51" s="17">
        <f ca="1">IF(ISBLANK($C$8),"",ROUND(VLOOKUP($C$9,'MM-MC Tarifák'!$A$3:$AQ$67,HLOOKUP($C51,'MM-MC Tarifák'!$B$1:$AQ$2,2,0),0)/1000*$H$51*IF(OR(AND($C$16="Forint",$H$51&gt;=10000,$H$51&lt;=833333),AND($C$16="Euró",$H$51&gt;=34,$H$51&lt;=2708)),1,0)*VLOOKUP($C$12,Paraméterek!$K$1:$L$4,2,0)*IF($O$51="Kizárás",1,1+$O$51),IF($C$16="Forint",0,2)))</f>
        <v>0</v>
      </c>
      <c r="J51" s="132"/>
      <c r="K51" s="132"/>
      <c r="L51" s="18" t="str">
        <f>IF(AND($J$51="Ezt kérem!",OR($H$7&lt;&gt;"",$H$9&lt;&gt;"")),"!","")</f>
        <v/>
      </c>
      <c r="M51" s="48"/>
      <c r="N51" s="21"/>
      <c r="O51" s="49">
        <v>0</v>
      </c>
    </row>
    <row r="52" spans="2:15" ht="12.75" customHeight="1" x14ac:dyDescent="0.25">
      <c r="B52" s="133"/>
      <c r="C52" s="104" t="s">
        <v>119</v>
      </c>
      <c r="D52" s="104"/>
      <c r="E52" s="104"/>
      <c r="F52" s="104"/>
      <c r="G52" s="104"/>
      <c r="H52" s="90"/>
      <c r="I52" s="17">
        <f ca="1">IF(ISBLANK($C$8),"",ROUND(VLOOKUP($C$9,'MM-MC Tarifák'!$A$3:$AQ$67,HLOOKUP($C52,'MM-MC Tarifák'!$B$1:$AQ$2,2,0),0)/1000*$H$52*IF(OR(AND($C$16="Forint",$H$52&gt;=10000,$H$52&lt;=416666),AND($C$16="Euró",$H$52&gt;=34,$H$52&lt;=1354)),1,0)*VLOOKUP($C$12,Paraméterek!$K$1:$L$4,2,0)*IF($O$52="Kizárás",1,1+$O$52),IF($C$16="Forint",0,2)))</f>
        <v>0</v>
      </c>
      <c r="J52" s="132"/>
      <c r="K52" s="132"/>
      <c r="L52" s="18" t="str">
        <f>IF(AND($J$52="Ezt kérem!",OR($H$7&lt;&gt;"",$H$9&lt;&gt;"")),"!","")</f>
        <v/>
      </c>
      <c r="M52" s="48"/>
      <c r="N52" s="21"/>
      <c r="O52" s="49">
        <v>0</v>
      </c>
    </row>
    <row r="53" spans="2:15" ht="12.75" customHeight="1" x14ac:dyDescent="0.25">
      <c r="B53" s="133"/>
      <c r="C53" s="104" t="s">
        <v>71</v>
      </c>
      <c r="D53" s="104"/>
      <c r="E53" s="104"/>
      <c r="F53" s="104"/>
      <c r="G53" s="104"/>
      <c r="H53" s="90"/>
      <c r="I53" s="17">
        <f ca="1">IF(ISBLANK($C$8),"",ROUND(VLOOKUP($C$9,'MM-MC Tarifák'!$A$3:$AQ$67,HLOOKUP($C53,'MM-MC Tarifák'!$B$1:$AQ$2,2,0),0)/1000*$H$53*IF(OR(AND($C$16="Forint",$H$53&gt;=10000,$H$53&lt;=3333333),AND($C$16="Euró",$H$53&gt;=34,$H$53&lt;=10833)),1,0)*VLOOKUP($C$12,Paraméterek!$K$1:$L$4,2,0)*IF($O$53="Kizárás",1,1+$O$53),IF($C$16="Forint",0,2)))</f>
        <v>0</v>
      </c>
      <c r="J53" s="132"/>
      <c r="K53" s="132"/>
      <c r="L53" s="18" t="str">
        <f>IF(AND($J$53="Ezt kérem!",OR($H$8&lt;&gt;"",$H$15&lt;&gt;"")),"!","")</f>
        <v/>
      </c>
      <c r="M53" s="48"/>
      <c r="N53" s="21"/>
      <c r="O53" s="16">
        <f>IF(ISBLANK($B$23),0,VLOOKUP($B$23,'Foglalkozási pótdíjak'!$A$3:$K$494,6,0))</f>
        <v>0</v>
      </c>
    </row>
    <row r="54" spans="2:15" ht="12.75" customHeight="1" x14ac:dyDescent="0.25">
      <c r="B54" s="133"/>
      <c r="C54" s="104" t="s">
        <v>72</v>
      </c>
      <c r="D54" s="104"/>
      <c r="E54" s="104"/>
      <c r="F54" s="104"/>
      <c r="G54" s="104"/>
      <c r="H54" s="90"/>
      <c r="I54" s="17">
        <f ca="1">IF(ISBLANK($C$8),"",ROUND(VLOOKUP($C$9,'MM-MC Tarifák'!$A$3:$AQ$67,HLOOKUP($C54,'MM-MC Tarifák'!$B$1:$AQ$2,2,0),0)/1000*$H$54*IF(OR(AND($C$16="Forint",$H$54&gt;=10000,$H$54&lt;=1666666),AND($C$16="Euró",$H$54&gt;=34,$H$54&lt;=5416)),1,0)*VLOOKUP($C$12,Paraméterek!$K$1:$L$4,2,0)*IF($O$54="Kizárás",1,1+$O$54),IF($C$16="Forint",0,2)))</f>
        <v>0</v>
      </c>
      <c r="J54" s="132"/>
      <c r="K54" s="132"/>
      <c r="L54" s="18" t="str">
        <f>IF(AND($J$54="Ezt kérem!",OR($H$8&lt;&gt;"",$H$15&lt;&gt;"")),"!","")</f>
        <v/>
      </c>
      <c r="M54" s="48"/>
      <c r="N54" s="21"/>
      <c r="O54" s="16">
        <f>IF(ISBLANK($B$23),0,VLOOKUP($B$23,'Foglalkozási pótdíjak'!$A$3:$K$494,6,0))</f>
        <v>0</v>
      </c>
    </row>
    <row r="55" spans="2:15" ht="12.75" customHeight="1" x14ac:dyDescent="0.25">
      <c r="B55" s="133"/>
      <c r="C55" s="104" t="s">
        <v>120</v>
      </c>
      <c r="D55" s="104"/>
      <c r="E55" s="104"/>
      <c r="F55" s="104"/>
      <c r="G55" s="104"/>
      <c r="H55" s="90"/>
      <c r="I55" s="17">
        <f ca="1">IF(ISBLANK($C$8),"",ROUND(VLOOKUP($C$9,'MM-MC Tarifák'!$A$3:$AQ$67,HLOOKUP($C55,'MM-MC Tarifák'!$B$1:$AQ$2,2,0),0)/1000*$H$55*IF(OR(AND($C$16="Forint",$H$55&gt;=10000,$H$55&lt;=833333),AND($C$16="Euró",$H$55&gt;=34,$H$55&lt;=2708)),1,0)*VLOOKUP($C$12,Paraméterek!$K$1:$L$4,2,0)*IF($O$55="Kizárás",1,1+$O$55),IF($C$16="Forint",0,2)))</f>
        <v>0</v>
      </c>
      <c r="J55" s="132"/>
      <c r="K55" s="132"/>
      <c r="L55" s="18" t="str">
        <f>IF(AND($J$55="Ezt kérem!",OR($H$8&lt;&gt;"",$H$15&lt;&gt;"")),"!","")</f>
        <v/>
      </c>
      <c r="M55" s="48"/>
      <c r="N55" s="21"/>
      <c r="O55" s="16">
        <f>IF(ISBLANK($B$23),0,VLOOKUP($B$23,'Foglalkozási pótdíjak'!$A$3:$K$494,6,0))</f>
        <v>0</v>
      </c>
    </row>
    <row r="56" spans="2:15" ht="12.75" customHeight="1" x14ac:dyDescent="0.25">
      <c r="B56" s="133"/>
      <c r="C56" s="104" t="s">
        <v>73</v>
      </c>
      <c r="D56" s="104"/>
      <c r="E56" s="104"/>
      <c r="F56" s="104"/>
      <c r="G56" s="104"/>
      <c r="H56" s="90"/>
      <c r="I56" s="17">
        <f ca="1">IF(ISBLANK($C$8),"",ROUND(VLOOKUP($C$9,'MM-MC Tarifák'!$A$3:$AQ$67,HLOOKUP($C56,'MM-MC Tarifák'!$B$1:$AQ$2,2,0),0)/1000*$H$56*IF(OR(AND($C$16="Forint",$H$56&gt;=10000,$H$56&lt;=1666666),AND($C$16="Euró",$H$56&gt;=34,$H$56&lt;=5416)),1,0)*VLOOKUP($C$12,Paraméterek!$K$1:$L$4,2,0)*IF($O$56="Kizárás",1,1+$O$56),IF($C$16="Forint",0,2)))</f>
        <v>0</v>
      </c>
      <c r="J56" s="132"/>
      <c r="K56" s="132"/>
      <c r="L56" s="18" t="str">
        <f>IF(AND($J$56="Ezt kérem!",$H$15&lt;&gt;""),"!","")</f>
        <v/>
      </c>
      <c r="M56" s="48"/>
      <c r="N56" s="21"/>
      <c r="O56" s="16">
        <f>IF(ISBLANK($B$23),0,VLOOKUP($B$23,'Foglalkozási pótdíjak'!$A$3:$K$494,5,0))</f>
        <v>0</v>
      </c>
    </row>
    <row r="57" spans="2:15" ht="12.75" customHeight="1" x14ac:dyDescent="0.25">
      <c r="B57" s="133"/>
      <c r="C57" s="104" t="s">
        <v>74</v>
      </c>
      <c r="D57" s="104"/>
      <c r="E57" s="104"/>
      <c r="F57" s="104"/>
      <c r="G57" s="104"/>
      <c r="H57" s="90"/>
      <c r="I57" s="17">
        <f ca="1">IF(ISBLANK($C$8),"",ROUND(VLOOKUP($C$9,'MM-MC Tarifák'!$A$3:$AQ$67,HLOOKUP($C57,'MM-MC Tarifák'!$B$1:$AQ$2,2,0),0)/1000*$H$57*IF(OR(AND($C$16="Forint",$H$57&gt;=10000,$H$57&lt;=833333),AND($C$16="Euró",$H$57&gt;=34,$H$57&lt;=2708)),1,0)*VLOOKUP($C$12,Paraméterek!$K$1:$L$4,2,0)*IF($O$57="Kizárás",1,1+$O$57),IF($C$16="Forint",0,2)))</f>
        <v>0</v>
      </c>
      <c r="J57" s="132"/>
      <c r="K57" s="132"/>
      <c r="L57" s="18" t="str">
        <f>IF(AND($J$57="Ezt kérem!",$H$15&lt;&gt;""),"!","")</f>
        <v/>
      </c>
      <c r="M57" s="48"/>
      <c r="N57" s="21"/>
      <c r="O57" s="16">
        <f>IF(ISBLANK($B$23),0,VLOOKUP($B$23,'Foglalkozási pótdíjak'!$A$3:$K$494,5,0))</f>
        <v>0</v>
      </c>
    </row>
    <row r="58" spans="2:15" ht="12.75" customHeight="1" x14ac:dyDescent="0.25">
      <c r="B58" s="133"/>
      <c r="C58" s="104" t="s">
        <v>121</v>
      </c>
      <c r="D58" s="104"/>
      <c r="E58" s="104"/>
      <c r="F58" s="104"/>
      <c r="G58" s="104"/>
      <c r="H58" s="90"/>
      <c r="I58" s="17">
        <f ca="1">IF(ISBLANK($C$8),"",ROUND(VLOOKUP($C$9,'MM-MC Tarifák'!$A$3:$AQ$67,HLOOKUP($C58,'MM-MC Tarifák'!$B$1:$AQ$2,2,0),0)/1000*$H$58*IF(OR(AND($C$16="Forint",$H$58&gt;=10000,$H$58&lt;=416666),AND($C$16="Euró",$H$58&gt;=34,$H$58&lt;=1354)),1,0)*VLOOKUP($C$12,Paraméterek!$K$1:$L$4,2,0)*IF($O$58="Kizárás",1,1+$O$58),IF($C$16="Forint",0,2)))</f>
        <v>0</v>
      </c>
      <c r="J58" s="132"/>
      <c r="K58" s="132"/>
      <c r="L58" s="18" t="str">
        <f>IF(AND($J$58="Ezt kérem!",$H$15&lt;&gt;""),"!","")</f>
        <v/>
      </c>
      <c r="M58" s="48"/>
      <c r="N58" s="21"/>
      <c r="O58" s="16">
        <f>IF(ISBLANK($B$23),0,VLOOKUP($B$23,'Foglalkozási pótdíjak'!$A$3:$K$494,5,0))</f>
        <v>0</v>
      </c>
    </row>
    <row r="59" spans="2:15" ht="12.75" customHeight="1" x14ac:dyDescent="0.25">
      <c r="O59" s="16"/>
    </row>
    <row r="60" spans="2:15" ht="12.75" customHeight="1" x14ac:dyDescent="0.25">
      <c r="B60" s="13"/>
      <c r="O60" s="16"/>
    </row>
    <row r="61" spans="2:15" ht="12.75" customHeight="1" x14ac:dyDescent="0.25">
      <c r="B61" s="99" t="s">
        <v>11</v>
      </c>
      <c r="C61" s="104" t="s">
        <v>12</v>
      </c>
      <c r="D61" s="104"/>
      <c r="E61" s="104"/>
      <c r="F61" s="104"/>
      <c r="G61" s="104"/>
      <c r="H61" s="90">
        <v>500000</v>
      </c>
      <c r="I61" s="17">
        <f ca="1">IF(ISBLANK($C$8),"",ROUND(VLOOKUP($C$9,'MM-MC Tarifák'!$A$3:$AQ$67,HLOOKUP($C61,'MM-MC Tarifák'!$B$1:$AQ$2,2,0),0)/1000*$H$61*IF(OR(AND($C$16="Forint",$H$61&gt;=100000,$H$61&lt;=1000000),AND($C$16="Euró",$H$61&gt;=340,$H$61&lt;=3250)),1,0)*VLOOKUP($C$12,Paraméterek!$K$1:$L$4,2,0)*IF($O$61="Kizárás",1,1+$O$61),IF($C$16="Forint",0,2)))</f>
        <v>988</v>
      </c>
      <c r="J61" s="105"/>
      <c r="K61" s="106"/>
      <c r="L61" s="18" t="str">
        <f>IF(AND($J$61="Ezt kérem!",$H$13&lt;&gt;""),"!","")</f>
        <v/>
      </c>
      <c r="M61" s="48"/>
      <c r="N61" s="21"/>
      <c r="O61" s="16">
        <f>IF(ISBLANK($B$23),0,VLOOKUP($B$23,'Foglalkozási pótdíjak'!$A$3:$K$494,8,0))</f>
        <v>0</v>
      </c>
    </row>
    <row r="62" spans="2:15" ht="12.75" customHeight="1" x14ac:dyDescent="0.25">
      <c r="B62" s="99"/>
      <c r="C62" s="104" t="s">
        <v>66</v>
      </c>
      <c r="D62" s="104"/>
      <c r="E62" s="104"/>
      <c r="F62" s="104"/>
      <c r="G62" s="104"/>
      <c r="H62" s="94">
        <v>500000</v>
      </c>
      <c r="I62" s="17">
        <f ca="1">IF(ISBLANK($C$8),"",ROUND(VLOOKUP($C$9,'MM-MC Tarifák'!$A$3:$AQ$67,HLOOKUP($C62,'MM-MC Tarifák'!$B$1:$AQ$2,2,0),0)/1000*$H$62*IF(OR(AND($C$16="Forint",$H$62&gt;=100000,$H$62&lt;=500000),AND($C$16="Euró",$H$62&gt;=340,$H$62&lt;=1625)),1,0)*VLOOKUP($C$12,Paraméterek!$K$1:$L$4,2,0)*IF($O$62="Kizárás",1,1+$O$62),IF($C$16="Forint",0,2)))</f>
        <v>1563</v>
      </c>
      <c r="J62" s="105"/>
      <c r="K62" s="106"/>
      <c r="L62" s="18" t="str">
        <f>IF(AND($J$62="Ezt kérem!",$H$13&lt;&gt;""),"!","")</f>
        <v/>
      </c>
      <c r="M62" s="48"/>
      <c r="N62" s="21"/>
      <c r="O62" s="16">
        <f>IF(ISBLANK($B$23),0,VLOOKUP($B$23,'Foglalkozási pótdíjak'!$A$3:$K$494,8,0))</f>
        <v>0</v>
      </c>
    </row>
    <row r="63" spans="2:15" ht="12.75" customHeight="1" x14ac:dyDescent="0.25">
      <c r="B63" s="99"/>
      <c r="C63" s="104" t="s">
        <v>25</v>
      </c>
      <c r="D63" s="104"/>
      <c r="E63" s="104"/>
      <c r="F63" s="104"/>
      <c r="G63" s="104"/>
      <c r="H63" s="94">
        <v>150000</v>
      </c>
      <c r="I63" s="17">
        <f ca="1">IF(ISBLANK($C$8),"",ROUND(VLOOKUP($C$9,'MM-MC Tarifák'!$A$3:$AQ$67,HLOOKUP($C63,'MM-MC Tarifák'!$B$1:$AQ$2,2,0),0)/1000*$H$63*IF(OR(AND($C$16="Forint",$H$63&gt;=100000,$H$63&lt;=1000000),AND($C$16="Euró",$H$63&gt;=340,$H$63&lt;=3250)),1,0)*VLOOKUP($C$12,Paraméterek!$K$1:$L$4,2,0)*IF($O$63="Kizárás",1,1+$O$63),IF($C$16="Forint",0,2)))</f>
        <v>784</v>
      </c>
      <c r="J63" s="105" t="s">
        <v>730</v>
      </c>
      <c r="K63" s="106"/>
      <c r="L63" s="18" t="str">
        <f>IF(AND($J$63="Ezt kérem!",$H$14&lt;&gt;""),"!","")</f>
        <v/>
      </c>
      <c r="M63" s="48"/>
      <c r="N63" s="21"/>
      <c r="O63" s="16">
        <f>IF(ISBLANK($B$23),0,VLOOKUP($B$23,'Foglalkozási pótdíjak'!$A$3:$K$494,9,0))</f>
        <v>0</v>
      </c>
    </row>
    <row r="64" spans="2:15" ht="12.75" customHeight="1" x14ac:dyDescent="0.25">
      <c r="B64" s="99"/>
      <c r="C64" s="104" t="s">
        <v>427</v>
      </c>
      <c r="D64" s="104"/>
      <c r="E64" s="104"/>
      <c r="F64" s="104"/>
      <c r="G64" s="104"/>
      <c r="H64" s="94">
        <v>500000</v>
      </c>
      <c r="I64" s="17">
        <f ca="1">IF(ISBLANK($C$8),"",ROUND(VLOOKUP($C$9,'MM-MC Tarifák'!$A$3:$AQ$67,HLOOKUP($C64,'MM-MC Tarifák'!$B$1:$AQ$2,2,0),0)/1000*$H$64*IF(OR(AND($C$16="Forint",$H$64&gt;=100000,$H$64&lt;=500000),AND($C$16="Euró",$H$64&gt;=340,$H$64&lt;=1625)),1,0)*VLOOKUP($C$12,Paraméterek!$K$1:$L$4,2,0)*IF($O$64="Kizárás",1,1+$O$64),IF($C$16="Forint",0,2)))</f>
        <v>4091</v>
      </c>
      <c r="J64" s="105"/>
      <c r="K64" s="106"/>
      <c r="L64" s="18" t="str">
        <f>IF(AND($J$64="Ezt kérem!",$H$14&lt;&gt;""),"!","")</f>
        <v/>
      </c>
      <c r="M64" s="48"/>
      <c r="N64" s="21"/>
      <c r="O64" s="16">
        <f>IF(ISBLANK($B$23),0,VLOOKUP($B$23,'Foglalkozási pótdíjak'!$A$3:$K$494,9,0))</f>
        <v>0</v>
      </c>
    </row>
    <row r="65" spans="2:15" ht="12.75" customHeight="1" x14ac:dyDescent="0.25">
      <c r="O65" s="16"/>
    </row>
    <row r="66" spans="2:15" ht="12.75" customHeight="1" x14ac:dyDescent="0.25">
      <c r="B66" s="13"/>
      <c r="O66" s="16"/>
    </row>
    <row r="67" spans="2:15" ht="12.75" customHeight="1" x14ac:dyDescent="0.25">
      <c r="B67" s="99" t="s">
        <v>13</v>
      </c>
      <c r="C67" s="104" t="s">
        <v>14</v>
      </c>
      <c r="D67" s="104"/>
      <c r="E67" s="104"/>
      <c r="F67" s="104"/>
      <c r="G67" s="104"/>
      <c r="H67" s="90">
        <v>5000</v>
      </c>
      <c r="I67" s="17">
        <f ca="1">IF(ISBLANK($C$8),"",ROUND(VLOOKUP($C$9,'MM-MC Tarifák'!$A$3:$AQ$67,HLOOKUP($C67,'MM-MC Tarifák'!$B$1:$AQ$2,2,0),0)/1000*$H$67*IF(OR(AND($C$16="Forint",$H$67&gt;=2000,$H$67&lt;=40000),AND($C$16="Euró",$H$67&gt;=7,$H$67&lt;=130)),1,0)*VLOOKUP($C$12,Paraméterek!$K$1:$L$4,2,0)*IF($O$67="Kizárás",1,1+$O$67),IF($C$16="Forint",0,2)))</f>
        <v>271</v>
      </c>
      <c r="J67" s="105"/>
      <c r="K67" s="106"/>
      <c r="L67" s="18" t="str">
        <f>IF(AND($J$67="Ezt kérem!",$H$11&lt;&gt;""),"!","")</f>
        <v/>
      </c>
      <c r="M67" s="48"/>
      <c r="N67" s="21"/>
      <c r="O67" s="16">
        <f>IF(ISBLANK($B$23),0,VLOOKUP($B$23,'Foglalkozási pótdíjak'!$A$3:$K$494,10,0))</f>
        <v>0</v>
      </c>
    </row>
    <row r="68" spans="2:15" ht="12.75" customHeight="1" x14ac:dyDescent="0.25">
      <c r="B68" s="99"/>
      <c r="C68" s="104" t="s">
        <v>75</v>
      </c>
      <c r="D68" s="104"/>
      <c r="E68" s="104"/>
      <c r="F68" s="104"/>
      <c r="G68" s="104"/>
      <c r="H68" s="94">
        <v>5000</v>
      </c>
      <c r="I68" s="17">
        <f ca="1">IF(ISBLANK($C$8),"",ROUND(VLOOKUP($C$9,'MM-MC Tarifák'!$A$3:$AQ$67,HLOOKUP($C68,'MM-MC Tarifák'!$B$1:$AQ$2,2,0),0)/1000*$H$68*IF(OR(AND($C$16="Forint",$H$68&gt;=2000,$H$68&lt;=20000),AND($C$16="Euró",$H$68&gt;=7,$H$68&lt;=65)),1,0)*VLOOKUP($C$12,Paraméterek!$K$1:$L$4,2,0)*IF($O$68="Kizárás",1,1+$O$68),IF($C$16="Forint",0,2)))</f>
        <v>350</v>
      </c>
      <c r="J68" s="105"/>
      <c r="K68" s="106"/>
      <c r="L68" s="18" t="str">
        <f>IF(AND($J$68="Ezt kérem!",$H$11&lt;&gt;""),"!","")</f>
        <v/>
      </c>
      <c r="M68" s="48"/>
      <c r="N68" s="21"/>
      <c r="O68" s="16">
        <f>IF(ISBLANK($B$23),0,VLOOKUP($B$23,'Foglalkozási pótdíjak'!$A$3:$K$494,10,0))</f>
        <v>0</v>
      </c>
    </row>
    <row r="69" spans="2:15" ht="12.75" customHeight="1" x14ac:dyDescent="0.25">
      <c r="B69" s="99"/>
      <c r="C69" s="104" t="s">
        <v>15</v>
      </c>
      <c r="D69" s="104"/>
      <c r="E69" s="104"/>
      <c r="F69" s="104"/>
      <c r="G69" s="104"/>
      <c r="H69" s="94">
        <v>3000</v>
      </c>
      <c r="I69" s="17">
        <f ca="1">IF(ISBLANK($C$8),"",ROUND(VLOOKUP($C$9,'MM-MC Tarifák'!$A$3:$AQ$67,HLOOKUP($C69,'MM-MC Tarifák'!$B$1:$AQ$2,2,0),0)/1000*$H$69*IF(OR(AND($C$16="Forint",$H$69&gt;=2000,$H$69&lt;=40000),AND($C$16="Euró",$H$69&gt;=7,$H$69&lt;=130)),1,0)*VLOOKUP($C$12,Paraméterek!$K$1:$L$4,2,0)*IF($O$69="Kizárás",1,1+$O$69),IF($C$16="Forint",0,2)))</f>
        <v>131</v>
      </c>
      <c r="J69" s="105"/>
      <c r="K69" s="106"/>
      <c r="L69" s="18" t="str">
        <f>IF(AND($J$69="Ezt kérem!",$H$11&lt;&gt;""),"!","")</f>
        <v/>
      </c>
      <c r="M69" s="48"/>
      <c r="N69" s="21"/>
      <c r="O69" s="16">
        <f>IF(ISBLANK($B$23),0,VLOOKUP($B$23,'Foglalkozási pótdíjak'!$A$3:$K$494,10,0))</f>
        <v>0</v>
      </c>
    </row>
    <row r="70" spans="2:15" ht="12.75" customHeight="1" x14ac:dyDescent="0.25">
      <c r="B70" s="99"/>
      <c r="C70" s="104" t="s">
        <v>76</v>
      </c>
      <c r="D70" s="104"/>
      <c r="E70" s="104"/>
      <c r="F70" s="104"/>
      <c r="G70" s="104"/>
      <c r="H70" s="94">
        <v>3000</v>
      </c>
      <c r="I70" s="17">
        <f ca="1">IF(ISBLANK($C$8),"",ROUND(VLOOKUP($C$9,'MM-MC Tarifák'!$A$3:$AQ$67,HLOOKUP($C70,'MM-MC Tarifák'!$B$1:$AQ$2,2,0),0)/1000*$H$70*IF(OR(AND($C$16="Forint",$H$70&gt;=2000,$H$70&lt;=20000),AND($C$16="Euró",$H$70&gt;=7,$H$70&lt;=65)),1,0)*VLOOKUP($C$12,Paraméterek!$K$1:$L$4,2,0)*IF($O$70="Kizárás",1,1+$O$70),IF($C$16="Forint",0,2)))</f>
        <v>178</v>
      </c>
      <c r="J70" s="105"/>
      <c r="K70" s="106"/>
      <c r="L70" s="18" t="str">
        <f>IF(AND($J$70="Ezt kérem!",$H$11&lt;&gt;""),"!","")</f>
        <v/>
      </c>
      <c r="M70" s="48"/>
      <c r="N70" s="21"/>
      <c r="O70" s="16">
        <f>IF(ISBLANK($B$23),0,VLOOKUP($B$23,'Foglalkozási pótdíjak'!$A$3:$K$494,10,0))</f>
        <v>0</v>
      </c>
    </row>
    <row r="71" spans="2:15" ht="12.75" customHeight="1" x14ac:dyDescent="0.25">
      <c r="B71" s="99"/>
      <c r="C71" s="104" t="s">
        <v>16</v>
      </c>
      <c r="D71" s="104"/>
      <c r="E71" s="104"/>
      <c r="F71" s="104"/>
      <c r="G71" s="104"/>
      <c r="H71" s="94">
        <v>2000</v>
      </c>
      <c r="I71" s="17">
        <f ca="1">IF(ISBLANK($C$8),"",ROUND(VLOOKUP($C$9,'MM-MC Tarifák'!$A$3:$AQ$67,HLOOKUP($C71,'MM-MC Tarifák'!$B$1:$AQ$2,2,0),0)/1000*$H$71*IF(OR(AND($C$16="Forint",$H$71&gt;=2000,$H$71&lt;=40000),AND($C$16="Euró",$H$71&gt;=7,$H$71&lt;=130)),1,0)*VLOOKUP($C$12,Paraméterek!$K$1:$L$4,2,0)*IF($O$71="Kizárás",1,1+$O$71),IF($C$16="Forint",0,2)))</f>
        <v>517</v>
      </c>
      <c r="J71" s="105" t="s">
        <v>730</v>
      </c>
      <c r="K71" s="106"/>
      <c r="L71" s="18" t="str">
        <f>IF(AND($J$71="Ezt kérem!",$H$12&lt;&gt;""),"!","")</f>
        <v/>
      </c>
      <c r="M71" s="48"/>
      <c r="N71" s="21"/>
      <c r="O71" s="16">
        <f>IF(ISBLANK($B$23),0,VLOOKUP($B$23,'Foglalkozási pótdíjak'!$A$3:$K$494,11,0))</f>
        <v>0</v>
      </c>
    </row>
    <row r="72" spans="2:15" ht="12.75" customHeight="1" x14ac:dyDescent="0.25">
      <c r="B72" s="99"/>
      <c r="C72" s="104" t="s">
        <v>77</v>
      </c>
      <c r="D72" s="104"/>
      <c r="E72" s="104"/>
      <c r="F72" s="104"/>
      <c r="G72" s="104"/>
      <c r="H72" s="94">
        <v>3000</v>
      </c>
      <c r="I72" s="17">
        <f ca="1">IF(ISBLANK($C$8),"",ROUND(VLOOKUP($C$9,'MM-MC Tarifák'!$A$3:$AQ$67,HLOOKUP($C72,'MM-MC Tarifák'!$B$1:$AQ$2,2,0),0)/1000*$H$72*IF(OR(AND($C$16="Forint",$H$72&gt;=2000,$H$72&lt;=20000),AND($C$16="Euró",$H$72&gt;=7,$H$72&lt;=65)),1,0)*VLOOKUP($C$12,Paraméterek!$K$1:$L$4,2,0)*IF($O$72="Kizárás",1,1+$O$72),IF($C$16="Forint",0,2)))</f>
        <v>625</v>
      </c>
      <c r="J72" s="105"/>
      <c r="K72" s="106"/>
      <c r="L72" s="18" t="str">
        <f>IF(AND($J$72="Ezt kérem!",$H$12&lt;&gt;""),"!","")</f>
        <v/>
      </c>
      <c r="M72" s="48"/>
      <c r="N72" s="21"/>
      <c r="O72" s="16">
        <f>IF(ISBLANK($B$23),0,VLOOKUP($B$23,'Foglalkozási pótdíjak'!$A$3:$K$494,11,0))</f>
        <v>0</v>
      </c>
    </row>
    <row r="73" spans="2:15" ht="12.75" customHeight="1" x14ac:dyDescent="0.25">
      <c r="B73" s="99"/>
      <c r="C73" s="104" t="s">
        <v>17</v>
      </c>
      <c r="D73" s="104"/>
      <c r="E73" s="104"/>
      <c r="F73" s="104"/>
      <c r="G73" s="104"/>
      <c r="H73" s="94">
        <v>3000</v>
      </c>
      <c r="I73" s="17">
        <f ca="1">IF(ISBLANK($C$8),"",ROUND(VLOOKUP($C$9,'MM-MC Tarifák'!$A$3:$AQ$67,HLOOKUP($C73,'MM-MC Tarifák'!$B$1:$AQ$2,2,0),0)/1000*$H$73*IF(OR(AND($C$16="Forint",$H$73&gt;=2000,$H$73&lt;=40000),AND($C$16="Euró",$H$73&gt;=7,$H$73&lt;=130)),1,0)*VLOOKUP($C$12,Paraméterek!$K$1:$L$4,2,0)*IF($O$73="Kizárás",1,1+$O$73),IF($C$16="Forint",0,2)))</f>
        <v>491</v>
      </c>
      <c r="J73" s="105"/>
      <c r="K73" s="106"/>
      <c r="L73" s="18" t="str">
        <f>IF(AND($J$73="Ezt kérem!",$H$12&lt;&gt;""),"!","")</f>
        <v/>
      </c>
      <c r="M73" s="48"/>
      <c r="N73" s="21"/>
      <c r="O73" s="16">
        <f>IF(ISBLANK($B$23),0,VLOOKUP($B$23,'Foglalkozási pótdíjak'!$A$3:$K$494,11,0))</f>
        <v>0</v>
      </c>
    </row>
    <row r="74" spans="2:15" ht="12.75" customHeight="1" x14ac:dyDescent="0.25">
      <c r="B74" s="99"/>
      <c r="C74" s="104" t="s">
        <v>78</v>
      </c>
      <c r="D74" s="104"/>
      <c r="E74" s="104"/>
      <c r="F74" s="104"/>
      <c r="G74" s="104"/>
      <c r="H74" s="94">
        <v>3000</v>
      </c>
      <c r="I74" s="17">
        <f ca="1">IF(ISBLANK($C$8),"",ROUND(VLOOKUP($C$9,'MM-MC Tarifák'!$A$3:$AQ$67,HLOOKUP($C74,'MM-MC Tarifák'!$B$1:$AQ$2,2,0),0)/1000*$H$74*IF(OR(AND($C$16="Forint",$H$74&gt;=2000,$H$74&lt;=20000),AND($C$16="Euró",$H$74&gt;=7,$H$74&lt;=65)),1,0)*VLOOKUP($C$12,Paraméterek!$K$1:$L$4,2,0)*IF($O$74="Kizárás",1,1+$O$74),IF($C$16="Forint",0,2)))</f>
        <v>644</v>
      </c>
      <c r="J74" s="105"/>
      <c r="K74" s="106"/>
      <c r="L74" s="18" t="str">
        <f>IF(AND($J$74="Ezt kérem!",$H$12&lt;&gt;""),"!","")</f>
        <v/>
      </c>
      <c r="M74" s="48"/>
      <c r="N74" s="21"/>
      <c r="O74" s="16">
        <f>IF(ISBLANK($B$23),0,VLOOKUP($B$23,'Foglalkozási pótdíjak'!$A$3:$K$494,11,0))</f>
        <v>0</v>
      </c>
    </row>
    <row r="75" spans="2:15" ht="12.75" customHeight="1" x14ac:dyDescent="0.25">
      <c r="O75" s="16"/>
    </row>
    <row r="76" spans="2:15" ht="12.75" customHeight="1" x14ac:dyDescent="0.25">
      <c r="B76" s="13"/>
      <c r="O76" s="16"/>
    </row>
    <row r="77" spans="2:15" ht="12.75" customHeight="1" x14ac:dyDescent="0.25">
      <c r="B77" s="69" t="s">
        <v>18</v>
      </c>
      <c r="C77" s="104" t="s">
        <v>19</v>
      </c>
      <c r="D77" s="104"/>
      <c r="E77" s="104"/>
      <c r="F77" s="104"/>
      <c r="G77" s="104"/>
      <c r="H77" s="72">
        <v>500000</v>
      </c>
      <c r="I77" s="17">
        <f ca="1">IF(ISBLANK($C$8),"",ROUND(VLOOKUP($C$9,'MM-MC Tarifák'!$A$3:$AQ$67,HLOOKUP($C77,'MM-MC Tarifák'!$B$1:$AQ$2,2,0),0)/1000*$H$77*IF(OR(AND($C$16="Forint",$H$77&gt;=500000,$H$77&lt;=50000000),AND($C$16="Euró",$H$77&gt;=1700,$H$77&lt;=162500)),1,0)*VLOOKUP($C$12,Paraméterek!$K$1:$L$4,2,0)*IF($O$77="Kizárás",1,1+$O$77),IF($C$16="Forint",0,2)))</f>
        <v>79</v>
      </c>
      <c r="J77" s="105"/>
      <c r="K77" s="106"/>
      <c r="L77" s="18" t="str">
        <f>IF(AND($J$77="Ezt kérem!",$H$5&lt;&gt;""),"!","")</f>
        <v/>
      </c>
      <c r="M77" s="48"/>
      <c r="N77" s="21"/>
      <c r="O77" s="49">
        <v>0</v>
      </c>
    </row>
    <row r="78" spans="2:15" ht="12.75" customHeight="1" x14ac:dyDescent="0.25">
      <c r="O78" s="16"/>
    </row>
    <row r="79" spans="2:15" ht="12.75" customHeight="1" x14ac:dyDescent="0.25">
      <c r="B79" s="13"/>
      <c r="O79" s="16"/>
    </row>
    <row r="80" spans="2:15" ht="12.75" customHeight="1" x14ac:dyDescent="0.25">
      <c r="B80" s="69" t="s">
        <v>20</v>
      </c>
      <c r="C80" s="104" t="s">
        <v>21</v>
      </c>
      <c r="D80" s="104"/>
      <c r="E80" s="104"/>
      <c r="F80" s="104"/>
      <c r="G80" s="104"/>
      <c r="H80" s="72">
        <v>1000000</v>
      </c>
      <c r="I80" s="17">
        <f ca="1">IF(ISBLANK($C$8),"",ROUND(VLOOKUP($C$9,'MM-MC Tarifák'!$A$3:$AQ$67,HLOOKUP($C80,'MM-MC Tarifák'!$B$1:$AQ$2,2,0),0)/1000*$H$80*IF(OR(AND($C$16="Forint",$H$80&gt;=100000,$H$80&lt;=1000000),AND($C$16="Euró",$H$80&gt;=340,$H$80&lt;=3250)),1,0)*VLOOKUP($C$12,Paraméterek!$K$1:$L$4,2,0)*IF($O$80="Kizárás",1,1+$O$80),IF($C$16="Forint",0,2)))</f>
        <v>1538</v>
      </c>
      <c r="J80" s="105" t="s">
        <v>730</v>
      </c>
      <c r="K80" s="106"/>
      <c r="L80" s="18"/>
      <c r="M80" s="48"/>
      <c r="O80" s="16">
        <f>IF(ISBLANK($B$23),0,VLOOKUP($B$23,'Foglalkozási pótdíjak'!$A$3:$K$494,7,0))</f>
        <v>0</v>
      </c>
    </row>
    <row r="81" spans="2:15" ht="12.75" customHeight="1" x14ac:dyDescent="0.25">
      <c r="O81" s="16"/>
    </row>
    <row r="82" spans="2:15" ht="12.75" customHeight="1" x14ac:dyDescent="0.25">
      <c r="O82" s="16"/>
    </row>
    <row r="83" spans="2:15" ht="12.75" customHeight="1" x14ac:dyDescent="0.25">
      <c r="B83" s="99" t="s">
        <v>22</v>
      </c>
      <c r="C83" s="104" t="s">
        <v>79</v>
      </c>
      <c r="D83" s="104"/>
      <c r="E83" s="104"/>
      <c r="F83" s="104"/>
      <c r="G83" s="104"/>
      <c r="H83" s="19"/>
      <c r="I83" s="17">
        <f ca="1">IF(ISBLANK($C$8),"",ROUND(VLOOKUP($C$9,'MM-MC Tarifák'!$A$3:$AQ$67,HLOOKUP($C83,'MM-MC Tarifák'!$B$1:$AQ$2,2,0),0)/IF($C$16="Euró",300,1)/VLOOKUP($C$12,Paraméterek!$K$1:$M$4,3,0)*IF($O$83="Kizárás",1,1+$O$83),IF($C$16="Forint",0,2)))</f>
        <v>500</v>
      </c>
      <c r="J83" s="105"/>
      <c r="K83" s="106"/>
      <c r="L83" s="18"/>
      <c r="M83" s="48"/>
      <c r="O83" s="49">
        <v>0</v>
      </c>
    </row>
    <row r="84" spans="2:15" ht="12.75" customHeight="1" x14ac:dyDescent="0.25">
      <c r="B84" s="99"/>
      <c r="C84" s="104" t="s">
        <v>23</v>
      </c>
      <c r="D84" s="104"/>
      <c r="E84" s="104"/>
      <c r="F84" s="104"/>
      <c r="G84" s="104"/>
      <c r="H84" s="19"/>
      <c r="I84" s="17">
        <f ca="1">IF(ISBLANK($C$8),"",ROUND(VLOOKUP($C$9,'MM-MC Tarifák'!$A$3:$AQ$67,HLOOKUP($C84,'MM-MC Tarifák'!$B$1:$AQ$2,2,0),0)/IF($C$16="Euró",300,1)/VLOOKUP($C$12,Paraméterek!$K$1:$M$4,3,0)*IF($O$84="Kizárás",1,1+$O$84),IF($C$16="Forint",0,2)))</f>
        <v>1000</v>
      </c>
      <c r="J84" s="105"/>
      <c r="K84" s="106"/>
      <c r="L84" s="18"/>
      <c r="M84" s="48"/>
      <c r="O84" s="49">
        <v>0</v>
      </c>
    </row>
    <row r="89" spans="2:15" ht="12.75" customHeight="1" x14ac:dyDescent="0.25">
      <c r="B89" s="107" t="s">
        <v>58</v>
      </c>
      <c r="C89" s="107"/>
      <c r="D89" s="107"/>
      <c r="E89" s="107"/>
      <c r="F89" s="107"/>
      <c r="G89" s="107"/>
      <c r="H89" s="107"/>
      <c r="I89" s="107"/>
      <c r="J89" s="107"/>
      <c r="K89" s="107"/>
    </row>
    <row r="90" spans="2:15" ht="12.75" customHeight="1" x14ac:dyDescent="0.25">
      <c r="B90" s="107"/>
      <c r="C90" s="107"/>
      <c r="D90" s="107"/>
      <c r="E90" s="107"/>
      <c r="F90" s="107"/>
      <c r="G90" s="107"/>
      <c r="H90" s="107"/>
      <c r="I90" s="107"/>
      <c r="J90" s="107"/>
      <c r="K90" s="107"/>
    </row>
    <row r="91" spans="2:15" ht="12.75" customHeight="1" x14ac:dyDescent="0.25">
      <c r="B91" s="107"/>
      <c r="C91" s="107"/>
      <c r="D91" s="107"/>
      <c r="E91" s="107"/>
      <c r="F91" s="107"/>
      <c r="G91" s="107"/>
      <c r="H91" s="107"/>
      <c r="I91" s="107"/>
      <c r="J91" s="107"/>
      <c r="K91" s="107"/>
    </row>
    <row r="92" spans="2:15" ht="12.75" customHeight="1" x14ac:dyDescent="0.25">
      <c r="B92" s="107"/>
      <c r="C92" s="107"/>
      <c r="D92" s="107"/>
      <c r="E92" s="107"/>
      <c r="F92" s="107"/>
      <c r="G92" s="107"/>
      <c r="H92" s="107"/>
      <c r="I92" s="107"/>
      <c r="J92" s="107"/>
      <c r="K92" s="107"/>
    </row>
    <row r="93" spans="2:15" ht="12.75" customHeight="1" x14ac:dyDescent="0.25">
      <c r="B93" s="107"/>
      <c r="C93" s="107"/>
      <c r="D93" s="107"/>
      <c r="E93" s="107"/>
      <c r="F93" s="107"/>
      <c r="G93" s="107"/>
      <c r="H93" s="107"/>
      <c r="I93" s="107"/>
      <c r="J93" s="107"/>
      <c r="K93" s="107"/>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1875" defaultRowHeight="13.2" x14ac:dyDescent="0.25"/>
  <cols>
    <col min="1" max="4" width="9.21875" style="37"/>
    <col min="5" max="5" width="9.21875" style="37" customWidth="1"/>
    <col min="6" max="15" width="9.21875" style="37"/>
    <col min="16" max="16" width="9.21875" style="12" customWidth="1"/>
    <col min="17" max="17" width="9.21875" style="16"/>
    <col min="18" max="26" width="9.21875" style="12" hidden="1" customWidth="1"/>
    <col min="27" max="16384" width="9.21875" style="12"/>
  </cols>
  <sheetData>
    <row r="1" spans="2:26" x14ac:dyDescent="0.25">
      <c r="B1" s="145" t="s">
        <v>82</v>
      </c>
      <c r="C1" s="145"/>
      <c r="D1" s="145"/>
      <c r="E1" s="145"/>
      <c r="F1" s="145"/>
      <c r="R1" s="12" t="s">
        <v>406</v>
      </c>
      <c r="S1" s="12" t="s">
        <v>406</v>
      </c>
      <c r="T1" s="12" t="s">
        <v>406</v>
      </c>
      <c r="U1" s="12" t="s">
        <v>406</v>
      </c>
      <c r="V1" s="12" t="s">
        <v>406</v>
      </c>
      <c r="W1" s="12" t="s">
        <v>406</v>
      </c>
      <c r="X1" s="12" t="s">
        <v>406</v>
      </c>
      <c r="Y1" s="12" t="s">
        <v>406</v>
      </c>
      <c r="Z1" s="12" t="s">
        <v>406</v>
      </c>
    </row>
    <row r="2" spans="2:26" x14ac:dyDescent="0.25">
      <c r="B2" s="145"/>
      <c r="C2" s="145"/>
      <c r="D2" s="145"/>
      <c r="E2" s="145"/>
      <c r="F2" s="145"/>
      <c r="G2" s="38" t="str">
        <f>MetMax!$E$2</f>
        <v>v2.1.7</v>
      </c>
      <c r="Y2" s="134"/>
      <c r="Z2" s="135"/>
    </row>
    <row r="3" spans="2:26" x14ac:dyDescent="0.25">
      <c r="B3" s="39"/>
      <c r="J3" s="51" t="str">
        <f>IF(COUNTIF($N$30:$O$32,"Ezt kérem!")&gt;1,"Egy szerződéshez egyszerre csak egyfajta Kritikus betegség biztosítás választható.","")</f>
        <v/>
      </c>
    </row>
    <row r="4" spans="2:26" x14ac:dyDescent="0.25">
      <c r="B4" s="39"/>
      <c r="J4" s="51" t="str">
        <f>IF(COUNTIF($S$26:$S$51,"Kizárás")=0,"","A vörössel jelzett biztosítások a foglalkozással okozati összefüggésben bekövetkező biztosítási eseményekre nem nyújtanak szolgáltatást.")</f>
        <v/>
      </c>
    </row>
    <row r="5" spans="2:26" x14ac:dyDescent="0.25">
      <c r="B5" s="116" t="s">
        <v>455</v>
      </c>
      <c r="C5" s="117"/>
      <c r="D5" s="117"/>
      <c r="E5" s="117"/>
      <c r="F5" s="117"/>
      <c r="G5" s="117"/>
      <c r="H5" s="118"/>
    </row>
    <row r="6" spans="2:26" x14ac:dyDescent="0.25">
      <c r="B6" s="119"/>
      <c r="C6" s="120"/>
      <c r="D6" s="120"/>
      <c r="E6" s="120"/>
      <c r="F6" s="120"/>
      <c r="G6" s="120"/>
      <c r="H6" s="121"/>
    </row>
    <row r="7" spans="2:26" x14ac:dyDescent="0.25">
      <c r="J7" s="99" t="s">
        <v>87</v>
      </c>
      <c r="K7" s="99"/>
      <c r="L7" s="99"/>
      <c r="M7" s="99"/>
      <c r="N7" s="151">
        <f ca="1">IF(OR(ISBLANK($E$8),ISBLANK($E$11)),"",SUMIF($N$26:$O$51,"Ezt kérem!",$L$26:$M$51)-SUMIF($P$26:$P$51,"!",$L$26:$M$51))</f>
        <v>194760</v>
      </c>
      <c r="O7" s="151"/>
    </row>
    <row r="8" spans="2:26" x14ac:dyDescent="0.25">
      <c r="B8" s="99" t="s">
        <v>405</v>
      </c>
      <c r="C8" s="99"/>
      <c r="D8" s="99"/>
      <c r="E8" s="114">
        <v>25533</v>
      </c>
      <c r="F8" s="114"/>
      <c r="J8" s="99"/>
      <c r="K8" s="99"/>
      <c r="L8" s="99"/>
      <c r="M8" s="99"/>
      <c r="N8" s="151"/>
      <c r="O8" s="151"/>
      <c r="Q8" s="54"/>
      <c r="Y8" s="134">
        <f ca="1">IF(OR(ISBLANK($E$8),ISBLANK($E$11)),"",SUMIF($N$26:$O$51,"Ezt kérem!",$Y$26:$Z$51)-SUMIF($P$26:$P$51,"!",$Y$26:$Z$51))</f>
        <v>151165</v>
      </c>
      <c r="Z8" s="135"/>
    </row>
    <row r="9" spans="2:26" x14ac:dyDescent="0.25">
      <c r="B9" s="99" t="s">
        <v>404</v>
      </c>
      <c r="C9" s="99"/>
      <c r="D9" s="99"/>
      <c r="E9" s="150">
        <f ca="1">IF(ISBLANK($E$8),"",IF(YEAR(TODAY())-YEAR($E$8)&lt;0,"",YEAR(TODAY())-YEAR($E$8)))</f>
        <v>51</v>
      </c>
      <c r="F9" s="150"/>
      <c r="J9" s="147" t="s">
        <v>88</v>
      </c>
      <c r="K9" s="147"/>
      <c r="L9" s="147"/>
      <c r="M9" s="147"/>
      <c r="N9" s="151">
        <f ca="1">IF(OR(ISBLANK($E$8),ISBLANK($E$11)),"",IF(N7&gt;365500,($N$7-365500)*50%+161590,IF($N$7&gt;116900,($N$7-116900)*65%,0)))</f>
        <v>50609</v>
      </c>
      <c r="O9" s="151"/>
    </row>
    <row r="10" spans="2:26" x14ac:dyDescent="0.25">
      <c r="J10" s="147"/>
      <c r="K10" s="147"/>
      <c r="L10" s="147"/>
      <c r="M10" s="147"/>
      <c r="N10" s="151"/>
      <c r="O10" s="151"/>
      <c r="Y10" s="134">
        <f>IF(OR(ISBLANK($E$8),ISBLANK($E$11)),"",0)</f>
        <v>0</v>
      </c>
      <c r="Z10" s="135"/>
    </row>
    <row r="11" spans="2:26" x14ac:dyDescent="0.25">
      <c r="B11" s="99" t="s">
        <v>407</v>
      </c>
      <c r="C11" s="99"/>
      <c r="D11" s="99"/>
      <c r="E11" s="156">
        <v>10</v>
      </c>
      <c r="F11" s="156"/>
      <c r="G11" s="18" t="str">
        <f ca="1">IF($E$9="","",IF($E$9+$E$11&gt;75,"!",""))</f>
        <v/>
      </c>
      <c r="J11" s="99" t="s">
        <v>89</v>
      </c>
      <c r="K11" s="99"/>
      <c r="L11" s="99"/>
      <c r="M11" s="99"/>
      <c r="N11" s="151">
        <f ca="1">IF(OR(ISBLANK($E$8),ISBLANK($E$11)),"",$N$7-$N$9)</f>
        <v>144151</v>
      </c>
      <c r="O11" s="151"/>
    </row>
    <row r="12" spans="2:26" x14ac:dyDescent="0.25">
      <c r="J12" s="99"/>
      <c r="K12" s="99"/>
      <c r="L12" s="99"/>
      <c r="M12" s="99"/>
      <c r="N12" s="151"/>
      <c r="O12" s="151"/>
      <c r="Y12" s="134">
        <f ca="1">IF(OR(ISBLANK($E$8),ISBLANK($E$11)),"",$Y$8-$Y$10)</f>
        <v>151165</v>
      </c>
      <c r="Z12" s="135"/>
    </row>
    <row r="13" spans="2:26" x14ac:dyDescent="0.25">
      <c r="B13" s="99" t="s">
        <v>403</v>
      </c>
      <c r="C13" s="99"/>
      <c r="D13" s="99"/>
      <c r="E13" s="157" t="s">
        <v>28</v>
      </c>
      <c r="F13" s="157"/>
      <c r="J13" s="148" t="str">
        <f>"Fizetendő "&amp;$E$14&amp;" díj:"</f>
        <v>Fizetendő Havi díj:</v>
      </c>
      <c r="K13" s="148"/>
      <c r="L13" s="148"/>
      <c r="M13" s="148"/>
      <c r="N13" s="151">
        <f ca="1">IF(OR(ISBLANK($E$8),ISBLANK($E$11),$G$11="!"),0,IF(ISBLANK($J$26),"",$N$11*VLOOKUP($E$14,Paraméterek!$K$1:$L$4,2,0)*(1-SUMIF($N$50:$O$51,"Ezt kérem!",$L$50:$M$51)/$N$7)+SUMIF($N$50:$O$51,"Ezt kérem!",$L$50:$M$51)/$N$7*$N$11/VLOOKUP($E$14,Paraméterek!$K$1:$M$4,3,0)))</f>
        <v>12320.58597</v>
      </c>
      <c r="O13" s="151"/>
    </row>
    <row r="14" spans="2:26" x14ac:dyDescent="0.25">
      <c r="E14" s="15" t="str">
        <f>IF(ISBLANK($E$13),"Éves",$E$13)</f>
        <v>Havi</v>
      </c>
      <c r="J14" s="148"/>
      <c r="K14" s="148"/>
      <c r="L14" s="148"/>
      <c r="M14" s="148"/>
      <c r="N14" s="151"/>
      <c r="O14" s="151"/>
      <c r="Y14" s="134">
        <f ca="1">IF(OR(ISBLANK($E$8),ISBLANK($E$11)),"",IF(ISBLANK($J$26),"",$Y$12*VLOOKUP($E$14,Paraméterek!$K$1:$L$4,2,0)*(1-SUMIF($N$50:$O$51,"Ezt kérem!",$Y$50:$Z$51)/$Y$8)+SUMIF($N$50:$O$51,"Ezt kérem!",$Y$50:$Z$51)/$Y$8*$Y$12/VLOOKUP($E$14,Paraméterek!$K$1:$M$4,3,0)))</f>
        <v>12920.072550000001</v>
      </c>
      <c r="Z14" s="135"/>
    </row>
    <row r="15" spans="2:26" x14ac:dyDescent="0.25">
      <c r="B15" s="99" t="s">
        <v>402</v>
      </c>
      <c r="C15" s="99"/>
      <c r="D15" s="99"/>
      <c r="E15" s="157"/>
      <c r="F15" s="157"/>
      <c r="J15" s="12"/>
      <c r="K15" s="12"/>
      <c r="L15" s="12"/>
      <c r="M15" s="12"/>
      <c r="N15" s="12"/>
      <c r="O15" s="12"/>
    </row>
    <row r="17" spans="1:26" x14ac:dyDescent="0.25">
      <c r="B17" s="99" t="s">
        <v>401</v>
      </c>
      <c r="C17" s="99"/>
      <c r="D17" s="99"/>
      <c r="E17" s="131" t="s">
        <v>37</v>
      </c>
      <c r="F17" s="131"/>
      <c r="H17" s="12"/>
      <c r="J17" s="122" t="s">
        <v>457</v>
      </c>
      <c r="K17" s="136"/>
      <c r="L17" s="136"/>
      <c r="M17" s="123"/>
      <c r="N17" s="126" t="str">
        <f ca="1">IF(COUNTIF($N$26:$O$51,"Ezt kérem!")=0,"---",'PÜ. limitek'!$I$14)</f>
        <v>Nem szükséges</v>
      </c>
      <c r="O17" s="127"/>
    </row>
    <row r="18" spans="1:26" ht="12.75" customHeight="1" x14ac:dyDescent="0.25">
      <c r="A18" s="12"/>
      <c r="B18" s="12"/>
      <c r="C18" s="32"/>
      <c r="D18" s="33"/>
      <c r="E18" s="12"/>
      <c r="F18" s="13"/>
      <c r="G18" s="12"/>
      <c r="H18" s="12"/>
      <c r="I18" s="12"/>
      <c r="J18" s="124"/>
      <c r="K18" s="137"/>
      <c r="L18" s="137"/>
      <c r="M18" s="125"/>
      <c r="N18" s="128"/>
      <c r="O18" s="129"/>
    </row>
    <row r="19" spans="1:26" ht="12.75" customHeight="1" x14ac:dyDescent="0.25">
      <c r="A19" s="12"/>
      <c r="B19" s="12"/>
      <c r="C19" s="32"/>
      <c r="D19" s="33"/>
      <c r="E19" s="12"/>
      <c r="F19" s="13"/>
      <c r="G19" s="12"/>
      <c r="H19" s="12"/>
      <c r="I19" s="12"/>
      <c r="J19" s="12"/>
      <c r="K19" s="12"/>
      <c r="L19" s="12"/>
      <c r="M19" s="12"/>
      <c r="N19" s="12"/>
      <c r="O19" s="12"/>
    </row>
    <row r="20" spans="1:26" ht="12.75" customHeight="1" x14ac:dyDescent="0.25">
      <c r="A20" s="12"/>
      <c r="B20" s="116" t="s">
        <v>421</v>
      </c>
      <c r="C20" s="117"/>
      <c r="D20" s="117"/>
      <c r="E20" s="117"/>
      <c r="F20" s="117"/>
      <c r="G20" s="117"/>
      <c r="H20" s="118"/>
      <c r="I20" s="12"/>
      <c r="J20" s="122" t="s">
        <v>386</v>
      </c>
      <c r="K20" s="136"/>
      <c r="L20" s="136"/>
      <c r="M20" s="123"/>
      <c r="N20" s="126" t="str">
        <f ca="1">IF(COUNTIF($N$26:$O$51,"Ezt kérem!")=0,"---",'EÜ. limitek'!$J$17)</f>
        <v>Egészségi nyilatkozat</v>
      </c>
      <c r="O20" s="127"/>
      <c r="P20" s="36"/>
      <c r="Q20" s="55"/>
      <c r="R20" s="36"/>
      <c r="S20" s="36"/>
      <c r="T20" s="36"/>
      <c r="U20" s="36"/>
      <c r="V20" s="36"/>
      <c r="W20" s="36"/>
      <c r="X20" s="36"/>
    </row>
    <row r="21" spans="1:26" ht="12.75" customHeight="1" x14ac:dyDescent="0.25">
      <c r="A21" s="12"/>
      <c r="B21" s="119"/>
      <c r="C21" s="120"/>
      <c r="D21" s="120"/>
      <c r="E21" s="120"/>
      <c r="F21" s="120"/>
      <c r="G21" s="120"/>
      <c r="H21" s="121"/>
      <c r="I21" s="12"/>
      <c r="J21" s="124"/>
      <c r="K21" s="137"/>
      <c r="L21" s="137"/>
      <c r="M21" s="125"/>
      <c r="N21" s="128"/>
      <c r="O21" s="129"/>
      <c r="P21" s="36"/>
      <c r="Q21" s="55"/>
      <c r="R21" s="36"/>
      <c r="S21" s="36"/>
      <c r="T21" s="36"/>
      <c r="U21" s="36"/>
      <c r="V21" s="36"/>
      <c r="W21" s="36"/>
      <c r="X21" s="36"/>
    </row>
    <row r="22" spans="1:26" ht="12.75" customHeight="1" x14ac:dyDescent="0.25">
      <c r="A22" s="12"/>
      <c r="B22" s="12"/>
      <c r="C22" s="12"/>
      <c r="D22" s="12"/>
      <c r="E22" s="12"/>
      <c r="F22" s="12"/>
      <c r="G22" s="12"/>
      <c r="H22" s="12"/>
      <c r="I22" s="12"/>
      <c r="J22" s="12"/>
      <c r="K22" s="12"/>
      <c r="L22" s="12"/>
      <c r="M22" s="12"/>
      <c r="N22" s="12"/>
      <c r="O22" s="12"/>
    </row>
    <row r="23" spans="1:26" x14ac:dyDescent="0.25">
      <c r="B23" s="141" t="s">
        <v>130</v>
      </c>
      <c r="C23" s="141"/>
      <c r="D23" s="141"/>
      <c r="E23" s="141"/>
      <c r="F23" s="141"/>
      <c r="G23" s="141"/>
      <c r="H23" s="141"/>
      <c r="I23" s="141"/>
      <c r="J23" s="141" t="s">
        <v>40</v>
      </c>
      <c r="K23" s="141"/>
      <c r="L23" s="40"/>
      <c r="M23" s="41"/>
      <c r="N23" s="141" t="s">
        <v>41</v>
      </c>
      <c r="O23" s="141"/>
      <c r="P23" s="75"/>
      <c r="Q23" s="56"/>
      <c r="R23" s="75"/>
      <c r="S23" s="12" t="s">
        <v>387</v>
      </c>
      <c r="T23" s="75"/>
      <c r="U23" s="75"/>
      <c r="V23" s="75"/>
      <c r="W23" s="75"/>
      <c r="X23" s="75"/>
      <c r="Y23" s="154" t="s">
        <v>81</v>
      </c>
      <c r="Z23" s="154"/>
    </row>
    <row r="24" spans="1:26" x14ac:dyDescent="0.25">
      <c r="B24" s="141"/>
      <c r="C24" s="141"/>
      <c r="D24" s="141"/>
      <c r="E24" s="141"/>
      <c r="F24" s="141"/>
      <c r="G24" s="141"/>
      <c r="H24" s="141"/>
      <c r="I24" s="141"/>
      <c r="J24" s="141"/>
      <c r="K24" s="141"/>
      <c r="L24" s="41"/>
      <c r="M24" s="41"/>
      <c r="N24" s="141"/>
      <c r="O24" s="141"/>
      <c r="P24" s="75"/>
      <c r="Q24" s="56"/>
      <c r="R24" s="75"/>
      <c r="S24" s="16"/>
      <c r="T24" s="75"/>
      <c r="U24" s="75"/>
      <c r="V24" s="75"/>
      <c r="W24" s="75"/>
      <c r="X24" s="75"/>
      <c r="Y24" s="154"/>
      <c r="Z24" s="154"/>
    </row>
    <row r="25" spans="1:26" x14ac:dyDescent="0.25">
      <c r="B25" s="13"/>
      <c r="J25" s="41"/>
      <c r="K25" s="41"/>
      <c r="L25" s="155"/>
      <c r="M25" s="155"/>
      <c r="N25" s="42"/>
      <c r="O25" s="42"/>
      <c r="P25" s="75"/>
      <c r="Q25" s="56"/>
      <c r="R25" s="75"/>
      <c r="S25" s="16"/>
      <c r="T25" s="75"/>
      <c r="U25" s="75"/>
      <c r="V25" s="75"/>
      <c r="W25" s="75"/>
      <c r="X25" s="75"/>
      <c r="Y25" s="154" t="s">
        <v>42</v>
      </c>
      <c r="Z25" s="154"/>
    </row>
    <row r="26" spans="1:26" x14ac:dyDescent="0.25">
      <c r="B26" s="99" t="s">
        <v>413</v>
      </c>
      <c r="C26" s="99"/>
      <c r="D26" s="99"/>
      <c r="E26" s="104" t="s">
        <v>0</v>
      </c>
      <c r="F26" s="104"/>
      <c r="G26" s="104"/>
      <c r="H26" s="104"/>
      <c r="I26" s="104"/>
      <c r="J26" s="152">
        <v>5000000</v>
      </c>
      <c r="K26" s="153"/>
      <c r="L26" s="146">
        <f ca="1">IF(OR(ISBLANK($E$8),ISBLANK($E$11),$G$11="!"),"",ROUND($J$26/'TR Tarifák'!$B$1*(INDEX('TR Tarifák'!$C$3:$W$80,$E$9-18+1,$E$11-5+1)+IF($S$26="Ezrelékes",100,0)),0))</f>
        <v>146450</v>
      </c>
      <c r="M26" s="146"/>
      <c r="N26" s="142" t="str">
        <f>IF(ISBLANK($J$26),"","Ezt kérem!")</f>
        <v>Ezt kérem!</v>
      </c>
      <c r="O26" s="143"/>
      <c r="P26" s="52"/>
      <c r="Q26" s="57"/>
      <c r="R26" s="73"/>
      <c r="S26" s="16">
        <f>IF(ISBLANK($B$21),0,VLOOKUP($B$21,'Foglalkozási pótdíjak'!$A$3:$K$494,2,0))</f>
        <v>0</v>
      </c>
      <c r="T26" s="73"/>
      <c r="U26" s="73"/>
      <c r="V26" s="73"/>
      <c r="W26" s="73"/>
      <c r="X26" s="73"/>
      <c r="Y26" s="134">
        <f ca="1">IF(OR(ISBLANK($E$8),ISBLANK($E$11)),"",ROUND($J$26/'TR Tarifák'!$B$84*(INDEX('TR Tarifák'!$C$86:$R$148,$E$9-18+1,$E$11-5+1)+IF($S$26="Ezrelékes",100,0)),0))</f>
        <v>98750</v>
      </c>
      <c r="Z26" s="134"/>
    </row>
    <row r="27" spans="1:26" x14ac:dyDescent="0.25">
      <c r="B27" s="99"/>
      <c r="C27" s="99"/>
      <c r="D27" s="99"/>
      <c r="E27" s="104" t="s">
        <v>1</v>
      </c>
      <c r="F27" s="104"/>
      <c r="G27" s="104"/>
      <c r="H27" s="104"/>
      <c r="I27" s="104"/>
      <c r="J27" s="152">
        <v>3000000</v>
      </c>
      <c r="K27" s="153"/>
      <c r="L27" s="146">
        <f ca="1">IF(OR(ISBLANK($E$8),ISBLANK($E$11),$E$9&gt;64,$G$11="!"),"",ROUND($J$27/HLOOKUP($E$27,'TR Tarifák'!$C$153:$N$155,3,0)*IF(AND($E$17="Forint",$J$27&gt;=500000,$J$27&lt;=100000000),1,0)*VLOOKUP($E$9,'TR Tarifák'!$B$156:$N$255,HLOOKUP($E$27,'TR Tarifák'!$C$153:$N$155,2,0),0)*IF($S$27="Kizárás",1,1+$S$27),0))</f>
        <v>10200</v>
      </c>
      <c r="M27" s="146"/>
      <c r="N27" s="132" t="s">
        <v>730</v>
      </c>
      <c r="O27" s="132"/>
      <c r="P27" s="52"/>
      <c r="Q27" s="57"/>
      <c r="R27" s="73"/>
      <c r="S27" s="16">
        <f>IF(ISBLANK($B$21),0,VLOOKUP($B$21,'Foglalkozási pótdíjak'!$A$3:$K$494,3,0))</f>
        <v>0</v>
      </c>
      <c r="T27" s="73"/>
      <c r="U27" s="73"/>
      <c r="V27" s="73"/>
      <c r="W27" s="73"/>
      <c r="X27" s="73"/>
      <c r="Y27" s="134">
        <f ca="1">IF(OR(ISBLANK($E$8),ISBLANK($E$11)),"",ROUND($J$26/HLOOKUP($E$27,'TR Tarifák'!$C$260:$N$262,3,0)*VLOOKUP($E$9,'TR Tarifák'!$B$263:$N$362,HLOOKUP($E$27,'TR Tarifák'!$C$260:$N$262,2,0),0)*IF($S$27="Kizárás",1,1+$S$27),0))</f>
        <v>10500</v>
      </c>
      <c r="Z27" s="134"/>
    </row>
    <row r="28" spans="1:26" x14ac:dyDescent="0.25">
      <c r="S28" s="16"/>
    </row>
    <row r="29" spans="1:26" x14ac:dyDescent="0.25">
      <c r="B29" s="13"/>
      <c r="S29" s="16"/>
    </row>
    <row r="30" spans="1:26" x14ac:dyDescent="0.25">
      <c r="B30" s="99" t="s">
        <v>4</v>
      </c>
      <c r="C30" s="99"/>
      <c r="D30" s="99"/>
      <c r="E30" s="104" t="s">
        <v>62</v>
      </c>
      <c r="F30" s="104"/>
      <c r="G30" s="104"/>
      <c r="H30" s="104"/>
      <c r="I30" s="104"/>
      <c r="J30" s="149">
        <v>10000000</v>
      </c>
      <c r="K30" s="149"/>
      <c r="L30" s="146">
        <f ca="1">IF(OR(ISBLANK($E$8),ISBLANK($E$11),$E$9&gt;64,$G$11="!"),"",ROUND($J$30/HLOOKUP($E$30,'TR Tarifák'!$C$153:$N$155,3,0)*VLOOKUP($E$9,'TR Tarifák'!$B$156:$N$255,HLOOKUP($E$30,'TR Tarifák'!$C$153:$N$155,2,0),0)*IF($S$30="Kizárás",1,1+$S$30),0))</f>
        <v>323000</v>
      </c>
      <c r="M30" s="146"/>
      <c r="N30" s="132"/>
      <c r="O30" s="132"/>
      <c r="P30" s="53" t="str">
        <f>IF(AND($N$30="Ezt kérem!",$J$3&lt;&gt;""),"!","")</f>
        <v/>
      </c>
      <c r="Q30" s="57"/>
      <c r="R30" s="73"/>
      <c r="S30" s="16">
        <f>IF(ISBLANK($B$21),0,VLOOKUP($B$21,'Foglalkozási pótdíjak'!$A$3:$K$494,4,0))</f>
        <v>0</v>
      </c>
      <c r="T30" s="73"/>
      <c r="U30" s="73"/>
      <c r="V30" s="73"/>
      <c r="W30" s="73"/>
      <c r="X30" s="73"/>
      <c r="Y30" s="134">
        <f ca="1">IF(OR(ISBLANK($E$8),ISBLANK($E$11)),"",ROUND($J$30/HLOOKUP($E$30,'TR Tarifák'!$C$260:$N$262,3,0)*VLOOKUP($E$9,'TR Tarifák'!$B$263:$N$362,HLOOKUP($E$30,'TR Tarifák'!$C$260:$N$262,2,0),0)*IF($S$30="Kizárás",1,1+$S$30),0))</f>
        <v>201800</v>
      </c>
      <c r="Z30" s="134"/>
    </row>
    <row r="31" spans="1:26" x14ac:dyDescent="0.25">
      <c r="B31" s="99"/>
      <c r="C31" s="99"/>
      <c r="D31" s="99"/>
      <c r="E31" s="104" t="s">
        <v>63</v>
      </c>
      <c r="F31" s="104"/>
      <c r="G31" s="104"/>
      <c r="H31" s="104"/>
      <c r="I31" s="104"/>
      <c r="J31" s="149"/>
      <c r="K31" s="149"/>
      <c r="L31" s="146">
        <f ca="1">IF(OR(ISBLANK($E$8),ISBLANK($E$11),$E$9&gt;64,$G$11="!"),"",ROUND($J$30/HLOOKUP($E$31,'TR Tarifák'!$C$153:$N$155,3,0)*VLOOKUP($E$9,'TR Tarifák'!$B$156:$N$255,HLOOKUP($E$31,'TR Tarifák'!$C$153:$N$155,2,0),0)*IF($S$31="Kizárás",1,1+$S$31),0))</f>
        <v>499000</v>
      </c>
      <c r="M31" s="146"/>
      <c r="N31" s="132"/>
      <c r="O31" s="132"/>
      <c r="P31" s="53" t="str">
        <f>IF(AND($N$31="Ezt kérem!",$J$3&lt;&gt;""),"!","")</f>
        <v/>
      </c>
      <c r="Q31" s="57"/>
      <c r="R31" s="73"/>
      <c r="S31" s="16">
        <f>IF(ISBLANK($B$21),0,VLOOKUP($B$21,'Foglalkozási pótdíjak'!$A$3:$K$494,4,0))</f>
        <v>0</v>
      </c>
      <c r="T31" s="73"/>
      <c r="U31" s="73"/>
      <c r="V31" s="73"/>
      <c r="W31" s="73"/>
      <c r="X31" s="73"/>
      <c r="Y31" s="134">
        <f ca="1">IF(OR(ISBLANK($E$8),ISBLANK($E$11)),"",ROUND($J$30/HLOOKUP($E$31,'TR Tarifák'!$C$260:$N$262,3,0)*VLOOKUP($E$9,'TR Tarifák'!$B$263:$N$362,HLOOKUP($E$31,'TR Tarifák'!$C$260:$N$262,2,0),0)*IF($S$31="Kizárás",1,1+$S$31),0))</f>
        <v>311700</v>
      </c>
      <c r="Z31" s="134"/>
    </row>
    <row r="32" spans="1:26" x14ac:dyDescent="0.25">
      <c r="B32" s="99"/>
      <c r="C32" s="99"/>
      <c r="D32" s="99"/>
      <c r="E32" s="104" t="s">
        <v>64</v>
      </c>
      <c r="F32" s="104"/>
      <c r="G32" s="104"/>
      <c r="H32" s="104"/>
      <c r="I32" s="104"/>
      <c r="J32" s="149"/>
      <c r="K32" s="149"/>
      <c r="L32" s="146">
        <f ca="1">IF(OR(ISBLANK($E$8),ISBLANK($E$11),$E$9&gt;64,$G$11="!"),"",ROUND($J$30/HLOOKUP($E$32,'TR Tarifák'!$C$153:$N$155,3,0)*VLOOKUP($E$9,'TR Tarifák'!$B$156:$N$255,HLOOKUP($E$32,'TR Tarifák'!$C$153:$N$155,2,0),0)*IF($S$32="Kizárás",1,1+$S$32),0))</f>
        <v>624000</v>
      </c>
      <c r="M32" s="146"/>
      <c r="N32" s="132"/>
      <c r="O32" s="132"/>
      <c r="P32" s="53" t="str">
        <f>IF(AND($N$32="Ezt kérem!",$J$3&lt;&gt;""),"!","")</f>
        <v/>
      </c>
      <c r="Q32" s="57"/>
      <c r="R32" s="73"/>
      <c r="S32" s="16">
        <f>IF(ISBLANK($B$21),0,VLOOKUP($B$21,'Foglalkozási pótdíjak'!$A$3:$K$494,4,0))</f>
        <v>0</v>
      </c>
      <c r="T32" s="73"/>
      <c r="U32" s="73"/>
      <c r="V32" s="73"/>
      <c r="W32" s="73"/>
      <c r="X32" s="73"/>
      <c r="Y32" s="134">
        <f ca="1">IF(OR(ISBLANK($E$8),ISBLANK($E$11)),"",ROUND($J$30/HLOOKUP($E$32,'TR Tarifák'!$C$260:$N$262,3,0)*VLOOKUP($E$9,'TR Tarifák'!$B$263:$N$362,HLOOKUP($E$32,'TR Tarifák'!$C$260:$N$262,2,0),0)*IF($S$32="Kizárás",1,1+$S$32),0))</f>
        <v>389700</v>
      </c>
      <c r="Z32" s="134"/>
    </row>
    <row r="33" spans="2:27" x14ac:dyDescent="0.25">
      <c r="S33" s="16"/>
    </row>
    <row r="34" spans="2:27" x14ac:dyDescent="0.25">
      <c r="B34" s="13"/>
      <c r="S34" s="16"/>
    </row>
    <row r="35" spans="2:27" x14ac:dyDescent="0.25">
      <c r="B35" s="99" t="s">
        <v>5</v>
      </c>
      <c r="C35" s="99"/>
      <c r="D35" s="99"/>
      <c r="E35" s="104" t="s">
        <v>8</v>
      </c>
      <c r="F35" s="104"/>
      <c r="G35" s="104"/>
      <c r="H35" s="104"/>
      <c r="I35" s="104"/>
      <c r="J35" s="149">
        <v>5000000</v>
      </c>
      <c r="K35" s="149"/>
      <c r="L35" s="146">
        <f ca="1">IF(OR(ISBLANK($E$8),ISBLANK($E$11),$E$9&gt;64,$G$11="!"),"",ROUND($J$35/HLOOKUP($E$35,'TR Tarifák'!$C$153:$N$155,3,0)*VLOOKUP($E$9,'TR Tarifák'!$B$156:$N$255,HLOOKUP($E$35,'TR Tarifák'!$C$153:$N$155,2,0),0)*IF($S$35="Kizárás",1,1+$S$35),0))</f>
        <v>19000</v>
      </c>
      <c r="M35" s="146"/>
      <c r="N35" s="132"/>
      <c r="O35" s="132"/>
      <c r="P35" s="52"/>
      <c r="Q35" s="57"/>
      <c r="R35" s="73"/>
      <c r="S35" s="16">
        <f>IF(ISBLANK($B$21),0,VLOOKUP($B$21,'Foglalkozási pótdíjak'!$A$3:$K$494,5,0))</f>
        <v>0</v>
      </c>
      <c r="T35" s="73"/>
      <c r="U35" s="73"/>
      <c r="V35" s="73"/>
      <c r="W35" s="73"/>
      <c r="X35" s="73"/>
      <c r="Y35" s="134">
        <f ca="1">IF(OR(ISBLANK($E$8),ISBLANK($E$11)),"",ROUND($J$35/HLOOKUP($E$35,'TR Tarifák'!$C$260:$N$262,3,0)*VLOOKUP($E$9,'TR Tarifák'!$B$263:$N$362,HLOOKUP($E$35,'TR Tarifák'!$C$260:$N$262,2,0),0)*IF($S$35="Kizárás",1,1+$S$35),0))</f>
        <v>12000</v>
      </c>
      <c r="Z35" s="134"/>
    </row>
    <row r="36" spans="2:27" x14ac:dyDescent="0.25">
      <c r="B36" s="99"/>
      <c r="C36" s="99"/>
      <c r="D36" s="99"/>
      <c r="E36" s="138" t="s">
        <v>409</v>
      </c>
      <c r="F36" s="139"/>
      <c r="G36" s="139"/>
      <c r="H36" s="139"/>
      <c r="I36" s="44">
        <f ca="1">IF(OR(ISBLANK($E$8),ISBLANK($E$11)),"",MIN($E$11,60-IF($E$9&gt;55,60,$E$9)))</f>
        <v>9</v>
      </c>
      <c r="J36" s="146">
        <f ca="1">$L$26</f>
        <v>146450</v>
      </c>
      <c r="K36" s="146"/>
      <c r="L36" s="146">
        <f ca="1">IF(OR(ISBLANK($E$8),ISBLANK($E$11),$E$9&gt;55,$G$11="!"),"",ROUND($L$26/'TR Tarifák'!$B$366*INDEX('TR Tarifák'!$C$368:$AU$467,$E$9,MAX($I$36,5)-5+1)*IF($S$36="Kizárás",1,1+$S$36),0))</f>
        <v>5858</v>
      </c>
      <c r="M36" s="146"/>
      <c r="N36" s="132"/>
      <c r="O36" s="132"/>
      <c r="P36" s="52"/>
      <c r="Q36" s="57"/>
      <c r="R36" s="73"/>
      <c r="S36" s="16">
        <f>IF(ISBLANK($B$21),0,VLOOKUP($B$21,'Foglalkozási pótdíjak'!$A$3:$K$494,5,0))</f>
        <v>0</v>
      </c>
      <c r="T36" s="73"/>
      <c r="U36" s="73"/>
      <c r="V36" s="73"/>
      <c r="W36" s="73"/>
      <c r="X36" s="73"/>
      <c r="Y36" s="134">
        <f ca="1">IF(OR(ISBLANK($E$8),ISBLANK($E$11)),"",ROUND($Y$26/'TR Tarifák'!$B$471*INDEX('TR Tarifák'!$C$473:$AU$572,$E$9,MAX($I$36,5)-5+1)*IF($S$36="Kizárás",1,1+$S$36),0))</f>
        <v>3950</v>
      </c>
      <c r="Z36" s="134"/>
    </row>
    <row r="37" spans="2:27" x14ac:dyDescent="0.25">
      <c r="S37" s="16"/>
    </row>
    <row r="38" spans="2:27" x14ac:dyDescent="0.25">
      <c r="B38" s="13"/>
      <c r="S38" s="16"/>
    </row>
    <row r="39" spans="2:27" x14ac:dyDescent="0.25">
      <c r="B39" s="99" t="s">
        <v>11</v>
      </c>
      <c r="C39" s="99"/>
      <c r="D39" s="99"/>
      <c r="E39" s="104" t="s">
        <v>12</v>
      </c>
      <c r="F39" s="104"/>
      <c r="G39" s="104"/>
      <c r="H39" s="104"/>
      <c r="I39" s="104"/>
      <c r="J39" s="152">
        <v>150000</v>
      </c>
      <c r="K39" s="153"/>
      <c r="L39" s="146">
        <f ca="1">IF(OR(ISBLANK($E$8),ISBLANK($E$11),$E$9&gt;59,$G$11="!"),"",ROUND($J$39/HLOOKUP($E$39,'TR Tarifák'!$C$153:$N$155,3,0)*VLOOKUP($E$9,'TR Tarifák'!$B$156:$N$255,HLOOKUP($E$39,'TR Tarifák'!$C$153:$N$155,2,0),0)*IF($S$39="Kizárás",1,1+$S$39),0))</f>
        <v>9150</v>
      </c>
      <c r="M39" s="146"/>
      <c r="N39" s="132" t="s">
        <v>730</v>
      </c>
      <c r="O39" s="132"/>
      <c r="P39" s="52"/>
      <c r="Q39" s="57"/>
      <c r="R39" s="73"/>
      <c r="S39" s="16">
        <f>IF(ISBLANK($B$21),0,VLOOKUP($B$21,'Foglalkozási pótdíjak'!$A$3:$K$494,8,0))</f>
        <v>0</v>
      </c>
      <c r="T39" s="73"/>
      <c r="U39" s="73"/>
      <c r="V39" s="73"/>
      <c r="W39" s="73"/>
      <c r="X39" s="73"/>
      <c r="Y39" s="134">
        <f ca="1">IF(OR(ISBLANK($E$8),ISBLANK($E$11)),"",ROUND($J$39/HLOOKUP($E$39,'TR Tarifák'!$C$260:$N$262,3,0)*VLOOKUP($E$9,'TR Tarifák'!$B$263:$N$362,HLOOKUP($E$39,'TR Tarifák'!$C$260:$N$262,2,0),0)*IF($S$39="Kizárás",1,1+$S$39),0))</f>
        <v>5715</v>
      </c>
      <c r="Z39" s="134"/>
    </row>
    <row r="40" spans="2:27" x14ac:dyDescent="0.25">
      <c r="B40" s="99"/>
      <c r="C40" s="99"/>
      <c r="D40" s="99"/>
      <c r="E40" s="104" t="s">
        <v>25</v>
      </c>
      <c r="F40" s="104"/>
      <c r="G40" s="104"/>
      <c r="H40" s="104"/>
      <c r="I40" s="104"/>
      <c r="J40" s="152">
        <v>500000</v>
      </c>
      <c r="K40" s="153"/>
      <c r="L40" s="146">
        <f ca="1">IF(OR(ISBLANK($E$8),ISBLANK($E$11),$E$9&gt;59,$G$11="!"),"",ROUND($J$40/HLOOKUP($E$40,'TR Tarifák'!$C$153:$N$155,3,0)*VLOOKUP($E$9,'TR Tarifák'!$B$156:$N$255,HLOOKUP($E$40,'TR Tarifák'!$C$153:$N$155,2,0),0)*IF($S$40="Kizárás",1,1+$S$40),0))</f>
        <v>170400</v>
      </c>
      <c r="M40" s="146"/>
      <c r="N40" s="132"/>
      <c r="O40" s="132"/>
      <c r="P40" s="52"/>
      <c r="Q40" s="57"/>
      <c r="R40" s="73"/>
      <c r="S40" s="16">
        <f>IF(ISBLANK($B$21),0,VLOOKUP($B$21,'Foglalkozási pótdíjak'!$A$3:$K$494,9,0))</f>
        <v>0</v>
      </c>
      <c r="T40" s="73"/>
      <c r="U40" s="73"/>
      <c r="V40" s="73"/>
      <c r="W40" s="73"/>
      <c r="X40" s="73"/>
      <c r="Y40" s="134">
        <f ca="1">IF(OR(ISBLANK($E$8),ISBLANK($E$11)),"",ROUND($J$39/HLOOKUP($E$40,'TR Tarifák'!$C$260:$N$262,3,0)*VLOOKUP($E$9,'TR Tarifák'!$B$263:$N$362,HLOOKUP($E$40,'TR Tarifák'!$C$260:$N$262,2,0),0)*IF($S$40="Kizárás",1,1+$S$40),0))</f>
        <v>31950</v>
      </c>
      <c r="Z40" s="134"/>
    </row>
    <row r="41" spans="2:27" x14ac:dyDescent="0.25">
      <c r="S41" s="16"/>
    </row>
    <row r="42" spans="2:27" x14ac:dyDescent="0.25">
      <c r="B42" s="13"/>
      <c r="S42" s="16"/>
    </row>
    <row r="43" spans="2:27" x14ac:dyDescent="0.25">
      <c r="B43" s="99" t="s">
        <v>13</v>
      </c>
      <c r="C43" s="99"/>
      <c r="D43" s="99"/>
      <c r="E43" s="104" t="s">
        <v>14</v>
      </c>
      <c r="F43" s="104"/>
      <c r="G43" s="104"/>
      <c r="H43" s="104"/>
      <c r="I43" s="104"/>
      <c r="J43" s="152">
        <v>5000</v>
      </c>
      <c r="K43" s="153"/>
      <c r="L43" s="146">
        <f ca="1">IF(OR(ISBLANK($E$8),ISBLANK($E$11),$E$9&gt;59,$G$11="!"),"",ROUND($J$43/HLOOKUP($E$43,'TR Tarifák'!$C$153:$N$155,3,0)*VLOOKUP($E$9,'TR Tarifák'!$B$156:$N$255,HLOOKUP($E$43,'TR Tarifák'!$C$153:$N$155,2,0),0)*IF($S$43="Kizárás",1,1+$S$43),0))</f>
        <v>12240</v>
      </c>
      <c r="M43" s="146"/>
      <c r="N43" s="132"/>
      <c r="O43" s="132"/>
      <c r="P43" s="52"/>
      <c r="Q43" s="57"/>
      <c r="R43" s="73"/>
      <c r="S43" s="16">
        <f>IF(ISBLANK($B$21),0,VLOOKUP($B$21,'Foglalkozási pótdíjak'!$A$3:$K$494,10,0))</f>
        <v>0</v>
      </c>
      <c r="T43" s="73"/>
      <c r="U43" s="73"/>
      <c r="V43" s="73"/>
      <c r="W43" s="73"/>
      <c r="X43" s="73"/>
      <c r="Y43" s="134">
        <f ca="1">IF(OR(ISBLANK($E$8),ISBLANK($E$11)),"",ROUND($J$43/HLOOKUP($E$43,'TR Tarifák'!$C$260:$N$262,3,0)*VLOOKUP($E$9,'TR Tarifák'!$B$263:$N$362,HLOOKUP($E$43,'TR Tarifák'!$C$260:$N$262,2,0),0)*IF($S$43="Kizárás",1,1+$S$43),0))</f>
        <v>7650</v>
      </c>
      <c r="Z43" s="134"/>
    </row>
    <row r="44" spans="2:27" x14ac:dyDescent="0.25">
      <c r="B44" s="99"/>
      <c r="C44" s="99"/>
      <c r="D44" s="99"/>
      <c r="E44" s="104" t="s">
        <v>16</v>
      </c>
      <c r="F44" s="104"/>
      <c r="G44" s="104"/>
      <c r="H44" s="104"/>
      <c r="I44" s="104"/>
      <c r="J44" s="152">
        <v>2500</v>
      </c>
      <c r="K44" s="153"/>
      <c r="L44" s="146">
        <f ca="1">IF(OR(ISBLANK($E$8),ISBLANK($E$11),$E$9&gt;59,$G$11="!"),"",ROUND($J$44/HLOOKUP($E$44,'TR Tarifák'!$C$153:$N$155,3,0)*VLOOKUP($E$9,'TR Tarifák'!$B$156:$N$255,HLOOKUP($E$44,'TR Tarifák'!$C$153:$N$155,2,0),0)*IF($S$44="Kizárás",1,1+$S$44),0))</f>
        <v>28960</v>
      </c>
      <c r="M44" s="146"/>
      <c r="N44" s="132" t="s">
        <v>730</v>
      </c>
      <c r="O44" s="132"/>
      <c r="P44" s="52"/>
      <c r="Q44" s="57"/>
      <c r="R44" s="73"/>
      <c r="S44" s="16">
        <f>IF(ISBLANK($B$21),0,VLOOKUP($B$21,'Foglalkozási pótdíjak'!$A$3:$K$494,11,0))</f>
        <v>0</v>
      </c>
      <c r="T44" s="73"/>
      <c r="U44" s="73"/>
      <c r="V44" s="73"/>
      <c r="W44" s="73"/>
      <c r="X44" s="73"/>
      <c r="Y44" s="134">
        <f ca="1">IF(OR(ISBLANK($E$8),ISBLANK($E$11)),"",ROUND($J$43/HLOOKUP($E$44,'TR Tarifák'!$C$260:$N$262,3,0)*VLOOKUP($E$9,'TR Tarifák'!$B$263:$N$362,HLOOKUP($E$44,'TR Tarifák'!$C$260:$N$262,2,0),0)*IF($S$44="Kizárás",1,1+$S$44),0))</f>
        <v>36200</v>
      </c>
      <c r="Z44" s="134"/>
    </row>
    <row r="45" spans="2:27" x14ac:dyDescent="0.25">
      <c r="S45" s="16"/>
    </row>
    <row r="46" spans="2:27" x14ac:dyDescent="0.25">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5">
      <c r="B47" s="99" t="s">
        <v>20</v>
      </c>
      <c r="C47" s="99"/>
      <c r="D47" s="99"/>
      <c r="E47" s="104" t="s">
        <v>21</v>
      </c>
      <c r="F47" s="104"/>
      <c r="G47" s="104"/>
      <c r="H47" s="104"/>
      <c r="I47" s="104"/>
      <c r="J47" s="149"/>
      <c r="K47" s="149"/>
      <c r="L47" s="146">
        <f ca="1">IF(OR(ISBLANK($E$8),ISBLANK($E$11),$E$9&gt;64,$G$11="!"),"",ROUND($J$47/HLOOKUP($E$47,'TR Tarifák'!$C$153:$N$155,3,0)*VLOOKUP($E$9,'TR Tarifák'!$B$156:$N$255,HLOOKUP($E$47,'TR Tarifák'!$C$153:$N$155,2,0),0)*IF($S$47="Kizárás",1,1+$S$47),0))</f>
        <v>0</v>
      </c>
      <c r="M47" s="146"/>
      <c r="N47" s="132"/>
      <c r="O47" s="132"/>
      <c r="P47" s="52"/>
      <c r="Q47" s="57"/>
      <c r="R47" s="73"/>
      <c r="S47" s="16">
        <f>IF(ISBLANK($B$21),0,VLOOKUP($B$21,'Foglalkozási pótdíjak'!$A$3:$K$494,7,0))</f>
        <v>0</v>
      </c>
      <c r="T47" s="73"/>
      <c r="U47" s="73"/>
      <c r="V47" s="73"/>
      <c r="W47" s="73"/>
      <c r="X47" s="73"/>
      <c r="Y47" s="134">
        <f ca="1">IF(OR(ISBLANK($E$8),ISBLANK($E$11)),"",ROUND($J$47/HLOOKUP($E$47,'TR Tarifák'!$C$260:$N$262,3,0)*VLOOKUP($E$9,'TR Tarifák'!$B$263:$N$362,HLOOKUP($E$47,'TR Tarifák'!$C$260:$N$262,2,0),0)*IF($S$47="Kizárás",1,1+$S$47),0))</f>
        <v>0</v>
      </c>
      <c r="Z47" s="134"/>
      <c r="AA47" s="73"/>
    </row>
    <row r="48" spans="2:27" x14ac:dyDescent="0.25">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5">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5">
      <c r="B50" s="144" t="s">
        <v>22</v>
      </c>
      <c r="C50" s="144"/>
      <c r="D50" s="144"/>
      <c r="E50" s="138" t="s">
        <v>79</v>
      </c>
      <c r="F50" s="139"/>
      <c r="G50" s="139"/>
      <c r="H50" s="139"/>
      <c r="I50" s="139"/>
      <c r="J50" s="139"/>
      <c r="K50" s="140"/>
      <c r="L50" s="146">
        <f ca="1">IF(OR(ISBLANK($E$8),ISBLANK($E$11),$G$11="!"),"",ROUND(VLOOKUP($E$9,'TR Tarifák'!$B$156:$N$255,HLOOKUP($E$50,'TR Tarifák'!$C$153:$N$155,2,0),0)*IF($S$50="Kizárás",1,1+$S$50),0))</f>
        <v>9600</v>
      </c>
      <c r="M50" s="146"/>
      <c r="N50" s="132"/>
      <c r="O50" s="132"/>
      <c r="P50" s="52"/>
      <c r="Q50" s="57"/>
      <c r="R50" s="73"/>
      <c r="S50" s="50">
        <v>0</v>
      </c>
      <c r="T50" s="73"/>
      <c r="U50" s="73"/>
      <c r="V50" s="73"/>
      <c r="W50" s="73"/>
      <c r="X50" s="73"/>
      <c r="Y50" s="134">
        <f ca="1">IF(OR(ISBLANK($E$8),ISBLANK($E$11)),"",ROUND(VLOOKUP($E$9,'TR Tarifák'!$B$263:$N$362,HLOOKUP($E$50,'TR Tarifák'!$C$260:$N$262,2,0),0)*IF($S$50="Kizárás",1,1+$S$50),0))</f>
        <v>6000</v>
      </c>
      <c r="Z50" s="134"/>
      <c r="AA50" s="73"/>
    </row>
    <row r="51" spans="2:27" ht="12.75" customHeight="1" x14ac:dyDescent="0.25">
      <c r="B51" s="144"/>
      <c r="C51" s="144"/>
      <c r="D51" s="144"/>
      <c r="E51" s="138" t="s">
        <v>23</v>
      </c>
      <c r="F51" s="139"/>
      <c r="G51" s="139"/>
      <c r="H51" s="139"/>
      <c r="I51" s="139"/>
      <c r="J51" s="139"/>
      <c r="K51" s="140"/>
      <c r="L51" s="146">
        <f ca="1">IF(OR(ISBLANK($E$8),ISBLANK($E$11),$G$11="!"),"",ROUND(VLOOKUP($E$9,'TR Tarifák'!$B$156:$N$255,HLOOKUP($E$51,'TR Tarifák'!$C$153:$N$155,2,0),0)*IF($S$51="Kizárás",1,1+$S$51),0))</f>
        <v>19200</v>
      </c>
      <c r="M51" s="146"/>
      <c r="N51" s="132"/>
      <c r="O51" s="132"/>
      <c r="P51" s="52"/>
      <c r="Q51" s="57"/>
      <c r="R51" s="73"/>
      <c r="S51" s="50">
        <v>0</v>
      </c>
      <c r="T51" s="73"/>
      <c r="U51" s="73"/>
      <c r="V51" s="73"/>
      <c r="W51" s="73"/>
      <c r="X51" s="73"/>
      <c r="Y51" s="134">
        <f ca="1">IF(OR(ISBLANK($E$8),ISBLANK($E$11)),"",ROUND(VLOOKUP($E$9,'TR Tarifák'!$B$263:$N$362,HLOOKUP($E$51,'TR Tarifák'!$C$260:$N$262,2,0),0)*IF($S$51="Kizárás",1,1+$S$51),0))</f>
        <v>12000</v>
      </c>
      <c r="Z51" s="134"/>
      <c r="AA51" s="73"/>
    </row>
    <row r="52" spans="2:27" ht="12.75" customHeight="1" x14ac:dyDescent="0.25">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5">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5">
      <c r="B54" s="12"/>
      <c r="C54" s="12"/>
      <c r="D54" s="12"/>
      <c r="E54" s="12"/>
      <c r="F54" s="12"/>
      <c r="G54" s="12"/>
      <c r="H54" s="12"/>
      <c r="I54" s="12"/>
      <c r="J54" s="12"/>
      <c r="K54" s="12"/>
    </row>
    <row r="55" spans="2:27" x14ac:dyDescent="0.25">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5">
      <c r="B56" s="107" t="s">
        <v>58</v>
      </c>
      <c r="C56" s="107"/>
      <c r="D56" s="107"/>
      <c r="E56" s="107"/>
      <c r="F56" s="107"/>
      <c r="G56" s="107"/>
      <c r="H56" s="107"/>
      <c r="I56" s="107"/>
      <c r="J56" s="107"/>
      <c r="K56" s="107"/>
      <c r="L56" s="107"/>
      <c r="M56" s="107"/>
      <c r="N56" s="107"/>
      <c r="O56" s="107"/>
    </row>
    <row r="57" spans="2:27" x14ac:dyDescent="0.25">
      <c r="B57" s="107"/>
      <c r="C57" s="107"/>
      <c r="D57" s="107"/>
      <c r="E57" s="107"/>
      <c r="F57" s="107"/>
      <c r="G57" s="107"/>
      <c r="H57" s="107"/>
      <c r="I57" s="107"/>
      <c r="J57" s="107"/>
      <c r="K57" s="107"/>
      <c r="L57" s="107"/>
      <c r="M57" s="107"/>
      <c r="N57" s="107"/>
      <c r="O57" s="107"/>
      <c r="P57" s="74"/>
      <c r="Q57" s="57"/>
      <c r="R57" s="74"/>
      <c r="S57" s="74"/>
      <c r="T57" s="74"/>
      <c r="U57" s="74"/>
      <c r="V57" s="74"/>
      <c r="W57" s="74"/>
      <c r="X57" s="74"/>
    </row>
    <row r="58" spans="2:27" x14ac:dyDescent="0.25">
      <c r="B58" s="107"/>
      <c r="C58" s="107"/>
      <c r="D58" s="107"/>
      <c r="E58" s="107"/>
      <c r="F58" s="107"/>
      <c r="G58" s="107"/>
      <c r="H58" s="107"/>
      <c r="I58" s="107"/>
      <c r="J58" s="107"/>
      <c r="K58" s="107"/>
      <c r="L58" s="107"/>
      <c r="M58" s="107"/>
      <c r="N58" s="107"/>
      <c r="O58" s="107"/>
    </row>
    <row r="59" spans="2:27" x14ac:dyDescent="0.25">
      <c r="B59" s="107"/>
      <c r="C59" s="107"/>
      <c r="D59" s="107"/>
      <c r="E59" s="107"/>
      <c r="F59" s="107"/>
      <c r="G59" s="107"/>
      <c r="H59" s="107"/>
      <c r="I59" s="107"/>
      <c r="J59" s="107"/>
      <c r="K59" s="107"/>
      <c r="L59" s="107"/>
      <c r="M59" s="107"/>
      <c r="N59" s="107"/>
      <c r="O59" s="107"/>
      <c r="P59" s="74"/>
      <c r="Q59" s="57"/>
      <c r="R59" s="74"/>
      <c r="S59" s="74"/>
      <c r="T59" s="74"/>
      <c r="U59" s="74"/>
      <c r="V59" s="74"/>
      <c r="W59" s="74"/>
      <c r="X59" s="74"/>
    </row>
    <row r="60" spans="2:27" x14ac:dyDescent="0.25">
      <c r="B60" s="107"/>
      <c r="C60" s="107"/>
      <c r="D60" s="107"/>
      <c r="E60" s="107"/>
      <c r="F60" s="107"/>
      <c r="G60" s="107"/>
      <c r="H60" s="107"/>
      <c r="I60" s="107"/>
      <c r="J60" s="107"/>
      <c r="K60" s="107"/>
      <c r="L60" s="107"/>
      <c r="M60" s="107"/>
      <c r="N60" s="107"/>
      <c r="O60" s="107"/>
    </row>
    <row r="61" spans="2:27" x14ac:dyDescent="0.25">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1875" defaultRowHeight="13.2" x14ac:dyDescent="0.25"/>
  <cols>
    <col min="1" max="5" width="9.21875" style="35"/>
    <col min="6" max="6" width="9.21875" style="35" customWidth="1"/>
    <col min="7" max="16384" width="9.21875" style="35"/>
  </cols>
  <sheetData>
    <row r="1" spans="2:15" x14ac:dyDescent="0.25">
      <c r="B1" s="173" t="s">
        <v>94</v>
      </c>
      <c r="C1" s="173"/>
      <c r="D1" s="173"/>
      <c r="E1" s="173"/>
      <c r="F1" s="173"/>
    </row>
    <row r="2" spans="2:15" x14ac:dyDescent="0.25">
      <c r="B2" s="173"/>
      <c r="C2" s="173"/>
      <c r="D2" s="173"/>
      <c r="E2" s="173"/>
      <c r="F2" s="173"/>
      <c r="G2" s="89" t="str">
        <f>MetMax!$E$2</f>
        <v>v2.1.7</v>
      </c>
    </row>
    <row r="3" spans="2:15" x14ac:dyDescent="0.25">
      <c r="J3" s="76" t="str">
        <f>IF(OR(ISBLANK($F$28),ISBLANK($E$8)),"",IF(OR(ISBLANK($E$15),ISBLANK($E$17)),"Egy szerződéshez egyszerre csak egyfajta Kritikus betegség biztosítás választható.",""))</f>
        <v/>
      </c>
    </row>
    <row r="4" spans="2:15" x14ac:dyDescent="0.25">
      <c r="J4" s="76" t="str">
        <f>IF($E$47="Kizárás","A biztosítás a foglalkozással okozati összefüggésben bekövetkező biztosítási eseményekre nem nyújt szolgáltatást.","")</f>
        <v/>
      </c>
    </row>
    <row r="5" spans="2:15" x14ac:dyDescent="0.25">
      <c r="B5" s="116" t="s">
        <v>455</v>
      </c>
      <c r="C5" s="117"/>
      <c r="D5" s="117"/>
      <c r="E5" s="117"/>
      <c r="F5" s="117"/>
      <c r="G5" s="117"/>
      <c r="H5" s="118"/>
      <c r="J5" s="76" t="str">
        <f ca="1">IF(OR(ISBLANK($F$28),ISBLANK($E$8)),"",IF($E$9&gt;60,"Csak az évente megújjuló díjas változat elérhető.",IF($E$9&gt;55,"A 10 évre garantált díjas változat már nem elérhető.","")))</f>
        <v/>
      </c>
    </row>
    <row r="6" spans="2:15" x14ac:dyDescent="0.25">
      <c r="B6" s="119"/>
      <c r="C6" s="120"/>
      <c r="D6" s="120"/>
      <c r="E6" s="120"/>
      <c r="F6" s="120"/>
      <c r="G6" s="120"/>
      <c r="H6" s="121"/>
      <c r="J6" s="76" t="str">
        <f ca="1">IF(COUNTIF($H$28:$O$33,"!")&lt;1,"","A jelenlegi biztosítási össeggel a jelzett módozatok nem érik el a minimális 24 000 Ft/év-es biztosítási díjat.")</f>
        <v/>
      </c>
    </row>
    <row r="7" spans="2:15" x14ac:dyDescent="0.25">
      <c r="B7" s="37"/>
      <c r="C7" s="37"/>
      <c r="D7" s="37"/>
      <c r="E7" s="37"/>
      <c r="F7" s="37"/>
      <c r="G7" s="37"/>
      <c r="H7" s="37"/>
    </row>
    <row r="8" spans="2:15" x14ac:dyDescent="0.25">
      <c r="B8" s="99" t="s">
        <v>405</v>
      </c>
      <c r="C8" s="99"/>
      <c r="D8" s="99"/>
      <c r="E8" s="114">
        <v>25537</v>
      </c>
      <c r="F8" s="114"/>
      <c r="G8" s="37"/>
      <c r="H8" s="37"/>
      <c r="J8" s="100" t="s">
        <v>462</v>
      </c>
      <c r="K8" s="100"/>
      <c r="L8" s="100"/>
      <c r="M8" s="100"/>
      <c r="N8" s="170">
        <f ca="1">IF(OR(ISBLANK($E$15),ISBLANK($E$17)),"",INDEX($H$28:$O$33,VLOOKUP($E$15,Paraméterek!$W$1:$X$3,2,0),VLOOKUP($E$17,Paraméterek!$AA$1:$AB$4,2,0)))</f>
        <v>101310</v>
      </c>
      <c r="O8" s="170"/>
    </row>
    <row r="9" spans="2:15" x14ac:dyDescent="0.25">
      <c r="B9" s="99" t="s">
        <v>404</v>
      </c>
      <c r="C9" s="99"/>
      <c r="D9" s="99"/>
      <c r="E9" s="150">
        <f ca="1">IF(ISBLANK($E$8),"",IF(YEAR(TODAY())-YEAR($E$8)&lt;0,"",YEAR(TODAY())-YEAR($E$8)))</f>
        <v>51</v>
      </c>
      <c r="F9" s="150"/>
      <c r="G9" s="18" t="str">
        <f ca="1">IF(ISBLANK($E$8),"",IF($E$9&gt;55,"!",""))</f>
        <v/>
      </c>
      <c r="H9" s="37"/>
      <c r="J9" s="102"/>
      <c r="K9" s="102"/>
      <c r="L9" s="102"/>
      <c r="M9" s="102"/>
      <c r="N9" s="174"/>
      <c r="O9" s="174"/>
    </row>
    <row r="10" spans="2:15" x14ac:dyDescent="0.25">
      <c r="B10" s="37"/>
      <c r="C10" s="37"/>
      <c r="D10" s="37"/>
      <c r="E10" s="37"/>
      <c r="F10" s="37"/>
      <c r="G10" s="37"/>
      <c r="H10" s="37"/>
    </row>
    <row r="11" spans="2:15" x14ac:dyDescent="0.25">
      <c r="B11" s="99" t="s">
        <v>403</v>
      </c>
      <c r="C11" s="99"/>
      <c r="D11" s="99"/>
      <c r="E11" s="157" t="s">
        <v>28</v>
      </c>
      <c r="F11" s="157"/>
      <c r="G11" s="37"/>
      <c r="H11" s="37"/>
    </row>
    <row r="12" spans="2:15" x14ac:dyDescent="0.25">
      <c r="B12" s="37"/>
      <c r="C12" s="37"/>
      <c r="D12" s="37"/>
      <c r="E12" s="15" t="str">
        <f>IF(ISBLANK($E$11),"Éves",$E$11)</f>
        <v>Havi</v>
      </c>
      <c r="F12" s="37"/>
      <c r="G12" s="37"/>
      <c r="H12" s="37"/>
      <c r="J12" s="100" t="str">
        <f>"Fizetendő "&amp;$E$12&amp;" díj:"</f>
        <v>Fizetendő Havi díj:</v>
      </c>
      <c r="K12" s="100"/>
      <c r="L12" s="100"/>
      <c r="M12" s="100"/>
      <c r="N12" s="170">
        <f ca="1">IF(OR(ISBLANK($E$15),ISBLANK($E$17),$N$8=""),"",ROUNDUP($N$8/VLOOKUP($E$12,Paraméterek!$K$1:$M$4,3,0),0))</f>
        <v>8443</v>
      </c>
      <c r="O12" s="171"/>
    </row>
    <row r="13" spans="2:15" x14ac:dyDescent="0.25">
      <c r="B13" s="99" t="s">
        <v>402</v>
      </c>
      <c r="C13" s="99"/>
      <c r="D13" s="99"/>
      <c r="E13" s="157" t="s">
        <v>35</v>
      </c>
      <c r="F13" s="157"/>
      <c r="G13" s="37"/>
      <c r="H13" s="37"/>
      <c r="J13" s="102"/>
      <c r="K13" s="102"/>
      <c r="L13" s="102"/>
      <c r="M13" s="102"/>
      <c r="N13" s="172"/>
      <c r="O13" s="172"/>
    </row>
    <row r="14" spans="2:15" x14ac:dyDescent="0.25">
      <c r="B14" s="37"/>
      <c r="C14" s="37"/>
      <c r="D14" s="37"/>
      <c r="E14" s="37"/>
      <c r="F14" s="37"/>
      <c r="G14" s="37"/>
      <c r="H14" s="37"/>
    </row>
    <row r="15" spans="2:15" x14ac:dyDescent="0.25">
      <c r="B15" s="99" t="s">
        <v>463</v>
      </c>
      <c r="C15" s="99"/>
      <c r="D15" s="99"/>
      <c r="E15" s="157" t="s">
        <v>64</v>
      </c>
      <c r="F15" s="157"/>
      <c r="G15" s="37"/>
      <c r="H15" s="37"/>
    </row>
    <row r="16" spans="2:15" x14ac:dyDescent="0.25">
      <c r="B16" s="37"/>
      <c r="C16" s="37"/>
      <c r="D16" s="37"/>
      <c r="E16" s="15" t="str">
        <f>IF(ISBLANK($E$11),"Éves",$E$11)</f>
        <v>Havi</v>
      </c>
      <c r="F16" s="37"/>
      <c r="G16" s="37"/>
      <c r="H16" s="37"/>
    </row>
    <row r="17" spans="2:15" x14ac:dyDescent="0.25">
      <c r="B17" s="99" t="s">
        <v>464</v>
      </c>
      <c r="C17" s="99"/>
      <c r="D17" s="99"/>
      <c r="E17" s="157" t="s">
        <v>468</v>
      </c>
      <c r="F17" s="157"/>
      <c r="G17" s="37"/>
      <c r="H17" s="37"/>
    </row>
    <row r="18" spans="2:15" x14ac:dyDescent="0.25">
      <c r="B18" s="37"/>
      <c r="C18" s="37"/>
      <c r="D18" s="37"/>
      <c r="E18" s="37"/>
      <c r="F18" s="37"/>
      <c r="G18" s="37"/>
      <c r="H18" s="37"/>
    </row>
    <row r="19" spans="2:15" x14ac:dyDescent="0.25">
      <c r="B19" s="99" t="s">
        <v>401</v>
      </c>
      <c r="C19" s="99"/>
      <c r="D19" s="99"/>
      <c r="E19" s="131" t="s">
        <v>37</v>
      </c>
      <c r="F19" s="131"/>
      <c r="G19" s="37"/>
      <c r="H19" s="37"/>
      <c r="J19" s="122" t="s">
        <v>457</v>
      </c>
      <c r="K19" s="136"/>
      <c r="L19" s="136"/>
      <c r="M19" s="123"/>
      <c r="N19" s="126" t="str">
        <f>IF(ISBLANK($F$28),"---",'PÜ. limitek'!$I$16)</f>
        <v>Nem szükséges</v>
      </c>
      <c r="O19" s="127"/>
    </row>
    <row r="20" spans="2:15" ht="12.75" customHeight="1" x14ac:dyDescent="0.25">
      <c r="B20" s="12"/>
      <c r="C20" s="32"/>
      <c r="D20" s="33"/>
      <c r="E20" s="12"/>
      <c r="F20" s="13"/>
      <c r="G20" s="12"/>
      <c r="H20" s="37"/>
      <c r="J20" s="124"/>
      <c r="K20" s="137"/>
      <c r="L20" s="137"/>
      <c r="M20" s="125"/>
      <c r="N20" s="128"/>
      <c r="O20" s="129"/>
    </row>
    <row r="21" spans="2:15" ht="12.75" customHeight="1" x14ac:dyDescent="0.25">
      <c r="B21" s="12"/>
      <c r="C21" s="32"/>
      <c r="D21" s="33"/>
      <c r="E21" s="12"/>
      <c r="F21" s="13"/>
      <c r="G21" s="12"/>
      <c r="H21" s="12"/>
      <c r="J21" s="12"/>
      <c r="K21" s="12"/>
      <c r="L21" s="12"/>
      <c r="M21" s="12"/>
      <c r="N21" s="12"/>
      <c r="O21" s="12"/>
    </row>
    <row r="22" spans="2:15" x14ac:dyDescent="0.25">
      <c r="B22" s="116" t="s">
        <v>421</v>
      </c>
      <c r="C22" s="117"/>
      <c r="D22" s="117"/>
      <c r="E22" s="117"/>
      <c r="F22" s="117"/>
      <c r="G22" s="117"/>
      <c r="H22" s="118"/>
      <c r="J22" s="122" t="s">
        <v>386</v>
      </c>
      <c r="K22" s="136"/>
      <c r="L22" s="136"/>
      <c r="M22" s="123"/>
      <c r="N22" s="126" t="str">
        <f ca="1">IF(OR(ISBLANK($F$28),ISBLANK($E$8)),"---",'EÜ. limitek'!$J$19)</f>
        <v>Egyszerűsített egészségi nyilatkozat</v>
      </c>
      <c r="O22" s="127"/>
    </row>
    <row r="23" spans="2:15" x14ac:dyDescent="0.25">
      <c r="B23" s="119" t="s">
        <v>240</v>
      </c>
      <c r="C23" s="120"/>
      <c r="D23" s="120"/>
      <c r="E23" s="120"/>
      <c r="F23" s="120"/>
      <c r="G23" s="120"/>
      <c r="H23" s="121"/>
      <c r="J23" s="124"/>
      <c r="K23" s="137"/>
      <c r="L23" s="137"/>
      <c r="M23" s="125"/>
      <c r="N23" s="128"/>
      <c r="O23" s="129"/>
    </row>
    <row r="26" spans="2:15" x14ac:dyDescent="0.25">
      <c r="F26" s="168" t="s">
        <v>40</v>
      </c>
      <c r="G26" s="168"/>
      <c r="H26" s="168" t="s">
        <v>467</v>
      </c>
      <c r="I26" s="168"/>
      <c r="J26" s="168" t="s">
        <v>465</v>
      </c>
      <c r="K26" s="168"/>
      <c r="L26" s="168" t="s">
        <v>466</v>
      </c>
      <c r="M26" s="168"/>
      <c r="N26" s="168" t="s">
        <v>461</v>
      </c>
      <c r="O26" s="168"/>
    </row>
    <row r="27" spans="2:15" x14ac:dyDescent="0.25">
      <c r="F27" s="169"/>
      <c r="G27" s="169"/>
      <c r="H27" s="169"/>
      <c r="I27" s="169"/>
      <c r="J27" s="169"/>
      <c r="K27" s="169"/>
      <c r="L27" s="169"/>
      <c r="M27" s="169"/>
      <c r="N27" s="169"/>
      <c r="O27" s="169"/>
    </row>
    <row r="28" spans="2:15" x14ac:dyDescent="0.25">
      <c r="B28" s="99" t="s">
        <v>4</v>
      </c>
      <c r="C28" s="99"/>
      <c r="D28" s="147" t="s">
        <v>62</v>
      </c>
      <c r="E28" s="147"/>
      <c r="F28" s="149">
        <v>3000000</v>
      </c>
      <c r="G28" s="149"/>
      <c r="H28" s="167">
        <f ca="1">IF(ISBLANK($E$8),"",IF($H$47&lt;Paraméterek!$AH$1,"!",$H$47))</f>
        <v>52590</v>
      </c>
      <c r="I28" s="167"/>
      <c r="J28" s="167">
        <f ca="1">IF(ISBLANK($E$8),"",IF($J$47&lt;Paraméterek!$AH$1,"!",$J$47))</f>
        <v>68970</v>
      </c>
      <c r="K28" s="167"/>
      <c r="L28" s="167">
        <f ca="1">IF(ISBLANK($E$8),"",IF($L$47&lt;Paraméterek!$AH$1,"!",$L$47))</f>
        <v>80700</v>
      </c>
      <c r="M28" s="167"/>
      <c r="N28" s="167">
        <f ca="1">IF(ISBLANK($E$8),"",IF($N$47&lt;Paraméterek!$AH$1,"!",$N$47))</f>
        <v>85200</v>
      </c>
      <c r="O28" s="167"/>
    </row>
    <row r="29" spans="2:15" x14ac:dyDescent="0.25">
      <c r="B29" s="99"/>
      <c r="C29" s="99"/>
      <c r="D29" s="147"/>
      <c r="E29" s="147"/>
      <c r="F29" s="149"/>
      <c r="G29" s="149"/>
      <c r="H29" s="167"/>
      <c r="I29" s="167"/>
      <c r="J29" s="167"/>
      <c r="K29" s="167"/>
      <c r="L29" s="167"/>
      <c r="M29" s="167"/>
      <c r="N29" s="167"/>
      <c r="O29" s="167"/>
    </row>
    <row r="30" spans="2:15" x14ac:dyDescent="0.25">
      <c r="B30" s="99"/>
      <c r="C30" s="99"/>
      <c r="D30" s="147" t="s">
        <v>63</v>
      </c>
      <c r="E30" s="147"/>
      <c r="F30" s="149"/>
      <c r="G30" s="149"/>
      <c r="H30" s="167">
        <f ca="1">IF(ISBLANK($E$8),"",IF($H$49&lt;Paraméterek!$AH$1,"!",$H$49))</f>
        <v>81060</v>
      </c>
      <c r="I30" s="167"/>
      <c r="J30" s="167">
        <f ca="1">IF(ISBLANK($E$8),"",IF($J$49&lt;Paraméterek!$AH$1,"!",$J$49))</f>
        <v>108780</v>
      </c>
      <c r="K30" s="167"/>
      <c r="L30" s="167">
        <f ca="1">IF(ISBLANK($E$8),"",IF($L$49&lt;Paraméterek!$AH$1,"!",$L$49))</f>
        <v>130710</v>
      </c>
      <c r="M30" s="167"/>
      <c r="N30" s="167">
        <f ca="1">IF(ISBLANK($E$8),"",IF($N$49&lt;Paraméterek!$AH$1,"!",$N$49))</f>
        <v>139020</v>
      </c>
      <c r="O30" s="167"/>
    </row>
    <row r="31" spans="2:15" x14ac:dyDescent="0.25">
      <c r="B31" s="99"/>
      <c r="C31" s="99"/>
      <c r="D31" s="147"/>
      <c r="E31" s="147"/>
      <c r="F31" s="149"/>
      <c r="G31" s="149"/>
      <c r="H31" s="167"/>
      <c r="I31" s="167"/>
      <c r="J31" s="167"/>
      <c r="K31" s="167"/>
      <c r="L31" s="167"/>
      <c r="M31" s="167"/>
      <c r="N31" s="167"/>
      <c r="O31" s="167"/>
    </row>
    <row r="32" spans="2:15" x14ac:dyDescent="0.25">
      <c r="B32" s="99"/>
      <c r="C32" s="99"/>
      <c r="D32" s="147" t="s">
        <v>64</v>
      </c>
      <c r="E32" s="147"/>
      <c r="F32" s="149"/>
      <c r="G32" s="149"/>
      <c r="H32" s="167">
        <f ca="1">IF(ISBLANK($E$8),"",IF($H$51&lt;Paraméterek!$AH$1,"!",$H$51))</f>
        <v>101310</v>
      </c>
      <c r="I32" s="167"/>
      <c r="J32" s="167">
        <f ca="1">IF(ISBLANK($E$8),"",IF($J$51&lt;Paraméterek!$AH$1,"!",$J$51))</f>
        <v>135900</v>
      </c>
      <c r="K32" s="167"/>
      <c r="L32" s="167">
        <f ca="1">IF(ISBLANK($E$8),"",IF($L$51&lt;Paraméterek!$AH$1,"!",$L$51))</f>
        <v>162930</v>
      </c>
      <c r="M32" s="167"/>
      <c r="N32" s="167">
        <f ca="1">IF(ISBLANK($E$8),"",IF($N$51&lt;Paraméterek!$AH$1,"!",$N$51))</f>
        <v>173070</v>
      </c>
      <c r="O32" s="167"/>
    </row>
    <row r="33" spans="1:15" x14ac:dyDescent="0.25">
      <c r="B33" s="99"/>
      <c r="C33" s="99"/>
      <c r="D33" s="147"/>
      <c r="E33" s="147"/>
      <c r="F33" s="149"/>
      <c r="G33" s="149"/>
      <c r="H33" s="167"/>
      <c r="I33" s="167"/>
      <c r="J33" s="167"/>
      <c r="K33" s="167"/>
      <c r="L33" s="167"/>
      <c r="M33" s="167"/>
      <c r="N33" s="167"/>
      <c r="O33" s="167"/>
    </row>
    <row r="38" spans="1:15" x14ac:dyDescent="0.25">
      <c r="B38" s="107" t="s">
        <v>58</v>
      </c>
      <c r="C38" s="107"/>
      <c r="D38" s="107"/>
      <c r="E38" s="107"/>
      <c r="F38" s="107"/>
      <c r="G38" s="107"/>
      <c r="H38" s="107"/>
      <c r="I38" s="107"/>
      <c r="J38" s="107"/>
      <c r="K38" s="107"/>
      <c r="L38" s="107"/>
      <c r="M38" s="107"/>
      <c r="N38" s="107"/>
      <c r="O38" s="107"/>
    </row>
    <row r="39" spans="1:15" x14ac:dyDescent="0.25">
      <c r="B39" s="107"/>
      <c r="C39" s="107"/>
      <c r="D39" s="107"/>
      <c r="E39" s="107"/>
      <c r="F39" s="107"/>
      <c r="G39" s="107"/>
      <c r="H39" s="107"/>
      <c r="I39" s="107"/>
      <c r="J39" s="107"/>
      <c r="K39" s="107"/>
      <c r="L39" s="107"/>
      <c r="M39" s="107"/>
      <c r="N39" s="107"/>
      <c r="O39" s="107"/>
    </row>
    <row r="40" spans="1:15" x14ac:dyDescent="0.25">
      <c r="B40" s="107"/>
      <c r="C40" s="107"/>
      <c r="D40" s="107"/>
      <c r="E40" s="107"/>
      <c r="F40" s="107"/>
      <c r="G40" s="107"/>
      <c r="H40" s="107"/>
      <c r="I40" s="107"/>
      <c r="J40" s="107"/>
      <c r="K40" s="107"/>
      <c r="L40" s="107"/>
      <c r="M40" s="107"/>
      <c r="N40" s="107"/>
      <c r="O40" s="107"/>
    </row>
    <row r="41" spans="1:15" x14ac:dyDescent="0.25">
      <c r="B41" s="107"/>
      <c r="C41" s="107"/>
      <c r="D41" s="107"/>
      <c r="E41" s="107"/>
      <c r="F41" s="107"/>
      <c r="G41" s="107"/>
      <c r="H41" s="107"/>
      <c r="I41" s="107"/>
      <c r="J41" s="107"/>
      <c r="K41" s="107"/>
      <c r="L41" s="107"/>
      <c r="M41" s="107"/>
      <c r="N41" s="107"/>
      <c r="O41" s="107"/>
    </row>
    <row r="42" spans="1:15" x14ac:dyDescent="0.25">
      <c r="B42" s="107"/>
      <c r="C42" s="107"/>
      <c r="D42" s="107"/>
      <c r="E42" s="107"/>
      <c r="F42" s="107"/>
      <c r="G42" s="107"/>
      <c r="H42" s="107"/>
      <c r="I42" s="107"/>
      <c r="J42" s="107"/>
      <c r="K42" s="107"/>
      <c r="L42" s="107"/>
      <c r="M42" s="107"/>
      <c r="N42" s="107"/>
      <c r="O42" s="107"/>
    </row>
    <row r="47" spans="1:15" hidden="1" x14ac:dyDescent="0.25">
      <c r="A47" s="35" t="s">
        <v>406</v>
      </c>
      <c r="B47" s="35" t="s">
        <v>387</v>
      </c>
      <c r="E47" s="35">
        <f>IF(ISBLANK($B$23),0,VLOOKUP($B$23,'Foglalkozási pótdíjak'!$A$3:$K$494,4,0))</f>
        <v>0</v>
      </c>
      <c r="H47" s="167">
        <f ca="1">IF($E$9&gt;64,0,ROUND($F$28/'CC Tarifák'!$B$1*VLOOKUP(64-$E$9+1,'CC Tarifák'!$B$3:$AX$49,$E$9-18+2,0)*IF($E$47="Kizárás",1,1+$E$47),0))</f>
        <v>52590</v>
      </c>
      <c r="I47" s="167"/>
      <c r="J47" s="167">
        <f ca="1">IF($E$9&gt;60,0,ROUND($F$28/'CC Tarifák'!$B$53*VLOOKUP(64-$E$9+1,'CC Tarifák'!$B$55:$AX$101,$E$9-18+2,0)*IF($E$47="Kizárás",1,1+$E$47),0))</f>
        <v>68970</v>
      </c>
      <c r="K47" s="167"/>
      <c r="L47" s="167">
        <f ca="1">IF($E$9&gt;55,0,ROUND($F$28/'CC Tarifák'!$B$105*VLOOKUP(64-$E$9+1,'CC Tarifák'!$B$107:$AX$153,$E$9-18+2,0)*IF($E$47="Kizárás",1,1+$E$47),0))</f>
        <v>80700</v>
      </c>
      <c r="M47" s="167"/>
      <c r="N47" s="167">
        <f ca="1">IF($E$9&gt;60,0,ROUND($F$28/'CC Tarifák'!$B$157*VLOOKUP(64-$E$9+1,'CC Tarifák'!$B$159:$AX$205,$E$9-18+2,0)*IF($E$47="Kizárás",1,1+$E$47),0))</f>
        <v>85200</v>
      </c>
      <c r="O47" s="167"/>
    </row>
    <row r="48" spans="1:15" hidden="1" x14ac:dyDescent="0.25">
      <c r="A48" s="35" t="s">
        <v>406</v>
      </c>
      <c r="H48" s="167"/>
      <c r="I48" s="167"/>
      <c r="J48" s="167"/>
      <c r="K48" s="167"/>
      <c r="L48" s="167"/>
      <c r="M48" s="167"/>
      <c r="N48" s="167"/>
      <c r="O48" s="167"/>
    </row>
    <row r="49" spans="1:26" hidden="1" x14ac:dyDescent="0.25">
      <c r="A49" s="35" t="s">
        <v>406</v>
      </c>
      <c r="H49" s="167">
        <f ca="1">IF($E$9&gt;64,0,ROUND($F$28/'CC Tarifák'!$B$209*VLOOKUP(64-$E$9+1,'CC Tarifák'!$B$211:$AX$257,$E$9-18+2,0)*IF($E$47="Kizárás",1,1+$E$47),0))</f>
        <v>81060</v>
      </c>
      <c r="I49" s="167"/>
      <c r="J49" s="167">
        <f ca="1">IF($E$9&gt;60,0,ROUND($F$28/'CC Tarifák'!$B$261*VLOOKUP(64-$E$9+1,'CC Tarifák'!$B$263:$AX$309,$E$9-18+2,0)*IF($E$47="Kizárás",1,1+$E$47),0))</f>
        <v>108780</v>
      </c>
      <c r="K49" s="167"/>
      <c r="L49" s="167">
        <f ca="1">IF($E$9&gt;55,0,ROUND($F$28/'CC Tarifák'!$B$313*VLOOKUP(64-$E$9+1,'CC Tarifák'!$B$315:$AX$361,$E$9-18+2,0)*IF($E$47="Kizárás",1,1+$E$47),0))</f>
        <v>130710</v>
      </c>
      <c r="M49" s="167"/>
      <c r="N49" s="167">
        <f ca="1">IF($E$9&gt;60,0,ROUND($F$28/'CC Tarifák'!$B$365*VLOOKUP(64-$E$9+1,'CC Tarifák'!$B$367:$AX$413,$E$9-18+2,0)*IF($E$47="Kizárás",1,1+$E$47),0))</f>
        <v>139020</v>
      </c>
      <c r="O49" s="167"/>
    </row>
    <row r="50" spans="1:26" hidden="1" x14ac:dyDescent="0.25">
      <c r="A50" s="35" t="s">
        <v>406</v>
      </c>
      <c r="H50" s="167"/>
      <c r="I50" s="167"/>
      <c r="J50" s="167"/>
      <c r="K50" s="167"/>
      <c r="L50" s="167"/>
      <c r="M50" s="167"/>
      <c r="N50" s="167"/>
      <c r="O50" s="167"/>
    </row>
    <row r="51" spans="1:26" hidden="1" x14ac:dyDescent="0.25">
      <c r="A51" s="35" t="s">
        <v>406</v>
      </c>
      <c r="H51" s="167">
        <f ca="1">IF($E$9&gt;64,0,ROUND($F$28/'CC Tarifák'!$B$417*VLOOKUP(64-$E$9+1,'CC Tarifák'!$B$419:$AX$465,$E$9-18+2,0)*IF($E$47="Kizárás",1,1+$E$47),0))</f>
        <v>101310</v>
      </c>
      <c r="I51" s="167"/>
      <c r="J51" s="167">
        <f ca="1">IF($E$9&gt;60,0,ROUND($F$28/'CC Tarifák'!$B$469*VLOOKUP(64-$E$9+1,'CC Tarifák'!$B$471:$AX$517,$E$9-18+2,0)*IF($E$47="Kizárás",1,1+$E$47),0))</f>
        <v>135900</v>
      </c>
      <c r="K51" s="167"/>
      <c r="L51" s="167">
        <f ca="1">IF($E$9&gt;55,0,ROUND($F$28/'CC Tarifák'!$B$521*VLOOKUP(64-$E$9+1,'CC Tarifák'!$B$523:$AX$569,$E$9-18+2,0)*IF($E$47="Kizárás",1,1+$E$47),0))</f>
        <v>162930</v>
      </c>
      <c r="M51" s="167"/>
      <c r="N51" s="167">
        <f ca="1">IF($E$9&gt;60,0,ROUND($F$28/'CC Tarifák'!$B$573*VLOOKUP(64-$E$9+1,'CC Tarifák'!$B$575:$AX$621,$E$9-18+2,0)*IF($E$47="Kizárás",1,1+$E$47),0))</f>
        <v>173070</v>
      </c>
      <c r="O51" s="167"/>
    </row>
    <row r="52" spans="1:26" hidden="1" x14ac:dyDescent="0.25">
      <c r="A52" s="35" t="s">
        <v>406</v>
      </c>
      <c r="H52" s="167"/>
      <c r="I52" s="167"/>
      <c r="J52" s="167"/>
      <c r="K52" s="167"/>
      <c r="L52" s="167"/>
      <c r="M52" s="167"/>
      <c r="N52" s="167"/>
      <c r="O52" s="167"/>
    </row>
    <row r="56" spans="1:26" x14ac:dyDescent="0.25">
      <c r="B56" s="160"/>
      <c r="C56" s="163" t="s">
        <v>62</v>
      </c>
      <c r="D56" s="163"/>
      <c r="E56" s="163"/>
      <c r="F56" s="163"/>
      <c r="G56" s="163"/>
      <c r="H56" s="163"/>
      <c r="I56" s="163"/>
      <c r="J56" s="163"/>
      <c r="K56" s="163" t="s">
        <v>63</v>
      </c>
      <c r="L56" s="163"/>
      <c r="M56" s="163"/>
      <c r="N56" s="163"/>
      <c r="O56" s="163"/>
      <c r="P56" s="163"/>
      <c r="Q56" s="163"/>
      <c r="R56" s="163"/>
      <c r="S56" s="163" t="s">
        <v>64</v>
      </c>
      <c r="T56" s="163"/>
      <c r="U56" s="163"/>
      <c r="V56" s="163"/>
      <c r="W56" s="163"/>
      <c r="X56" s="163"/>
      <c r="Y56" s="163"/>
      <c r="Z56" s="163"/>
    </row>
    <row r="57" spans="1:26" x14ac:dyDescent="0.25">
      <c r="B57" s="161"/>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row>
    <row r="58" spans="1:26" x14ac:dyDescent="0.25">
      <c r="B58" s="161"/>
      <c r="C58" s="165" t="s">
        <v>467</v>
      </c>
      <c r="D58" s="165"/>
      <c r="E58" s="165" t="s">
        <v>465</v>
      </c>
      <c r="F58" s="165"/>
      <c r="G58" s="165" t="s">
        <v>466</v>
      </c>
      <c r="H58" s="165"/>
      <c r="I58" s="165" t="s">
        <v>461</v>
      </c>
      <c r="J58" s="165"/>
      <c r="K58" s="165" t="s">
        <v>467</v>
      </c>
      <c r="L58" s="165"/>
      <c r="M58" s="165" t="s">
        <v>465</v>
      </c>
      <c r="N58" s="165"/>
      <c r="O58" s="165" t="s">
        <v>466</v>
      </c>
      <c r="P58" s="165"/>
      <c r="Q58" s="165" t="s">
        <v>461</v>
      </c>
      <c r="R58" s="165"/>
      <c r="S58" s="165" t="s">
        <v>467</v>
      </c>
      <c r="T58" s="165"/>
      <c r="U58" s="165" t="s">
        <v>465</v>
      </c>
      <c r="V58" s="165"/>
      <c r="W58" s="165" t="s">
        <v>466</v>
      </c>
      <c r="X58" s="165"/>
      <c r="Y58" s="165" t="s">
        <v>461</v>
      </c>
      <c r="Z58" s="165"/>
    </row>
    <row r="59" spans="1:26" x14ac:dyDescent="0.25">
      <c r="B59" s="162"/>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row>
    <row r="60" spans="1:26" x14ac:dyDescent="0.25">
      <c r="B60" s="77">
        <v>1</v>
      </c>
      <c r="C60" s="158">
        <f ca="1">IF(OR(ISBLANK($F$28),ISBLANK($E$8)),0,IF($E$9&gt;64,0,IF($B60="","",IF($H$28="!",0,1)*ROUND($F$28/'CC Tarifák'!$B$1*VLOOKUP(64-$E$9+1-$B60+1,'CC Tarifák'!$B$3:$AX$49,$E$9+$B60-1-18+2,0)*IF($E$47="Kizárás",1,1+$E$47),0))))</f>
        <v>52590</v>
      </c>
      <c r="D60" s="158"/>
      <c r="E60" s="158">
        <f ca="1">IF(OR(ISBLANK($F$28),ISBLANK($E$8)),0,IF($E$9&gt;60,0,IF($B60="","",IF(MOD($B60,5)=1,IF($J$28="!",0,1)*ROUND($F$28/'CC Tarifák'!$B$53*VLOOKUP(64-$E$9+1-$B60+1,'CC Tarifák'!$B$55:$AX$101,$E$9+$B60-1-18+2,0)*IF($E$47="Kizárás",1,1+$E$47),0),$E59))))</f>
        <v>68970</v>
      </c>
      <c r="F60" s="158"/>
      <c r="G60" s="158">
        <f ca="1">IF(OR(ISBLANK($F$28),ISBLANK($E$8)),0,IF($E$9&gt;55,0,IF($B60="","",IF(MOD($B60,10)=1,IF($L$28="!",0,1)*ROUND($F$28/'CC Tarifák'!$B$105*VLOOKUP(64-$E$9+1-$B60+1,'CC Tarifák'!$B$107:$AX$153,$E$9+$B60-1-18+2,0)*IF($E$47="Kizárás",1,1+$E$47),0),$G59))))</f>
        <v>80700</v>
      </c>
      <c r="H60" s="158"/>
      <c r="I60" s="158">
        <f ca="1">IF(OR(ISBLANK($F$28),ISBLANK($E$8)),0,IF($B60="","",IF($N$28="!",0,$N$28)))</f>
        <v>85200</v>
      </c>
      <c r="J60" s="158"/>
      <c r="K60" s="159">
        <f ca="1">IF(OR(ISBLANK($F$28),ISBLANK($E$8)),0,IF($E$9&gt;64,0,IF($B60="","",IF($H$30="!",0,1)*ROUND($F$28/'CC Tarifák'!$B$209*VLOOKUP(64-$E$9+1-$B60+1,'CC Tarifák'!$B$211:$AX$257,$E$9+$B60-1-18+2,0)*IF($E$47="Kizárás",1,1+$E$47),0))))</f>
        <v>81060</v>
      </c>
      <c r="L60" s="159"/>
      <c r="M60" s="159">
        <f ca="1">IF(OR(ISBLANK($F$28),ISBLANK($E$8)),0,IF($E$9&gt;60,0,IF($B60="","",IF(MOD($B60,5)=1,IF($J$30="!",0,1)*ROUND($F$28/'CC Tarifák'!$B$261*VLOOKUP(64-$E$9+1-$B60+1,'CC Tarifák'!$B$263:$AX$309,$E$9+$B60-1-18+2,0)*IF($E$47="Kizárás",1,1+$E$47),0),$M59))))</f>
        <v>108780</v>
      </c>
      <c r="N60" s="159"/>
      <c r="O60" s="159">
        <f ca="1">IF(OR(ISBLANK($F$28),ISBLANK($E$8)),0,IF($E$9&gt;55,0,IF($B60="","",IF(MOD($B60,10)=1,IF($L$30="!",0,1)*ROUND($F$28/'CC Tarifák'!$B$313*VLOOKUP(64-$E$9+1-$B60+1,'CC Tarifák'!$B$315:$AX$361,$E$9+$B60-1-18+2,0)*IF($E$47="Kizárás",1,1+$E$47),0),$O59))))</f>
        <v>130710</v>
      </c>
      <c r="P60" s="159"/>
      <c r="Q60" s="159">
        <f ca="1">IF(OR(ISBLANK($F$28),ISBLANK($E$8)),0,IF($B60="","",IF($N$30="!",0,$N$30)))</f>
        <v>139020</v>
      </c>
      <c r="R60" s="159"/>
      <c r="S60" s="158">
        <f ca="1">IF(OR(ISBLANK($F$28),ISBLANK($E$8)),0,IF($E$9&gt;64,0,IF($B60="","",IF($H$32="!",0,1)*ROUND($F$28/'CC Tarifák'!$B$417*VLOOKUP(64-$E$9+1-$B60+1,'CC Tarifák'!$B$419:$AX$465,$E$9+$B60-1-18+2,0)*IF($E$47="Kizárás",1,1+$E$47),0))))</f>
        <v>101310</v>
      </c>
      <c r="T60" s="158"/>
      <c r="U60" s="158">
        <f ca="1">IF(OR(ISBLANK($F$28),ISBLANK($E$8)),0,IF($E$9&gt;60,0,IF($B60="","",IF(MOD($B60,5)=1,IF($J$32="!",0,1)*ROUND($F$28/'CC Tarifák'!$B$469*VLOOKUP(64-$E$9+1-$B60+1,'CC Tarifák'!$B$471:$AX$517,$E$9+$B60-1-18+2,0)*IF($E$47="Kizárás",1,1+$E$47),0),$U59))))</f>
        <v>135900</v>
      </c>
      <c r="V60" s="158"/>
      <c r="W60" s="158">
        <f ca="1">IF(OR(ISBLANK($F$28),ISBLANK($E$8)),0,IF($E$9&gt;55,0,IF($B60="","",IF(MOD($B60,10)=1,IF($L$32="!",0,1)*ROUND($F$28/'CC Tarifák'!$B$521*VLOOKUP(64-$E$9+1-$B60+1,'CC Tarifák'!$B$523:$AX$569,$E$9+$B60-1-18+2,0)*IF($E$47="Kizárás",1,1+$E$47),0),$W59))))</f>
        <v>162930</v>
      </c>
      <c r="X60" s="158"/>
      <c r="Y60" s="158">
        <f ca="1">IF(OR(ISBLANK($F$28),ISBLANK($E$8)),0,IF($B60="","",IF($N$32="!",0,$N$32)))</f>
        <v>173070</v>
      </c>
      <c r="Z60" s="158"/>
    </row>
    <row r="61" spans="1:26" x14ac:dyDescent="0.25">
      <c r="B61" s="78">
        <f ca="1">IF(OR(ISBLANK($F$28),ISBLANK($E$8)),"",IF($B60="","",IF($B60+1&lt;=64-$E$9,$B60+1,"")))</f>
        <v>2</v>
      </c>
      <c r="C61" s="158">
        <f ca="1">IF(OR(ISBLANK($F$28),ISBLANK($E$8)),0,IF($E$9&gt;64,0,IF($B61="","",IF($H$28="!",0,1)*ROUND($F$28/'CC Tarifák'!$B$1*VLOOKUP(64-$E$9+1-$B61+1,'CC Tarifák'!$B$3:$AX$49,$E$9+$B61-1-18+2,0)*IF($E$47="Kizárás",1,1+$E$47),0))))</f>
        <v>56580</v>
      </c>
      <c r="D61" s="158"/>
      <c r="E61" s="158">
        <f ca="1">IF(OR(ISBLANK($F$28),ISBLANK($E$8)),0,IF($E$9&gt;60,0,IF($B61="","",IF(MOD($B61,5)=1,IF($J$28="!",0,1)*ROUND($F$28/'CC Tarifák'!$B$53*VLOOKUP(64-$E$9+1-$B61+1,'CC Tarifák'!$B$55:$AX$101,$E$9+$B61-1-18+2,0)*IF($E$47="Kizárás",1,1+$E$47),0),$E60))))</f>
        <v>68970</v>
      </c>
      <c r="F61" s="158"/>
      <c r="G61" s="158">
        <f ca="1">IF(OR(ISBLANK($F$28),ISBLANK($E$8)),0,IF($E$9&gt;55,0,IF($B61="","",IF(MOD($B61,10)=1,IF($L$28="!",0,1)*ROUND($F$28/'CC Tarifák'!$B$105*VLOOKUP(64-$E$9+1-$B61+1,'CC Tarifák'!$B$107:$AX$153,$E$9+$B61-1-18+2,0)*IF($E$47="Kizárás",1,1+$E$47),0),$G60))))</f>
        <v>80700</v>
      </c>
      <c r="H61" s="158"/>
      <c r="I61" s="158">
        <f t="shared" ref="I61:I105" ca="1" si="0">IF(OR(ISBLANK($F$28),ISBLANK($E$8)),0,IF($B61="","",IF($N$28="!",0,$N$28)))</f>
        <v>85200</v>
      </c>
      <c r="J61" s="158"/>
      <c r="K61" s="159">
        <f ca="1">IF(OR(ISBLANK($F$28),ISBLANK($E$8)),0,IF($E$9&gt;64,0,IF($B61="","",IF($H$30="!",0,1)*ROUND($F$28/'CC Tarifák'!$B$209*VLOOKUP(64-$E$9+1-$B61+1,'CC Tarifák'!$B$211:$AX$257,$E$9+$B61-1-18+2,0)*IF($E$47="Kizárás",1,1+$E$47),0))))</f>
        <v>87300</v>
      </c>
      <c r="L61" s="159"/>
      <c r="M61" s="159">
        <f ca="1">IF(OR(ISBLANK($F$28),ISBLANK($E$8)),0,IF($E$9&gt;60,0,IF($B61="","",IF(MOD($B61,5)=1,IF($J$30="!",0,1)*ROUND($F$28/'CC Tarifák'!$B$261*VLOOKUP(64-$E$9+1-$B61+1,'CC Tarifák'!$B$263:$AX$309,$E$9+$B61-1-18+2,0)*IF($E$47="Kizárás",1,1+$E$47),0),$M60))))</f>
        <v>108780</v>
      </c>
      <c r="N61" s="159"/>
      <c r="O61" s="159">
        <f ca="1">IF(OR(ISBLANK($F$28),ISBLANK($E$8)),0,IF($E$9&gt;55,0,IF($B61="","",IF(MOD($B61,10)=1,IF($L$30="!",0,1)*ROUND($F$28/'CC Tarifák'!$B$313*VLOOKUP(64-$E$9+1-$B61+1,'CC Tarifák'!$B$315:$AX$361,$E$9+$B61-1-18+2,0)*IF($E$47="Kizárás",1,1+$E$47),0),$O60))))</f>
        <v>130710</v>
      </c>
      <c r="P61" s="159"/>
      <c r="Q61" s="159">
        <f t="shared" ref="Q61:Q105" ca="1" si="1">IF(OR(ISBLANK($F$28),ISBLANK($E$8)),0,IF($B61="","",IF($N$30="!",0,$N$30)))</f>
        <v>139020</v>
      </c>
      <c r="R61" s="159"/>
      <c r="S61" s="158">
        <f ca="1">IF(OR(ISBLANK($F$28),ISBLANK($E$8)),0,IF($E$9&gt;64,0,IF($B61="","",IF($H$32="!",0,1)*ROUND($F$28/'CC Tarifák'!$B$417*VLOOKUP(64-$E$9+1-$B61+1,'CC Tarifák'!$B$419:$AX$465,$E$9+$B61-1-18+2,0)*IF($E$47="Kizárás",1,1+$E$47),0))))</f>
        <v>109110</v>
      </c>
      <c r="T61" s="158"/>
      <c r="U61" s="158">
        <f ca="1">IF(OR(ISBLANK($F$28),ISBLANK($E$8)),0,IF($E$9&gt;60,0,IF($B61="","",IF(MOD($B61,5)=1,IF($J$32="!",0,1)*ROUND($F$28/'CC Tarifák'!$B$469*VLOOKUP(64-$E$9+1-$B61+1,'CC Tarifák'!$B$471:$AX$517,$E$9+$B61-1-18+2,0)*IF($E$47="Kizárás",1,1+$E$47),0),$U60))))</f>
        <v>135900</v>
      </c>
      <c r="V61" s="158"/>
      <c r="W61" s="158">
        <f ca="1">IF(OR(ISBLANK($F$28),ISBLANK($E$8)),0,IF($E$9&gt;55,0,IF($B61="","",IF(MOD($B61,10)=1,IF($L$32="!",0,1)*ROUND($F$28/'CC Tarifák'!$B$521*VLOOKUP(64-$E$9+1-$B61+1,'CC Tarifák'!$B$523:$AX$569,$E$9+$B61-1-18+2,0)*IF($E$47="Kizárás",1,1+$E$47),0),$W60))))</f>
        <v>162930</v>
      </c>
      <c r="X61" s="158"/>
      <c r="Y61" s="158">
        <f t="shared" ref="Y61:Y105" ca="1" si="2">IF(OR(ISBLANK($F$28),ISBLANK($E$8)),0,IF($B61="","",IF($N$32="!",0,$N$32)))</f>
        <v>173070</v>
      </c>
      <c r="Z61" s="158"/>
    </row>
    <row r="62" spans="1:26" x14ac:dyDescent="0.25">
      <c r="B62" s="78">
        <f t="shared" ref="B62:B105" ca="1" si="3">IF($B61="","",IF($B61+1&lt;=64-$E$9,$B61+1,""))</f>
        <v>3</v>
      </c>
      <c r="C62" s="158">
        <f ca="1">IF(OR(ISBLANK($F$28),ISBLANK($E$8)),0,IF($E$9&gt;64,0,IF($B62="","",IF($H$28="!",0,1)*ROUND($F$28/'CC Tarifák'!$B$1*VLOOKUP(64-$E$9+1-$B62+1,'CC Tarifák'!$B$3:$AX$49,$E$9+$B62-1-18+2,0)*IF($E$47="Kizárás",1,1+$E$47),0))))</f>
        <v>60540</v>
      </c>
      <c r="D62" s="158"/>
      <c r="E62" s="158">
        <f ca="1">IF(OR(ISBLANK($F$28),ISBLANK($E$8)),0,IF($E$9&gt;60,0,IF($B62="","",IF(MOD($B62,5)=1,IF($J$28="!",0,1)*ROUND($F$28/'CC Tarifák'!$B$53*VLOOKUP(64-$E$9+1-$B62+1,'CC Tarifák'!$B$55:$AX$101,$E$9+$B62-1-18+2,0)*IF($E$47="Kizárás",1,1+$E$47),0),$E61))))</f>
        <v>68970</v>
      </c>
      <c r="F62" s="158"/>
      <c r="G62" s="158">
        <f ca="1">IF(OR(ISBLANK($F$28),ISBLANK($E$8)),0,IF($E$9&gt;55,0,IF($B62="","",IF(MOD($B62,10)=1,IF($L$28="!",0,1)*ROUND($F$28/'CC Tarifák'!$B$105*VLOOKUP(64-$E$9+1-$B62+1,'CC Tarifák'!$B$107:$AX$153,$E$9+$B62-1-18+2,0)*IF($E$47="Kizárás",1,1+$E$47),0),$G61))))</f>
        <v>80700</v>
      </c>
      <c r="H62" s="158"/>
      <c r="I62" s="158">
        <f t="shared" ca="1" si="0"/>
        <v>85200</v>
      </c>
      <c r="J62" s="158"/>
      <c r="K62" s="159">
        <f ca="1">IF(OR(ISBLANK($F$28),ISBLANK($E$8)),0,IF($E$9&gt;64,0,IF($B62="","",IF($H$30="!",0,1)*ROUND($F$28/'CC Tarifák'!$B$209*VLOOKUP(64-$E$9+1-$B62+1,'CC Tarifák'!$B$211:$AX$257,$E$9+$B62-1-18+2,0)*IF($E$47="Kizárás",1,1+$E$47),0))))</f>
        <v>93510</v>
      </c>
      <c r="L62" s="159"/>
      <c r="M62" s="159">
        <f ca="1">IF(OR(ISBLANK($F$28),ISBLANK($E$8)),0,IF($E$9&gt;60,0,IF($B62="","",IF(MOD($B62,5)=1,IF($J$30="!",0,1)*ROUND($F$28/'CC Tarifák'!$B$261*VLOOKUP(64-$E$9+1-$B62+1,'CC Tarifák'!$B$263:$AX$309,$E$9+$B62-1-18+2,0)*IF($E$47="Kizárás",1,1+$E$47),0),$M61))))</f>
        <v>108780</v>
      </c>
      <c r="N62" s="159"/>
      <c r="O62" s="159">
        <f ca="1">IF(OR(ISBLANK($F$28),ISBLANK($E$8)),0,IF($E$9&gt;55,0,IF($B62="","",IF(MOD($B62,10)=1,IF($L$30="!",0,1)*ROUND($F$28/'CC Tarifák'!$B$313*VLOOKUP(64-$E$9+1-$B62+1,'CC Tarifák'!$B$315:$AX$361,$E$9+$B62-1-18+2,0)*IF($E$47="Kizárás",1,1+$E$47),0),$O61))))</f>
        <v>130710</v>
      </c>
      <c r="P62" s="159"/>
      <c r="Q62" s="159">
        <f t="shared" ca="1" si="1"/>
        <v>139020</v>
      </c>
      <c r="R62" s="159"/>
      <c r="S62" s="158">
        <f ca="1">IF(OR(ISBLANK($F$28),ISBLANK($E$8)),0,IF($E$9&gt;64,0,IF($B62="","",IF($H$32="!",0,1)*ROUND($F$28/'CC Tarifák'!$B$417*VLOOKUP(64-$E$9+1-$B62+1,'CC Tarifák'!$B$419:$AX$465,$E$9+$B62-1-18+2,0)*IF($E$47="Kizárás",1,1+$E$47),0))))</f>
        <v>116910</v>
      </c>
      <c r="T62" s="158"/>
      <c r="U62" s="158">
        <f ca="1">IF(OR(ISBLANK($F$28),ISBLANK($E$8)),0,IF($E$9&gt;60,0,IF($B62="","",IF(MOD($B62,5)=1,IF($J$32="!",0,1)*ROUND($F$28/'CC Tarifák'!$B$469*VLOOKUP(64-$E$9+1-$B62+1,'CC Tarifák'!$B$471:$AX$517,$E$9+$B62-1-18+2,0)*IF($E$47="Kizárás",1,1+$E$47),0),$U61))))</f>
        <v>135900</v>
      </c>
      <c r="V62" s="158"/>
      <c r="W62" s="158">
        <f ca="1">IF(OR(ISBLANK($F$28),ISBLANK($E$8)),0,IF($E$9&gt;55,0,IF($B62="","",IF(MOD($B62,10)=1,IF($L$32="!",0,1)*ROUND($F$28/'CC Tarifák'!$B$521*VLOOKUP(64-$E$9+1-$B62+1,'CC Tarifák'!$B$523:$AX$569,$E$9+$B62-1-18+2,0)*IF($E$47="Kizárás",1,1+$E$47),0),$W61))))</f>
        <v>162930</v>
      </c>
      <c r="X62" s="158"/>
      <c r="Y62" s="158">
        <f t="shared" ca="1" si="2"/>
        <v>173070</v>
      </c>
      <c r="Z62" s="158"/>
    </row>
    <row r="63" spans="1:26" x14ac:dyDescent="0.25">
      <c r="B63" s="78">
        <f t="shared" ca="1" si="3"/>
        <v>4</v>
      </c>
      <c r="C63" s="158">
        <f ca="1">IF(OR(ISBLANK($F$28),ISBLANK($E$8)),0,IF($E$9&gt;64,0,IF($B63="","",IF($H$28="!",0,1)*ROUND($F$28/'CC Tarifák'!$B$1*VLOOKUP(64-$E$9+1-$B63+1,'CC Tarifák'!$B$3:$AX$49,$E$9+$B63-1-18+2,0)*IF($E$47="Kizárás",1,1+$E$47),0))))</f>
        <v>64530</v>
      </c>
      <c r="D63" s="158"/>
      <c r="E63" s="158">
        <f ca="1">IF(OR(ISBLANK($F$28),ISBLANK($E$8)),0,IF($E$9&gt;60,0,IF($B63="","",IF(MOD($B63,5)=1,IF($J$28="!",0,1)*ROUND($F$28/'CC Tarifák'!$B$53*VLOOKUP(64-$E$9+1-$B63+1,'CC Tarifák'!$B$55:$AX$101,$E$9+$B63-1-18+2,0)*IF($E$47="Kizárás",1,1+$E$47),0),$E62))))</f>
        <v>68970</v>
      </c>
      <c r="F63" s="158"/>
      <c r="G63" s="158">
        <f ca="1">IF(OR(ISBLANK($F$28),ISBLANK($E$8)),0,IF($E$9&gt;55,0,IF($B63="","",IF(MOD($B63,10)=1,IF($L$28="!",0,1)*ROUND($F$28/'CC Tarifák'!$B$105*VLOOKUP(64-$E$9+1-$B63+1,'CC Tarifák'!$B$107:$AX$153,$E$9+$B63-1-18+2,0)*IF($E$47="Kizárás",1,1+$E$47),0),$G62))))</f>
        <v>80700</v>
      </c>
      <c r="H63" s="158"/>
      <c r="I63" s="158">
        <f t="shared" ca="1" si="0"/>
        <v>85200</v>
      </c>
      <c r="J63" s="158"/>
      <c r="K63" s="159">
        <f ca="1">IF(OR(ISBLANK($F$28),ISBLANK($E$8)),0,IF($E$9&gt;64,0,IF($B63="","",IF($H$30="!",0,1)*ROUND($F$28/'CC Tarifák'!$B$209*VLOOKUP(64-$E$9+1-$B63+1,'CC Tarifák'!$B$211:$AX$257,$E$9+$B63-1-18+2,0)*IF($E$47="Kizárás",1,1+$E$47),0))))</f>
        <v>99780</v>
      </c>
      <c r="L63" s="159"/>
      <c r="M63" s="159">
        <f ca="1">IF(OR(ISBLANK($F$28),ISBLANK($E$8)),0,IF($E$9&gt;60,0,IF($B63="","",IF(MOD($B63,5)=1,IF($J$30="!",0,1)*ROUND($F$28/'CC Tarifák'!$B$261*VLOOKUP(64-$E$9+1-$B63+1,'CC Tarifák'!$B$263:$AX$309,$E$9+$B63-1-18+2,0)*IF($E$47="Kizárás",1,1+$E$47),0),$M62))))</f>
        <v>108780</v>
      </c>
      <c r="N63" s="159"/>
      <c r="O63" s="159">
        <f ca="1">IF(OR(ISBLANK($F$28),ISBLANK($E$8)),0,IF($E$9&gt;55,0,IF($B63="","",IF(MOD($B63,10)=1,IF($L$30="!",0,1)*ROUND($F$28/'CC Tarifák'!$B$313*VLOOKUP(64-$E$9+1-$B63+1,'CC Tarifák'!$B$315:$AX$361,$E$9+$B63-1-18+2,0)*IF($E$47="Kizárás",1,1+$E$47),0),$O62))))</f>
        <v>130710</v>
      </c>
      <c r="P63" s="159"/>
      <c r="Q63" s="159">
        <f t="shared" ca="1" si="1"/>
        <v>139020</v>
      </c>
      <c r="R63" s="159"/>
      <c r="S63" s="158">
        <f ca="1">IF(OR(ISBLANK($F$28),ISBLANK($E$8)),0,IF($E$9&gt;64,0,IF($B63="","",IF($H$32="!",0,1)*ROUND($F$28/'CC Tarifák'!$B$417*VLOOKUP(64-$E$9+1-$B63+1,'CC Tarifák'!$B$419:$AX$465,$E$9+$B63-1-18+2,0)*IF($E$47="Kizárás",1,1+$E$47),0))))</f>
        <v>124710</v>
      </c>
      <c r="T63" s="158"/>
      <c r="U63" s="158">
        <f ca="1">IF(OR(ISBLANK($F$28),ISBLANK($E$8)),0,IF($E$9&gt;60,0,IF($B63="","",IF(MOD($B63,5)=1,IF($J$32="!",0,1)*ROUND($F$28/'CC Tarifák'!$B$469*VLOOKUP(64-$E$9+1-$B63+1,'CC Tarifák'!$B$471:$AX$517,$E$9+$B63-1-18+2,0)*IF($E$47="Kizárás",1,1+$E$47),0),$U62))))</f>
        <v>135900</v>
      </c>
      <c r="V63" s="158"/>
      <c r="W63" s="158">
        <f ca="1">IF(OR(ISBLANK($F$28),ISBLANK($E$8)),0,IF($E$9&gt;55,0,IF($B63="","",IF(MOD($B63,10)=1,IF($L$32="!",0,1)*ROUND($F$28/'CC Tarifák'!$B$521*VLOOKUP(64-$E$9+1-$B63+1,'CC Tarifák'!$B$523:$AX$569,$E$9+$B63-1-18+2,0)*IF($E$47="Kizárás",1,1+$E$47),0),$W62))))</f>
        <v>162930</v>
      </c>
      <c r="X63" s="158"/>
      <c r="Y63" s="158">
        <f t="shared" ca="1" si="2"/>
        <v>173070</v>
      </c>
      <c r="Z63" s="158"/>
    </row>
    <row r="64" spans="1:26" x14ac:dyDescent="0.25">
      <c r="B64" s="78">
        <f t="shared" ca="1" si="3"/>
        <v>5</v>
      </c>
      <c r="C64" s="158">
        <f ca="1">IF(OR(ISBLANK($F$28),ISBLANK($E$8)),0,IF($E$9&gt;64,0,IF($B64="","",IF($H$28="!",0,1)*ROUND($F$28/'CC Tarifák'!$B$1*VLOOKUP(64-$E$9+1-$B64+1,'CC Tarifák'!$B$3:$AX$49,$E$9+$B64-1-18+2,0)*IF($E$47="Kizárás",1,1+$E$47),0))))</f>
        <v>68490</v>
      </c>
      <c r="D64" s="158"/>
      <c r="E64" s="158">
        <f ca="1">IF(OR(ISBLANK($F$28),ISBLANK($E$8)),0,IF($E$9&gt;60,0,IF($B64="","",IF(MOD($B64,5)=1,IF($J$28="!",0,1)*ROUND($F$28/'CC Tarifák'!$B$53*VLOOKUP(64-$E$9+1-$B64+1,'CC Tarifák'!$B$55:$AX$101,$E$9+$B64-1-18+2,0)*IF($E$47="Kizárás",1,1+$E$47),0),$E63))))</f>
        <v>68970</v>
      </c>
      <c r="F64" s="158"/>
      <c r="G64" s="158">
        <f ca="1">IF(OR(ISBLANK($F$28),ISBLANK($E$8)),0,IF($E$9&gt;55,0,IF($B64="","",IF(MOD($B64,10)=1,IF($L$28="!",0,1)*ROUND($F$28/'CC Tarifák'!$B$105*VLOOKUP(64-$E$9+1-$B64+1,'CC Tarifák'!$B$107:$AX$153,$E$9+$B64-1-18+2,0)*IF($E$47="Kizárás",1,1+$E$47),0),$G63))))</f>
        <v>80700</v>
      </c>
      <c r="H64" s="158"/>
      <c r="I64" s="158">
        <f t="shared" ca="1" si="0"/>
        <v>85200</v>
      </c>
      <c r="J64" s="158"/>
      <c r="K64" s="159">
        <f ca="1">IF(OR(ISBLANK($F$28),ISBLANK($E$8)),0,IF($E$9&gt;64,0,IF($B64="","",IF($H$30="!",0,1)*ROUND($F$28/'CC Tarifák'!$B$209*VLOOKUP(64-$E$9+1-$B64+1,'CC Tarifák'!$B$211:$AX$257,$E$9+$B64-1-18+2,0)*IF($E$47="Kizárás",1,1+$E$47),0))))</f>
        <v>109500</v>
      </c>
      <c r="L64" s="159"/>
      <c r="M64" s="159">
        <f ca="1">IF(OR(ISBLANK($F$28),ISBLANK($E$8)),0,IF($E$9&gt;60,0,IF($B64="","",IF(MOD($B64,5)=1,IF($J$30="!",0,1)*ROUND($F$28/'CC Tarifák'!$B$261*VLOOKUP(64-$E$9+1-$B64+1,'CC Tarifák'!$B$263:$AX$309,$E$9+$B64-1-18+2,0)*IF($E$47="Kizárás",1,1+$E$47),0),$M63))))</f>
        <v>108780</v>
      </c>
      <c r="N64" s="159"/>
      <c r="O64" s="159">
        <f ca="1">IF(OR(ISBLANK($F$28),ISBLANK($E$8)),0,IF($E$9&gt;55,0,IF($B64="","",IF(MOD($B64,10)=1,IF($L$30="!",0,1)*ROUND($F$28/'CC Tarifák'!$B$313*VLOOKUP(64-$E$9+1-$B64+1,'CC Tarifák'!$B$315:$AX$361,$E$9+$B64-1-18+2,0)*IF($E$47="Kizárás",1,1+$E$47),0),$O63))))</f>
        <v>130710</v>
      </c>
      <c r="P64" s="159"/>
      <c r="Q64" s="159">
        <f t="shared" ca="1" si="1"/>
        <v>139020</v>
      </c>
      <c r="R64" s="159"/>
      <c r="S64" s="158">
        <f ca="1">IF(OR(ISBLANK($F$28),ISBLANK($E$8)),0,IF($E$9&gt;64,0,IF($B64="","",IF($H$32="!",0,1)*ROUND($F$28/'CC Tarifák'!$B$417*VLOOKUP(64-$E$9+1-$B64+1,'CC Tarifák'!$B$419:$AX$465,$E$9+$B64-1-18+2,0)*IF($E$47="Kizárás",1,1+$E$47),0))))</f>
        <v>136890</v>
      </c>
      <c r="T64" s="158"/>
      <c r="U64" s="158">
        <f ca="1">IF(OR(ISBLANK($F$28),ISBLANK($E$8)),0,IF($E$9&gt;60,0,IF($B64="","",IF(MOD($B64,5)=1,IF($J$32="!",0,1)*ROUND($F$28/'CC Tarifák'!$B$469*VLOOKUP(64-$E$9+1-$B64+1,'CC Tarifák'!$B$471:$AX$517,$E$9+$B64-1-18+2,0)*IF($E$47="Kizárás",1,1+$E$47),0),$U63))))</f>
        <v>135900</v>
      </c>
      <c r="V64" s="158"/>
      <c r="W64" s="158">
        <f ca="1">IF(OR(ISBLANK($F$28),ISBLANK($E$8)),0,IF($E$9&gt;55,0,IF($B64="","",IF(MOD($B64,10)=1,IF($L$32="!",0,1)*ROUND($F$28/'CC Tarifák'!$B$521*VLOOKUP(64-$E$9+1-$B64+1,'CC Tarifák'!$B$523:$AX$569,$E$9+$B64-1-18+2,0)*IF($E$47="Kizárás",1,1+$E$47),0),$W63))))</f>
        <v>162930</v>
      </c>
      <c r="X64" s="158"/>
      <c r="Y64" s="158">
        <f t="shared" ca="1" si="2"/>
        <v>173070</v>
      </c>
      <c r="Z64" s="158"/>
    </row>
    <row r="65" spans="2:26" x14ac:dyDescent="0.25">
      <c r="B65" s="78">
        <f t="shared" ca="1" si="3"/>
        <v>6</v>
      </c>
      <c r="C65" s="158">
        <f ca="1">IF(OR(ISBLANK($F$28),ISBLANK($E$8)),0,IF($E$9&gt;64,0,IF($B65="","",IF($H$28="!",0,1)*ROUND($F$28/'CC Tarifák'!$B$1*VLOOKUP(64-$E$9+1-$B65+1,'CC Tarifák'!$B$3:$AX$49,$E$9+$B65-1-18+2,0)*IF($E$47="Kizárás",1,1+$E$47),0))))</f>
        <v>74130</v>
      </c>
      <c r="D65" s="158"/>
      <c r="E65" s="158">
        <f ca="1">IF(OR(ISBLANK($F$28),ISBLANK($E$8)),0,IF($E$9&gt;60,0,IF($B65="","",IF(MOD($B65,5)=1,IF($J$28="!",0,1)*ROUND($F$28/'CC Tarifák'!$B$53*VLOOKUP(64-$E$9+1-$B65+1,'CC Tarifák'!$B$55:$AX$101,$E$9+$B65-1-18+2,0)*IF($E$47="Kizárás",1,1+$E$47),0),$E64))))</f>
        <v>96240</v>
      </c>
      <c r="F65" s="158"/>
      <c r="G65" s="158">
        <f ca="1">IF(OR(ISBLANK($F$28),ISBLANK($E$8)),0,IF($E$9&gt;55,0,IF($B65="","",IF(MOD($B65,10)=1,IF($L$28="!",0,1)*ROUND($F$28/'CC Tarifák'!$B$105*VLOOKUP(64-$E$9+1-$B65+1,'CC Tarifák'!$B$107:$AX$153,$E$9+$B65-1-18+2,0)*IF($E$47="Kizárás",1,1+$E$47),0),$G64))))</f>
        <v>80700</v>
      </c>
      <c r="H65" s="158"/>
      <c r="I65" s="158">
        <f t="shared" ca="1" si="0"/>
        <v>85200</v>
      </c>
      <c r="J65" s="158"/>
      <c r="K65" s="159">
        <f ca="1">IF(OR(ISBLANK($F$28),ISBLANK($E$8)),0,IF($E$9&gt;64,0,IF($B65="","",IF($H$30="!",0,1)*ROUND($F$28/'CC Tarifák'!$B$209*VLOOKUP(64-$E$9+1-$B65+1,'CC Tarifák'!$B$211:$AX$257,$E$9+$B65-1-18+2,0)*IF($E$47="Kizárás",1,1+$E$47),0))))</f>
        <v>118560</v>
      </c>
      <c r="L65" s="159"/>
      <c r="M65" s="159">
        <f ca="1">IF(OR(ISBLANK($F$28),ISBLANK($E$8)),0,IF($E$9&gt;60,0,IF($B65="","",IF(MOD($B65,5)=1,IF($J$30="!",0,1)*ROUND($F$28/'CC Tarifák'!$B$261*VLOOKUP(64-$E$9+1-$B65+1,'CC Tarifák'!$B$263:$AX$309,$E$9+$B65-1-18+2,0)*IF($E$47="Kizárás",1,1+$E$47),0),$M64))))</f>
        <v>160590</v>
      </c>
      <c r="N65" s="159"/>
      <c r="O65" s="159">
        <f ca="1">IF(OR(ISBLANK($F$28),ISBLANK($E$8)),0,IF($E$9&gt;55,0,IF($B65="","",IF(MOD($B65,10)=1,IF($L$30="!",0,1)*ROUND($F$28/'CC Tarifák'!$B$313*VLOOKUP(64-$E$9+1-$B65+1,'CC Tarifák'!$B$315:$AX$361,$E$9+$B65-1-18+2,0)*IF($E$47="Kizárás",1,1+$E$47),0),$O64))))</f>
        <v>130710</v>
      </c>
      <c r="P65" s="159"/>
      <c r="Q65" s="159">
        <f t="shared" ca="1" si="1"/>
        <v>139020</v>
      </c>
      <c r="R65" s="159"/>
      <c r="S65" s="158">
        <f ca="1">IF(OR(ISBLANK($F$28),ISBLANK($E$8)),0,IF($E$9&gt;64,0,IF($B65="","",IF($H$32="!",0,1)*ROUND($F$28/'CC Tarifák'!$B$417*VLOOKUP(64-$E$9+1-$B65+1,'CC Tarifák'!$B$419:$AX$465,$E$9+$B65-1-18+2,0)*IF($E$47="Kizárás",1,1+$E$47),0))))</f>
        <v>148200</v>
      </c>
      <c r="T65" s="158"/>
      <c r="U65" s="158">
        <f ca="1">IF(OR(ISBLANK($F$28),ISBLANK($E$8)),0,IF($E$9&gt;60,0,IF($B65="","",IF(MOD($B65,5)=1,IF($J$32="!",0,1)*ROUND($F$28/'CC Tarifák'!$B$469*VLOOKUP(64-$E$9+1-$B65+1,'CC Tarifák'!$B$471:$AX$517,$E$9+$B65-1-18+2,0)*IF($E$47="Kizárás",1,1+$E$47),0),$U64))))</f>
        <v>200580</v>
      </c>
      <c r="V65" s="158"/>
      <c r="W65" s="158">
        <f ca="1">IF(OR(ISBLANK($F$28),ISBLANK($E$8)),0,IF($E$9&gt;55,0,IF($B65="","",IF(MOD($B65,10)=1,IF($L$32="!",0,1)*ROUND($F$28/'CC Tarifák'!$B$521*VLOOKUP(64-$E$9+1-$B65+1,'CC Tarifák'!$B$523:$AX$569,$E$9+$B65-1-18+2,0)*IF($E$47="Kizárás",1,1+$E$47),0),$W64))))</f>
        <v>162930</v>
      </c>
      <c r="X65" s="158"/>
      <c r="Y65" s="158">
        <f t="shared" ca="1" si="2"/>
        <v>173070</v>
      </c>
      <c r="Z65" s="158"/>
    </row>
    <row r="66" spans="2:26" x14ac:dyDescent="0.25">
      <c r="B66" s="78">
        <f t="shared" ca="1" si="3"/>
        <v>7</v>
      </c>
      <c r="C66" s="158">
        <f ca="1">IF(OR(ISBLANK($F$28),ISBLANK($E$8)),0,IF($E$9&gt;64,0,IF($B66="","",IF($H$28="!",0,1)*ROUND($F$28/'CC Tarifák'!$B$1*VLOOKUP(64-$E$9+1-$B66+1,'CC Tarifák'!$B$3:$AX$49,$E$9+$B66-1-18+2,0)*IF($E$47="Kizárás",1,1+$E$47),0))))</f>
        <v>79740</v>
      </c>
      <c r="D66" s="158"/>
      <c r="E66" s="158">
        <f ca="1">IF(OR(ISBLANK($F$28),ISBLANK($E$8)),0,IF($E$9&gt;60,0,IF($B66="","",IF(MOD($B66,5)=1,IF($J$28="!",0,1)*ROUND($F$28/'CC Tarifák'!$B$53*VLOOKUP(64-$E$9+1-$B66+1,'CC Tarifák'!$B$55:$AX$101,$E$9+$B66-1-18+2,0)*IF($E$47="Kizárás",1,1+$E$47),0),$E65))))</f>
        <v>96240</v>
      </c>
      <c r="F66" s="158"/>
      <c r="G66" s="158">
        <f ca="1">IF(OR(ISBLANK($F$28),ISBLANK($E$8)),0,IF($E$9&gt;55,0,IF($B66="","",IF(MOD($B66,10)=1,IF($L$28="!",0,1)*ROUND($F$28/'CC Tarifák'!$B$105*VLOOKUP(64-$E$9+1-$B66+1,'CC Tarifák'!$B$107:$AX$153,$E$9+$B66-1-18+2,0)*IF($E$47="Kizárás",1,1+$E$47),0),$G65))))</f>
        <v>80700</v>
      </c>
      <c r="H66" s="158"/>
      <c r="I66" s="158">
        <f t="shared" ca="1" si="0"/>
        <v>85200</v>
      </c>
      <c r="J66" s="158"/>
      <c r="K66" s="159">
        <f ca="1">IF(OR(ISBLANK($F$28),ISBLANK($E$8)),0,IF($E$9&gt;64,0,IF($B66="","",IF($H$30="!",0,1)*ROUND($F$28/'CC Tarifák'!$B$209*VLOOKUP(64-$E$9+1-$B66+1,'CC Tarifák'!$B$211:$AX$257,$E$9+$B66-1-18+2,0)*IF($E$47="Kizárás",1,1+$E$47),0))))</f>
        <v>127620</v>
      </c>
      <c r="L66" s="159"/>
      <c r="M66" s="159">
        <f ca="1">IF(OR(ISBLANK($F$28),ISBLANK($E$8)),0,IF($E$9&gt;60,0,IF($B66="","",IF(MOD($B66,5)=1,IF($J$30="!",0,1)*ROUND($F$28/'CC Tarifák'!$B$261*VLOOKUP(64-$E$9+1-$B66+1,'CC Tarifák'!$B$263:$AX$309,$E$9+$B66-1-18+2,0)*IF($E$47="Kizárás",1,1+$E$47),0),$M65))))</f>
        <v>160590</v>
      </c>
      <c r="N66" s="159"/>
      <c r="O66" s="159">
        <f ca="1">IF(OR(ISBLANK($F$28),ISBLANK($E$8)),0,IF($E$9&gt;55,0,IF($B66="","",IF(MOD($B66,10)=1,IF($L$30="!",0,1)*ROUND($F$28/'CC Tarifák'!$B$313*VLOOKUP(64-$E$9+1-$B66+1,'CC Tarifák'!$B$315:$AX$361,$E$9+$B66-1-18+2,0)*IF($E$47="Kizárás",1,1+$E$47),0),$O65))))</f>
        <v>130710</v>
      </c>
      <c r="P66" s="159"/>
      <c r="Q66" s="159">
        <f t="shared" ca="1" si="1"/>
        <v>139020</v>
      </c>
      <c r="R66" s="159"/>
      <c r="S66" s="158">
        <f ca="1">IF(OR(ISBLANK($F$28),ISBLANK($E$8)),0,IF($E$9&gt;64,0,IF($B66="","",IF($H$32="!",0,1)*ROUND($F$28/'CC Tarifák'!$B$417*VLOOKUP(64-$E$9+1-$B66+1,'CC Tarifák'!$B$419:$AX$465,$E$9+$B66-1-18+2,0)*IF($E$47="Kizárás",1,1+$E$47),0))))</f>
        <v>159510</v>
      </c>
      <c r="T66" s="158"/>
      <c r="U66" s="158">
        <f ca="1">IF(OR(ISBLANK($F$28),ISBLANK($E$8)),0,IF($E$9&gt;60,0,IF($B66="","",IF(MOD($B66,5)=1,IF($J$32="!",0,1)*ROUND($F$28/'CC Tarifák'!$B$469*VLOOKUP(64-$E$9+1-$B66+1,'CC Tarifák'!$B$471:$AX$517,$E$9+$B66-1-18+2,0)*IF($E$47="Kizárás",1,1+$E$47),0),$U65))))</f>
        <v>200580</v>
      </c>
      <c r="V66" s="158"/>
      <c r="W66" s="158">
        <f ca="1">IF(OR(ISBLANK($F$28),ISBLANK($E$8)),0,IF($E$9&gt;55,0,IF($B66="","",IF(MOD($B66,10)=1,IF($L$32="!",0,1)*ROUND($F$28/'CC Tarifák'!$B$521*VLOOKUP(64-$E$9+1-$B66+1,'CC Tarifák'!$B$523:$AX$569,$E$9+$B66-1-18+2,0)*IF($E$47="Kizárás",1,1+$E$47),0),$W65))))</f>
        <v>162930</v>
      </c>
      <c r="X66" s="158"/>
      <c r="Y66" s="158">
        <f t="shared" ca="1" si="2"/>
        <v>173070</v>
      </c>
      <c r="Z66" s="158"/>
    </row>
    <row r="67" spans="2:26" x14ac:dyDescent="0.25">
      <c r="B67" s="78">
        <f t="shared" ca="1" si="3"/>
        <v>8</v>
      </c>
      <c r="C67" s="158">
        <f ca="1">IF(OR(ISBLANK($F$28),ISBLANK($E$8)),0,IF($E$9&gt;64,0,IF($B67="","",IF($H$28="!",0,1)*ROUND($F$28/'CC Tarifák'!$B$1*VLOOKUP(64-$E$9+1-$B67+1,'CC Tarifák'!$B$3:$AX$49,$E$9+$B67-1-18+2,0)*IF($E$47="Kizárás",1,1+$E$47),0))))</f>
        <v>85380</v>
      </c>
      <c r="D67" s="158"/>
      <c r="E67" s="158">
        <f ca="1">IF(OR(ISBLANK($F$28),ISBLANK($E$8)),0,IF($E$9&gt;60,0,IF($B67="","",IF(MOD($B67,5)=1,IF($J$28="!",0,1)*ROUND($F$28/'CC Tarifák'!$B$53*VLOOKUP(64-$E$9+1-$B67+1,'CC Tarifák'!$B$55:$AX$101,$E$9+$B67-1-18+2,0)*IF($E$47="Kizárás",1,1+$E$47),0),$E66))))</f>
        <v>96240</v>
      </c>
      <c r="F67" s="158"/>
      <c r="G67" s="158">
        <f ca="1">IF(OR(ISBLANK($F$28),ISBLANK($E$8)),0,IF($E$9&gt;55,0,IF($B67="","",IF(MOD($B67,10)=1,IF($L$28="!",0,1)*ROUND($F$28/'CC Tarifák'!$B$105*VLOOKUP(64-$E$9+1-$B67+1,'CC Tarifák'!$B$107:$AX$153,$E$9+$B67-1-18+2,0)*IF($E$47="Kizárás",1,1+$E$47),0),$G66))))</f>
        <v>80700</v>
      </c>
      <c r="H67" s="158"/>
      <c r="I67" s="158">
        <f t="shared" ca="1" si="0"/>
        <v>85200</v>
      </c>
      <c r="J67" s="158"/>
      <c r="K67" s="159">
        <f ca="1">IF(OR(ISBLANK($F$28),ISBLANK($E$8)),0,IF($E$9&gt;64,0,IF($B67="","",IF($H$30="!",0,1)*ROUND($F$28/'CC Tarifák'!$B$209*VLOOKUP(64-$E$9+1-$B67+1,'CC Tarifák'!$B$211:$AX$257,$E$9+$B67-1-18+2,0)*IF($E$47="Kizárás",1,1+$E$47),0))))</f>
        <v>136680</v>
      </c>
      <c r="L67" s="159"/>
      <c r="M67" s="159">
        <f ca="1">IF(OR(ISBLANK($F$28),ISBLANK($E$8)),0,IF($E$9&gt;60,0,IF($B67="","",IF(MOD($B67,5)=1,IF($J$30="!",0,1)*ROUND($F$28/'CC Tarifák'!$B$261*VLOOKUP(64-$E$9+1-$B67+1,'CC Tarifák'!$B$263:$AX$309,$E$9+$B67-1-18+2,0)*IF($E$47="Kizárás",1,1+$E$47),0),$M66))))</f>
        <v>160590</v>
      </c>
      <c r="N67" s="159"/>
      <c r="O67" s="159">
        <f ca="1">IF(OR(ISBLANK($F$28),ISBLANK($E$8)),0,IF($E$9&gt;55,0,IF($B67="","",IF(MOD($B67,10)=1,IF($L$30="!",0,1)*ROUND($F$28/'CC Tarifák'!$B$313*VLOOKUP(64-$E$9+1-$B67+1,'CC Tarifák'!$B$315:$AX$361,$E$9+$B67-1-18+2,0)*IF($E$47="Kizárás",1,1+$E$47),0),$O66))))</f>
        <v>130710</v>
      </c>
      <c r="P67" s="159"/>
      <c r="Q67" s="159">
        <f t="shared" ca="1" si="1"/>
        <v>139020</v>
      </c>
      <c r="R67" s="159"/>
      <c r="S67" s="158">
        <f ca="1">IF(OR(ISBLANK($F$28),ISBLANK($E$8)),0,IF($E$9&gt;64,0,IF($B67="","",IF($H$32="!",0,1)*ROUND($F$28/'CC Tarifák'!$B$417*VLOOKUP(64-$E$9+1-$B67+1,'CC Tarifák'!$B$419:$AX$465,$E$9+$B67-1-18+2,0)*IF($E$47="Kizárás",1,1+$E$47),0))))</f>
        <v>170850</v>
      </c>
      <c r="T67" s="158"/>
      <c r="U67" s="158">
        <f ca="1">IF(OR(ISBLANK($F$28),ISBLANK($E$8)),0,IF($E$9&gt;60,0,IF($B67="","",IF(MOD($B67,5)=1,IF($J$32="!",0,1)*ROUND($F$28/'CC Tarifák'!$B$469*VLOOKUP(64-$E$9+1-$B67+1,'CC Tarifák'!$B$471:$AX$517,$E$9+$B67-1-18+2,0)*IF($E$47="Kizárás",1,1+$E$47),0),$U66))))</f>
        <v>200580</v>
      </c>
      <c r="V67" s="158"/>
      <c r="W67" s="158">
        <f ca="1">IF(OR(ISBLANK($F$28),ISBLANK($E$8)),0,IF($E$9&gt;55,0,IF($B67="","",IF(MOD($B67,10)=1,IF($L$32="!",0,1)*ROUND($F$28/'CC Tarifák'!$B$521*VLOOKUP(64-$E$9+1-$B67+1,'CC Tarifák'!$B$523:$AX$569,$E$9+$B67-1-18+2,0)*IF($E$47="Kizárás",1,1+$E$47),0),$W66))))</f>
        <v>162930</v>
      </c>
      <c r="X67" s="158"/>
      <c r="Y67" s="158">
        <f t="shared" ca="1" si="2"/>
        <v>173070</v>
      </c>
      <c r="Z67" s="158"/>
    </row>
    <row r="68" spans="2:26" x14ac:dyDescent="0.25">
      <c r="B68" s="78">
        <f t="shared" ca="1" si="3"/>
        <v>9</v>
      </c>
      <c r="C68" s="158">
        <f ca="1">IF(OR(ISBLANK($F$28),ISBLANK($E$8)),0,IF($E$9&gt;64,0,IF($B68="","",IF($H$28="!",0,1)*ROUND($F$28/'CC Tarifák'!$B$1*VLOOKUP(64-$E$9+1-$B68+1,'CC Tarifák'!$B$3:$AX$49,$E$9+$B68-1-18+2,0)*IF($E$47="Kizárás",1,1+$E$47),0))))</f>
        <v>90990</v>
      </c>
      <c r="D68" s="158"/>
      <c r="E68" s="158">
        <f ca="1">IF(OR(ISBLANK($F$28),ISBLANK($E$8)),0,IF($E$9&gt;60,0,IF($B68="","",IF(MOD($B68,5)=1,IF($J$28="!",0,1)*ROUND($F$28/'CC Tarifák'!$B$53*VLOOKUP(64-$E$9+1-$B68+1,'CC Tarifák'!$B$55:$AX$101,$E$9+$B68-1-18+2,0)*IF($E$47="Kizárás",1,1+$E$47),0),$E67))))</f>
        <v>96240</v>
      </c>
      <c r="F68" s="158"/>
      <c r="G68" s="158">
        <f ca="1">IF(OR(ISBLANK($F$28),ISBLANK($E$8)),0,IF($E$9&gt;55,0,IF($B68="","",IF(MOD($B68,10)=1,IF($L$28="!",0,1)*ROUND($F$28/'CC Tarifák'!$B$105*VLOOKUP(64-$E$9+1-$B68+1,'CC Tarifák'!$B$107:$AX$153,$E$9+$B68-1-18+2,0)*IF($E$47="Kizárás",1,1+$E$47),0),$G67))))</f>
        <v>80700</v>
      </c>
      <c r="H68" s="158"/>
      <c r="I68" s="158">
        <f t="shared" ca="1" si="0"/>
        <v>85200</v>
      </c>
      <c r="J68" s="158"/>
      <c r="K68" s="159">
        <f ca="1">IF(OR(ISBLANK($F$28),ISBLANK($E$8)),0,IF($E$9&gt;64,0,IF($B68="","",IF($H$30="!",0,1)*ROUND($F$28/'CC Tarifák'!$B$209*VLOOKUP(64-$E$9+1-$B68+1,'CC Tarifák'!$B$211:$AX$257,$E$9+$B68-1-18+2,0)*IF($E$47="Kizárás",1,1+$E$47),0))))</f>
        <v>145710</v>
      </c>
      <c r="L68" s="159"/>
      <c r="M68" s="159">
        <f ca="1">IF(OR(ISBLANK($F$28),ISBLANK($E$8)),0,IF($E$9&gt;60,0,IF($B68="","",IF(MOD($B68,5)=1,IF($J$30="!",0,1)*ROUND($F$28/'CC Tarifák'!$B$261*VLOOKUP(64-$E$9+1-$B68+1,'CC Tarifák'!$B$263:$AX$309,$E$9+$B68-1-18+2,0)*IF($E$47="Kizárás",1,1+$E$47),0),$M67))))</f>
        <v>160590</v>
      </c>
      <c r="N68" s="159"/>
      <c r="O68" s="159">
        <f ca="1">IF(OR(ISBLANK($F$28),ISBLANK($E$8)),0,IF($E$9&gt;55,0,IF($B68="","",IF(MOD($B68,10)=1,IF($L$30="!",0,1)*ROUND($F$28/'CC Tarifák'!$B$313*VLOOKUP(64-$E$9+1-$B68+1,'CC Tarifák'!$B$315:$AX$361,$E$9+$B68-1-18+2,0)*IF($E$47="Kizárás",1,1+$E$47),0),$O67))))</f>
        <v>130710</v>
      </c>
      <c r="P68" s="159"/>
      <c r="Q68" s="159">
        <f t="shared" ca="1" si="1"/>
        <v>139020</v>
      </c>
      <c r="R68" s="159"/>
      <c r="S68" s="158">
        <f ca="1">IF(OR(ISBLANK($F$28),ISBLANK($E$8)),0,IF($E$9&gt;64,0,IF($B68="","",IF($H$32="!",0,1)*ROUND($F$28/'CC Tarifák'!$B$417*VLOOKUP(64-$E$9+1-$B68+1,'CC Tarifák'!$B$419:$AX$465,$E$9+$B68-1-18+2,0)*IF($E$47="Kizárás",1,1+$E$47),0))))</f>
        <v>182160</v>
      </c>
      <c r="T68" s="158"/>
      <c r="U68" s="158">
        <f ca="1">IF(OR(ISBLANK($F$28),ISBLANK($E$8)),0,IF($E$9&gt;60,0,IF($B68="","",IF(MOD($B68,5)=1,IF($J$32="!",0,1)*ROUND($F$28/'CC Tarifák'!$B$469*VLOOKUP(64-$E$9+1-$B68+1,'CC Tarifák'!$B$471:$AX$517,$E$9+$B68-1-18+2,0)*IF($E$47="Kizárás",1,1+$E$47),0),$U67))))</f>
        <v>200580</v>
      </c>
      <c r="V68" s="158"/>
      <c r="W68" s="158">
        <f ca="1">IF(OR(ISBLANK($F$28),ISBLANK($E$8)),0,IF($E$9&gt;55,0,IF($B68="","",IF(MOD($B68,10)=1,IF($L$32="!",0,1)*ROUND($F$28/'CC Tarifák'!$B$521*VLOOKUP(64-$E$9+1-$B68+1,'CC Tarifák'!$B$523:$AX$569,$E$9+$B68-1-18+2,0)*IF($E$47="Kizárás",1,1+$E$47),0),$W67))))</f>
        <v>162930</v>
      </c>
      <c r="X68" s="158"/>
      <c r="Y68" s="158">
        <f t="shared" ca="1" si="2"/>
        <v>173070</v>
      </c>
      <c r="Z68" s="158"/>
    </row>
    <row r="69" spans="2:26" x14ac:dyDescent="0.25">
      <c r="B69" s="78">
        <f t="shared" ca="1" si="3"/>
        <v>10</v>
      </c>
      <c r="C69" s="158">
        <f ca="1">IF(OR(ISBLANK($F$28),ISBLANK($E$8)),0,IF($E$9&gt;64,0,IF($B69="","",IF($H$28="!",0,1)*ROUND($F$28/'CC Tarifák'!$B$1*VLOOKUP(64-$E$9+1-$B69+1,'CC Tarifák'!$B$3:$AX$49,$E$9+$B69-1-18+2,0)*IF($E$47="Kizárás",1,1+$E$47),0))))</f>
        <v>96630</v>
      </c>
      <c r="D69" s="158"/>
      <c r="E69" s="158">
        <f ca="1">IF(OR(ISBLANK($F$28),ISBLANK($E$8)),0,IF($E$9&gt;60,0,IF($B69="","",IF(MOD($B69,5)=1,IF($J$28="!",0,1)*ROUND($F$28/'CC Tarifák'!$B$53*VLOOKUP(64-$E$9+1-$B69+1,'CC Tarifák'!$B$55:$AX$101,$E$9+$B69-1-18+2,0)*IF($E$47="Kizárás",1,1+$E$47),0),$E68))))</f>
        <v>96240</v>
      </c>
      <c r="F69" s="158"/>
      <c r="G69" s="158">
        <f ca="1">IF(OR(ISBLANK($F$28),ISBLANK($E$8)),0,IF($E$9&gt;55,0,IF($B69="","",IF(MOD($B69,10)=1,IF($L$28="!",0,1)*ROUND($F$28/'CC Tarifák'!$B$105*VLOOKUP(64-$E$9+1-$B69+1,'CC Tarifák'!$B$107:$AX$153,$E$9+$B69-1-18+2,0)*IF($E$47="Kizárás",1,1+$E$47),0),$G68))))</f>
        <v>80700</v>
      </c>
      <c r="H69" s="158"/>
      <c r="I69" s="158">
        <f t="shared" ca="1" si="0"/>
        <v>85200</v>
      </c>
      <c r="J69" s="158"/>
      <c r="K69" s="159">
        <f ca="1">IF(OR(ISBLANK($F$28),ISBLANK($E$8)),0,IF($E$9&gt;64,0,IF($B69="","",IF($H$30="!",0,1)*ROUND($F$28/'CC Tarifák'!$B$209*VLOOKUP(64-$E$9+1-$B69+1,'CC Tarifák'!$B$211:$AX$257,$E$9+$B69-1-18+2,0)*IF($E$47="Kizárás",1,1+$E$47),0))))</f>
        <v>165930</v>
      </c>
      <c r="L69" s="159"/>
      <c r="M69" s="159">
        <f ca="1">IF(OR(ISBLANK($F$28),ISBLANK($E$8)),0,IF($E$9&gt;60,0,IF($B69="","",IF(MOD($B69,5)=1,IF($J$30="!",0,1)*ROUND($F$28/'CC Tarifák'!$B$261*VLOOKUP(64-$E$9+1-$B69+1,'CC Tarifák'!$B$263:$AX$309,$E$9+$B69-1-18+2,0)*IF($E$47="Kizárás",1,1+$E$47),0),$M68))))</f>
        <v>160590</v>
      </c>
      <c r="N69" s="159"/>
      <c r="O69" s="159">
        <f ca="1">IF(OR(ISBLANK($F$28),ISBLANK($E$8)),0,IF($E$9&gt;55,0,IF($B69="","",IF(MOD($B69,10)=1,IF($L$30="!",0,1)*ROUND($F$28/'CC Tarifák'!$B$313*VLOOKUP(64-$E$9+1-$B69+1,'CC Tarifák'!$B$315:$AX$361,$E$9+$B69-1-18+2,0)*IF($E$47="Kizárás",1,1+$E$47),0),$O68))))</f>
        <v>130710</v>
      </c>
      <c r="P69" s="159"/>
      <c r="Q69" s="159">
        <f t="shared" ca="1" si="1"/>
        <v>139020</v>
      </c>
      <c r="R69" s="159"/>
      <c r="S69" s="158">
        <f ca="1">IF(OR(ISBLANK($F$28),ISBLANK($E$8)),0,IF($E$9&gt;64,0,IF($B69="","",IF($H$32="!",0,1)*ROUND($F$28/'CC Tarifák'!$B$417*VLOOKUP(64-$E$9+1-$B69+1,'CC Tarifák'!$B$419:$AX$465,$E$9+$B69-1-18+2,0)*IF($E$47="Kizárás",1,1+$E$47),0))))</f>
        <v>207390</v>
      </c>
      <c r="T69" s="158"/>
      <c r="U69" s="158">
        <f ca="1">IF(OR(ISBLANK($F$28),ISBLANK($E$8)),0,IF($E$9&gt;60,0,IF($B69="","",IF(MOD($B69,5)=1,IF($J$32="!",0,1)*ROUND($F$28/'CC Tarifák'!$B$469*VLOOKUP(64-$E$9+1-$B69+1,'CC Tarifák'!$B$471:$AX$517,$E$9+$B69-1-18+2,0)*IF($E$47="Kizárás",1,1+$E$47),0),$U68))))</f>
        <v>200580</v>
      </c>
      <c r="V69" s="158"/>
      <c r="W69" s="158">
        <f ca="1">IF(OR(ISBLANK($F$28),ISBLANK($E$8)),0,IF($E$9&gt;55,0,IF($B69="","",IF(MOD($B69,10)=1,IF($L$32="!",0,1)*ROUND($F$28/'CC Tarifák'!$B$521*VLOOKUP(64-$E$9+1-$B69+1,'CC Tarifák'!$B$523:$AX$569,$E$9+$B69-1-18+2,0)*IF($E$47="Kizárás",1,1+$E$47),0),$W68))))</f>
        <v>162930</v>
      </c>
      <c r="X69" s="158"/>
      <c r="Y69" s="158">
        <f t="shared" ca="1" si="2"/>
        <v>173070</v>
      </c>
      <c r="Z69" s="158"/>
    </row>
    <row r="70" spans="2:26" x14ac:dyDescent="0.25">
      <c r="B70" s="78">
        <f t="shared" ca="1" si="3"/>
        <v>11</v>
      </c>
      <c r="C70" s="158">
        <f ca="1">IF(OR(ISBLANK($F$28),ISBLANK($E$8)),0,IF($E$9&gt;64,0,IF($B70="","",IF($H$28="!",0,1)*ROUND($F$28/'CC Tarifák'!$B$1*VLOOKUP(64-$E$9+1-$B70+1,'CC Tarifák'!$B$3:$AX$49,$E$9+$B70-1-18+2,0)*IF($E$47="Kizárás",1,1+$E$47),0))))</f>
        <v>102810</v>
      </c>
      <c r="D70" s="158"/>
      <c r="E70" s="158">
        <f ca="1">IF(OR(ISBLANK($F$28),ISBLANK($E$8)),0,IF($E$9&gt;60,0,IF($B70="","",IF(MOD($B70,5)=1,IF($J$28="!",0,1)*ROUND($F$28/'CC Tarifák'!$B$53*VLOOKUP(64-$E$9+1-$B70+1,'CC Tarifák'!$B$55:$AX$101,$E$9+$B70-1-18+2,0)*IF($E$47="Kizárás",1,1+$E$47),0),$E69))))</f>
        <v>120510</v>
      </c>
      <c r="F70" s="158"/>
      <c r="G70" s="158">
        <f ca="1">IF(OR(ISBLANK($F$28),ISBLANK($E$8)),0,IF($E$9&gt;55,0,IF($B70="","",IF(MOD($B70,10)=1,IF($L$28="!",0,1)*ROUND($F$28/'CC Tarifák'!$B$105*VLOOKUP(64-$E$9+1-$B70+1,'CC Tarifák'!$B$107:$AX$153,$E$9+$B70-1-18+2,0)*IF($E$47="Kizárás",1,1+$E$47),0),$G69))))</f>
        <v>128370</v>
      </c>
      <c r="H70" s="158"/>
      <c r="I70" s="158">
        <f t="shared" ca="1" si="0"/>
        <v>85200</v>
      </c>
      <c r="J70" s="158"/>
      <c r="K70" s="159">
        <f ca="1">IF(OR(ISBLANK($F$28),ISBLANK($E$8)),0,IF($E$9&gt;64,0,IF($B70="","",IF($H$30="!",0,1)*ROUND($F$28/'CC Tarifák'!$B$209*VLOOKUP(64-$E$9+1-$B70+1,'CC Tarifák'!$B$211:$AX$257,$E$9+$B70-1-18+2,0)*IF($E$47="Kizárás",1,1+$E$47),0))))</f>
        <v>176520</v>
      </c>
      <c r="L70" s="159"/>
      <c r="M70" s="159">
        <f ca="1">IF(OR(ISBLANK($F$28),ISBLANK($E$8)),0,IF($E$9&gt;60,0,IF($B70="","",IF(MOD($B70,5)=1,IF($J$30="!",0,1)*ROUND($F$28/'CC Tarifák'!$B$261*VLOOKUP(64-$E$9+1-$B70+1,'CC Tarifák'!$B$263:$AX$309,$E$9+$B70-1-18+2,0)*IF($E$47="Kizárás",1,1+$E$47),0),$M69))))</f>
        <v>212310</v>
      </c>
      <c r="N70" s="159"/>
      <c r="O70" s="159">
        <f ca="1">IF(OR(ISBLANK($F$28),ISBLANK($E$8)),0,IF($E$9&gt;55,0,IF($B70="","",IF(MOD($B70,10)=1,IF($L$30="!",0,1)*ROUND($F$28/'CC Tarifák'!$B$313*VLOOKUP(64-$E$9+1-$B70+1,'CC Tarifák'!$B$315:$AX$361,$E$9+$B70-1-18+2,0)*IF($E$47="Kizárás",1,1+$E$47),0),$O69))))</f>
        <v>221340</v>
      </c>
      <c r="P70" s="159"/>
      <c r="Q70" s="159">
        <f t="shared" ca="1" si="1"/>
        <v>139020</v>
      </c>
      <c r="R70" s="159"/>
      <c r="S70" s="158">
        <f ca="1">IF(OR(ISBLANK($F$28),ISBLANK($E$8)),0,IF($E$9&gt;64,0,IF($B70="","",IF($H$32="!",0,1)*ROUND($F$28/'CC Tarifák'!$B$417*VLOOKUP(64-$E$9+1-$B70+1,'CC Tarifák'!$B$419:$AX$465,$E$9+$B70-1-18+2,0)*IF($E$47="Kizárás",1,1+$E$47),0))))</f>
        <v>220650</v>
      </c>
      <c r="T70" s="158"/>
      <c r="U70" s="158">
        <f ca="1">IF(OR(ISBLANK($F$28),ISBLANK($E$8)),0,IF($E$9&gt;60,0,IF($B70="","",IF(MOD($B70,5)=1,IF($J$32="!",0,1)*ROUND($F$28/'CC Tarifák'!$B$469*VLOOKUP(64-$E$9+1-$B70+1,'CC Tarifák'!$B$471:$AX$517,$E$9+$B70-1-18+2,0)*IF($E$47="Kizárás",1,1+$E$47),0),$U69))))</f>
        <v>265140</v>
      </c>
      <c r="V70" s="158"/>
      <c r="W70" s="158">
        <f ca="1">IF(OR(ISBLANK($F$28),ISBLANK($E$8)),0,IF($E$9&gt;55,0,IF($B70="","",IF(MOD($B70,10)=1,IF($L$32="!",0,1)*ROUND($F$28/'CC Tarifák'!$B$521*VLOOKUP(64-$E$9+1-$B70+1,'CC Tarifák'!$B$523:$AX$569,$E$9+$B70-1-18+2,0)*IF($E$47="Kizárás",1,1+$E$47),0),$W69))))</f>
        <v>274020</v>
      </c>
      <c r="X70" s="158"/>
      <c r="Y70" s="158">
        <f t="shared" ca="1" si="2"/>
        <v>173070</v>
      </c>
      <c r="Z70" s="158"/>
    </row>
    <row r="71" spans="2:26" x14ac:dyDescent="0.25">
      <c r="B71" s="78">
        <f t="shared" ca="1" si="3"/>
        <v>12</v>
      </c>
      <c r="C71" s="158">
        <f ca="1">IF(OR(ISBLANK($F$28),ISBLANK($E$8)),0,IF($E$9&gt;64,0,IF($B71="","",IF($H$28="!",0,1)*ROUND($F$28/'CC Tarifák'!$B$1*VLOOKUP(64-$E$9+1-$B71+1,'CC Tarifák'!$B$3:$AX$49,$E$9+$B71-1-18+2,0)*IF($E$47="Kizárás",1,1+$E$47),0))))</f>
        <v>109020</v>
      </c>
      <c r="D71" s="158"/>
      <c r="E71" s="158">
        <f ca="1">IF(OR(ISBLANK($F$28),ISBLANK($E$8)),0,IF($E$9&gt;60,0,IF($B71="","",IF(MOD($B71,5)=1,IF($J$28="!",0,1)*ROUND($F$28/'CC Tarifák'!$B$53*VLOOKUP(64-$E$9+1-$B71+1,'CC Tarifák'!$B$55:$AX$101,$E$9+$B71-1-18+2,0)*IF($E$47="Kizárás",1,1+$E$47),0),$E70))))</f>
        <v>120510</v>
      </c>
      <c r="F71" s="158"/>
      <c r="G71" s="158">
        <f ca="1">IF(OR(ISBLANK($F$28),ISBLANK($E$8)),0,IF($E$9&gt;55,0,IF($B71="","",IF(MOD($B71,10)=1,IF($L$28="!",0,1)*ROUND($F$28/'CC Tarifák'!$B$105*VLOOKUP(64-$E$9+1-$B71+1,'CC Tarifák'!$B$107:$AX$153,$E$9+$B71-1-18+2,0)*IF($E$47="Kizárás",1,1+$E$47),0),$G70))))</f>
        <v>128370</v>
      </c>
      <c r="H71" s="158"/>
      <c r="I71" s="158">
        <f t="shared" ca="1" si="0"/>
        <v>85200</v>
      </c>
      <c r="J71" s="158"/>
      <c r="K71" s="159">
        <f ca="1">IF(OR(ISBLANK($F$28),ISBLANK($E$8)),0,IF($E$9&gt;64,0,IF($B71="","",IF($H$30="!",0,1)*ROUND($F$28/'CC Tarifák'!$B$209*VLOOKUP(64-$E$9+1-$B71+1,'CC Tarifák'!$B$211:$AX$257,$E$9+$B71-1-18+2,0)*IF($E$47="Kizárás",1,1+$E$47),0))))</f>
        <v>187110</v>
      </c>
      <c r="L71" s="159"/>
      <c r="M71" s="159">
        <f ca="1">IF(OR(ISBLANK($F$28),ISBLANK($E$8)),0,IF($E$9&gt;60,0,IF($B71="","",IF(MOD($B71,5)=1,IF($J$30="!",0,1)*ROUND($F$28/'CC Tarifák'!$B$261*VLOOKUP(64-$E$9+1-$B71+1,'CC Tarifák'!$B$263:$AX$309,$E$9+$B71-1-18+2,0)*IF($E$47="Kizárás",1,1+$E$47),0),$M70))))</f>
        <v>212310</v>
      </c>
      <c r="N71" s="159"/>
      <c r="O71" s="159">
        <f ca="1">IF(OR(ISBLANK($F$28),ISBLANK($E$8)),0,IF($E$9&gt;55,0,IF($B71="","",IF(MOD($B71,10)=1,IF($L$30="!",0,1)*ROUND($F$28/'CC Tarifák'!$B$313*VLOOKUP(64-$E$9+1-$B71+1,'CC Tarifák'!$B$315:$AX$361,$E$9+$B71-1-18+2,0)*IF($E$47="Kizárás",1,1+$E$47),0),$O70))))</f>
        <v>221340</v>
      </c>
      <c r="P71" s="159"/>
      <c r="Q71" s="159">
        <f t="shared" ca="1" si="1"/>
        <v>139020</v>
      </c>
      <c r="R71" s="159"/>
      <c r="S71" s="158">
        <f ca="1">IF(OR(ISBLANK($F$28),ISBLANK($E$8)),0,IF($E$9&gt;64,0,IF($B71="","",IF($H$32="!",0,1)*ROUND($F$28/'CC Tarifák'!$B$417*VLOOKUP(64-$E$9+1-$B71+1,'CC Tarifák'!$B$419:$AX$465,$E$9+$B71-1-18+2,0)*IF($E$47="Kizárás",1,1+$E$47),0))))</f>
        <v>233880</v>
      </c>
      <c r="T71" s="158"/>
      <c r="U71" s="158">
        <f ca="1">IF(OR(ISBLANK($F$28),ISBLANK($E$8)),0,IF($E$9&gt;60,0,IF($B71="","",IF(MOD($B71,5)=1,IF($J$32="!",0,1)*ROUND($F$28/'CC Tarifák'!$B$469*VLOOKUP(64-$E$9+1-$B71+1,'CC Tarifák'!$B$471:$AX$517,$E$9+$B71-1-18+2,0)*IF($E$47="Kizárás",1,1+$E$47),0),$U70))))</f>
        <v>265140</v>
      </c>
      <c r="V71" s="158"/>
      <c r="W71" s="158">
        <f ca="1">IF(OR(ISBLANK($F$28),ISBLANK($E$8)),0,IF($E$9&gt;55,0,IF($B71="","",IF(MOD($B71,10)=1,IF($L$32="!",0,1)*ROUND($F$28/'CC Tarifák'!$B$521*VLOOKUP(64-$E$9+1-$B71+1,'CC Tarifák'!$B$523:$AX$569,$E$9+$B71-1-18+2,0)*IF($E$47="Kizárás",1,1+$E$47),0),$W70))))</f>
        <v>274020</v>
      </c>
      <c r="X71" s="158"/>
      <c r="Y71" s="158">
        <f t="shared" ca="1" si="2"/>
        <v>173070</v>
      </c>
      <c r="Z71" s="158"/>
    </row>
    <row r="72" spans="2:26" x14ac:dyDescent="0.25">
      <c r="B72" s="78">
        <f t="shared" ca="1" si="3"/>
        <v>13</v>
      </c>
      <c r="C72" s="158">
        <f ca="1">IF(OR(ISBLANK($F$28),ISBLANK($E$8)),0,IF($E$9&gt;64,0,IF($B72="","",IF($H$28="!",0,1)*ROUND($F$28/'CC Tarifák'!$B$1*VLOOKUP(64-$E$9+1-$B72+1,'CC Tarifák'!$B$3:$AX$49,$E$9+$B72-1-18+2,0)*IF($E$47="Kizárás",1,1+$E$47),0))))</f>
        <v>115230</v>
      </c>
      <c r="D72" s="158"/>
      <c r="E72" s="158">
        <f ca="1">IF(OR(ISBLANK($F$28),ISBLANK($E$8)),0,IF($E$9&gt;60,0,IF($B72="","",IF(MOD($B72,5)=1,IF($J$28="!",0,1)*ROUND($F$28/'CC Tarifák'!$B$53*VLOOKUP(64-$E$9+1-$B72+1,'CC Tarifák'!$B$55:$AX$101,$E$9+$B72-1-18+2,0)*IF($E$47="Kizárás",1,1+$E$47),0),$E71))))</f>
        <v>120510</v>
      </c>
      <c r="F72" s="158"/>
      <c r="G72" s="158">
        <f ca="1">IF(OR(ISBLANK($F$28),ISBLANK($E$8)),0,IF($E$9&gt;55,0,IF($B72="","",IF(MOD($B72,10)=1,IF($L$28="!",0,1)*ROUND($F$28/'CC Tarifák'!$B$105*VLOOKUP(64-$E$9+1-$B72+1,'CC Tarifák'!$B$107:$AX$153,$E$9+$B72-1-18+2,0)*IF($E$47="Kizárás",1,1+$E$47),0),$G71))))</f>
        <v>128370</v>
      </c>
      <c r="H72" s="158"/>
      <c r="I72" s="158">
        <f t="shared" ca="1" si="0"/>
        <v>85200</v>
      </c>
      <c r="J72" s="158"/>
      <c r="K72" s="159">
        <f ca="1">IF(OR(ISBLANK($F$28),ISBLANK($E$8)),0,IF($E$9&gt;64,0,IF($B72="","",IF($H$30="!",0,1)*ROUND($F$28/'CC Tarifák'!$B$209*VLOOKUP(64-$E$9+1-$B72+1,'CC Tarifák'!$B$211:$AX$257,$E$9+$B72-1-18+2,0)*IF($E$47="Kizárás",1,1+$E$47),0))))</f>
        <v>197700</v>
      </c>
      <c r="L72" s="159"/>
      <c r="M72" s="159">
        <f ca="1">IF(OR(ISBLANK($F$28),ISBLANK($E$8)),0,IF($E$9&gt;60,0,IF($B72="","",IF(MOD($B72,5)=1,IF($J$30="!",0,1)*ROUND($F$28/'CC Tarifák'!$B$261*VLOOKUP(64-$E$9+1-$B72+1,'CC Tarifák'!$B$263:$AX$309,$E$9+$B72-1-18+2,0)*IF($E$47="Kizárás",1,1+$E$47),0),$M71))))</f>
        <v>212310</v>
      </c>
      <c r="N72" s="159"/>
      <c r="O72" s="159">
        <f ca="1">IF(OR(ISBLANK($F$28),ISBLANK($E$8)),0,IF($E$9&gt;55,0,IF($B72="","",IF(MOD($B72,10)=1,IF($L$30="!",0,1)*ROUND($F$28/'CC Tarifák'!$B$313*VLOOKUP(64-$E$9+1-$B72+1,'CC Tarifák'!$B$315:$AX$361,$E$9+$B72-1-18+2,0)*IF($E$47="Kizárás",1,1+$E$47),0),$O71))))</f>
        <v>221340</v>
      </c>
      <c r="P72" s="159"/>
      <c r="Q72" s="159">
        <f t="shared" ca="1" si="1"/>
        <v>139020</v>
      </c>
      <c r="R72" s="159"/>
      <c r="S72" s="158">
        <f ca="1">IF(OR(ISBLANK($F$28),ISBLANK($E$8)),0,IF($E$9&gt;64,0,IF($B72="","",IF($H$32="!",0,1)*ROUND($F$28/'CC Tarifák'!$B$417*VLOOKUP(64-$E$9+1-$B72+1,'CC Tarifák'!$B$419:$AX$465,$E$9+$B72-1-18+2,0)*IF($E$47="Kizárás",1,1+$E$47),0))))</f>
        <v>247110</v>
      </c>
      <c r="T72" s="158"/>
      <c r="U72" s="158">
        <f ca="1">IF(OR(ISBLANK($F$28),ISBLANK($E$8)),0,IF($E$9&gt;60,0,IF($B72="","",IF(MOD($B72,5)=1,IF($J$32="!",0,1)*ROUND($F$28/'CC Tarifák'!$B$469*VLOOKUP(64-$E$9+1-$B72+1,'CC Tarifák'!$B$471:$AX$517,$E$9+$B72-1-18+2,0)*IF($E$47="Kizárás",1,1+$E$47),0),$U71))))</f>
        <v>265140</v>
      </c>
      <c r="V72" s="158"/>
      <c r="W72" s="158">
        <f ca="1">IF(OR(ISBLANK($F$28),ISBLANK($E$8)),0,IF($E$9&gt;55,0,IF($B72="","",IF(MOD($B72,10)=1,IF($L$32="!",0,1)*ROUND($F$28/'CC Tarifák'!$B$521*VLOOKUP(64-$E$9+1-$B72+1,'CC Tarifák'!$B$523:$AX$569,$E$9+$B72-1-18+2,0)*IF($E$47="Kizárás",1,1+$E$47),0),$W71))))</f>
        <v>274020</v>
      </c>
      <c r="X72" s="158"/>
      <c r="Y72" s="158">
        <f t="shared" ca="1" si="2"/>
        <v>173070</v>
      </c>
      <c r="Z72" s="158"/>
    </row>
    <row r="73" spans="2:26" x14ac:dyDescent="0.25">
      <c r="B73" s="78" t="str">
        <f t="shared" ca="1" si="3"/>
        <v/>
      </c>
      <c r="C73" s="158" t="str">
        <f ca="1">IF(OR(ISBLANK($F$28),ISBLANK($E$8)),0,IF($E$9&gt;64,0,IF($B73="","",IF($H$28="!",0,1)*ROUND($F$28/'CC Tarifák'!$B$1*VLOOKUP(64-$E$9+1-$B73+1,'CC Tarifák'!$B$3:$AX$49,$E$9+$B73-1-18+2,0)*IF($E$47="Kizárás",1,1+$E$47),0))))</f>
        <v/>
      </c>
      <c r="D73" s="158"/>
      <c r="E73" s="158" t="str">
        <f ca="1">IF(OR(ISBLANK($F$28),ISBLANK($E$8)),0,IF($E$9&gt;60,0,IF($B73="","",IF(MOD($B73,5)=1,IF($J$28="!",0,1)*ROUND($F$28/'CC Tarifák'!$B$53*VLOOKUP(64-$E$9+1-$B73+1,'CC Tarifák'!$B$55:$AX$101,$E$9+$B73-1-18+2,0)*IF($E$47="Kizárás",1,1+$E$47),0),$E72))))</f>
        <v/>
      </c>
      <c r="F73" s="158"/>
      <c r="G73" s="158" t="str">
        <f ca="1">IF(OR(ISBLANK($F$28),ISBLANK($E$8)),0,IF($E$9&gt;55,0,IF($B73="","",IF(MOD($B73,10)=1,IF($L$28="!",0,1)*ROUND($F$28/'CC Tarifák'!$B$105*VLOOKUP(64-$E$9+1-$B73+1,'CC Tarifák'!$B$107:$AX$153,$E$9+$B73-1-18+2,0)*IF($E$47="Kizárás",1,1+$E$47),0),$G72))))</f>
        <v/>
      </c>
      <c r="H73" s="158"/>
      <c r="I73" s="158" t="str">
        <f t="shared" ca="1" si="0"/>
        <v/>
      </c>
      <c r="J73" s="158"/>
      <c r="K73" s="159" t="str">
        <f ca="1">IF(OR(ISBLANK($F$28),ISBLANK($E$8)),0,IF($E$9&gt;64,0,IF($B73="","",IF($H$30="!",0,1)*ROUND($F$28/'CC Tarifák'!$B$209*VLOOKUP(64-$E$9+1-$B73+1,'CC Tarifák'!$B$211:$AX$257,$E$9+$B73-1-18+2,0)*IF($E$47="Kizárás",1,1+$E$47),0))))</f>
        <v/>
      </c>
      <c r="L73" s="159"/>
      <c r="M73" s="159" t="str">
        <f ca="1">IF(OR(ISBLANK($F$28),ISBLANK($E$8)),0,IF($E$9&gt;60,0,IF($B73="","",IF(MOD($B73,5)=1,IF($J$30="!",0,1)*ROUND($F$28/'CC Tarifák'!$B$261*VLOOKUP(64-$E$9+1-$B73+1,'CC Tarifák'!$B$263:$AX$309,$E$9+$B73-1-18+2,0)*IF($E$47="Kizárás",1,1+$E$47),0),$M72))))</f>
        <v/>
      </c>
      <c r="N73" s="159"/>
      <c r="O73" s="159" t="str">
        <f ca="1">IF(OR(ISBLANK($F$28),ISBLANK($E$8)),0,IF($E$9&gt;55,0,IF($B73="","",IF(MOD($B73,10)=1,IF($L$30="!",0,1)*ROUND($F$28/'CC Tarifák'!$B$313*VLOOKUP(64-$E$9+1-$B73+1,'CC Tarifák'!$B$315:$AX$361,$E$9+$B73-1-18+2,0)*IF($E$47="Kizárás",1,1+$E$47),0),$O72))))</f>
        <v/>
      </c>
      <c r="P73" s="159"/>
      <c r="Q73" s="159" t="str">
        <f t="shared" ca="1" si="1"/>
        <v/>
      </c>
      <c r="R73" s="159"/>
      <c r="S73" s="158" t="str">
        <f ca="1">IF(OR(ISBLANK($F$28),ISBLANK($E$8)),0,IF($E$9&gt;64,0,IF($B73="","",IF($H$32="!",0,1)*ROUND($F$28/'CC Tarifák'!$B$417*VLOOKUP(64-$E$9+1-$B73+1,'CC Tarifák'!$B$419:$AX$465,$E$9+$B73-1-18+2,0)*IF($E$47="Kizárás",1,1+$E$47),0))))</f>
        <v/>
      </c>
      <c r="T73" s="158"/>
      <c r="U73" s="158" t="str">
        <f ca="1">IF(OR(ISBLANK($F$28),ISBLANK($E$8)),0,IF($E$9&gt;60,0,IF($B73="","",IF(MOD($B73,5)=1,IF($J$32="!",0,1)*ROUND($F$28/'CC Tarifák'!$B$469*VLOOKUP(64-$E$9+1-$B73+1,'CC Tarifák'!$B$471:$AX$517,$E$9+$B73-1-18+2,0)*IF($E$47="Kizárás",1,1+$E$47),0),$U72))))</f>
        <v/>
      </c>
      <c r="V73" s="158"/>
      <c r="W73" s="158" t="str">
        <f ca="1">IF(OR(ISBLANK($F$28),ISBLANK($E$8)),0,IF($E$9&gt;55,0,IF($B73="","",IF(MOD($B73,10)=1,IF($L$32="!",0,1)*ROUND($F$28/'CC Tarifák'!$B$521*VLOOKUP(64-$E$9+1-$B73+1,'CC Tarifák'!$B$523:$AX$569,$E$9+$B73-1-18+2,0)*IF($E$47="Kizárás",1,1+$E$47),0),$W72))))</f>
        <v/>
      </c>
      <c r="X73" s="158"/>
      <c r="Y73" s="158" t="str">
        <f t="shared" ca="1" si="2"/>
        <v/>
      </c>
      <c r="Z73" s="158"/>
    </row>
    <row r="74" spans="2:26" x14ac:dyDescent="0.25">
      <c r="B74" s="78" t="str">
        <f t="shared" ca="1" si="3"/>
        <v/>
      </c>
      <c r="C74" s="158" t="str">
        <f ca="1">IF(OR(ISBLANK($F$28),ISBLANK($E$8)),0,IF($E$9&gt;64,0,IF($B74="","",IF($H$28="!",0,1)*ROUND($F$28/'CC Tarifák'!$B$1*VLOOKUP(64-$E$9+1-$B74+1,'CC Tarifák'!$B$3:$AX$49,$E$9+$B74-1-18+2,0)*IF($E$47="Kizárás",1,1+$E$47),0))))</f>
        <v/>
      </c>
      <c r="D74" s="158"/>
      <c r="E74" s="158" t="str">
        <f ca="1">IF(OR(ISBLANK($F$28),ISBLANK($E$8)),0,IF($E$9&gt;60,0,IF($B74="","",IF(MOD($B74,5)=1,IF($J$28="!",0,1)*ROUND($F$28/'CC Tarifák'!$B$53*VLOOKUP(64-$E$9+1-$B74+1,'CC Tarifák'!$B$55:$AX$101,$E$9+$B74-1-18+2,0)*IF($E$47="Kizárás",1,1+$E$47),0),$E73))))</f>
        <v/>
      </c>
      <c r="F74" s="158"/>
      <c r="G74" s="158" t="str">
        <f ca="1">IF(OR(ISBLANK($F$28),ISBLANK($E$8)),0,IF($E$9&gt;55,0,IF($B74="","",IF(MOD($B74,10)=1,IF($L$28="!",0,1)*ROUND($F$28/'CC Tarifák'!$B$105*VLOOKUP(64-$E$9+1-$B74+1,'CC Tarifák'!$B$107:$AX$153,$E$9+$B74-1-18+2,0)*IF($E$47="Kizárás",1,1+$E$47),0),$G73))))</f>
        <v/>
      </c>
      <c r="H74" s="158"/>
      <c r="I74" s="158" t="str">
        <f t="shared" ca="1" si="0"/>
        <v/>
      </c>
      <c r="J74" s="158"/>
      <c r="K74" s="159" t="str">
        <f ca="1">IF(OR(ISBLANK($F$28),ISBLANK($E$8)),0,IF($E$9&gt;64,0,IF($B74="","",IF($H$30="!",0,1)*ROUND($F$28/'CC Tarifák'!$B$209*VLOOKUP(64-$E$9+1-$B74+1,'CC Tarifák'!$B$211:$AX$257,$E$9+$B74-1-18+2,0)*IF($E$47="Kizárás",1,1+$E$47),0))))</f>
        <v/>
      </c>
      <c r="L74" s="159"/>
      <c r="M74" s="159" t="str">
        <f ca="1">IF(OR(ISBLANK($F$28),ISBLANK($E$8)),0,IF($E$9&gt;60,0,IF($B74="","",IF(MOD($B74,5)=1,IF($J$30="!",0,1)*ROUND($F$28/'CC Tarifák'!$B$261*VLOOKUP(64-$E$9+1-$B74+1,'CC Tarifák'!$B$263:$AX$309,$E$9+$B74-1-18+2,0)*IF($E$47="Kizárás",1,1+$E$47),0),$M73))))</f>
        <v/>
      </c>
      <c r="N74" s="159"/>
      <c r="O74" s="159" t="str">
        <f ca="1">IF(OR(ISBLANK($F$28),ISBLANK($E$8)),0,IF($E$9&gt;55,0,IF($B74="","",IF(MOD($B74,10)=1,IF($L$30="!",0,1)*ROUND($F$28/'CC Tarifák'!$B$313*VLOOKUP(64-$E$9+1-$B74+1,'CC Tarifák'!$B$315:$AX$361,$E$9+$B74-1-18+2,0)*IF($E$47="Kizárás",1,1+$E$47),0),$O73))))</f>
        <v/>
      </c>
      <c r="P74" s="159"/>
      <c r="Q74" s="159" t="str">
        <f t="shared" ca="1" si="1"/>
        <v/>
      </c>
      <c r="R74" s="159"/>
      <c r="S74" s="158" t="str">
        <f ca="1">IF(OR(ISBLANK($F$28),ISBLANK($E$8)),0,IF($E$9&gt;64,0,IF($B74="","",IF($H$32="!",0,1)*ROUND($F$28/'CC Tarifák'!$B$417*VLOOKUP(64-$E$9+1-$B74+1,'CC Tarifák'!$B$419:$AX$465,$E$9+$B74-1-18+2,0)*IF($E$47="Kizárás",1,1+$E$47),0))))</f>
        <v/>
      </c>
      <c r="T74" s="158"/>
      <c r="U74" s="158" t="str">
        <f ca="1">IF(OR(ISBLANK($F$28),ISBLANK($E$8)),0,IF($E$9&gt;60,0,IF($B74="","",IF(MOD($B74,5)=1,IF($J$32="!",0,1)*ROUND($F$28/'CC Tarifák'!$B$469*VLOOKUP(64-$E$9+1-$B74+1,'CC Tarifák'!$B$471:$AX$517,$E$9+$B74-1-18+2,0)*IF($E$47="Kizárás",1,1+$E$47),0),$U73))))</f>
        <v/>
      </c>
      <c r="V74" s="158"/>
      <c r="W74" s="158" t="str">
        <f ca="1">IF(OR(ISBLANK($F$28),ISBLANK($E$8)),0,IF($E$9&gt;55,0,IF($B74="","",IF(MOD($B74,10)=1,IF($L$32="!",0,1)*ROUND($F$28/'CC Tarifák'!$B$521*VLOOKUP(64-$E$9+1-$B74+1,'CC Tarifák'!$B$523:$AX$569,$E$9+$B74-1-18+2,0)*IF($E$47="Kizárás",1,1+$E$47),0),$W73))))</f>
        <v/>
      </c>
      <c r="X74" s="158"/>
      <c r="Y74" s="158" t="str">
        <f t="shared" ca="1" si="2"/>
        <v/>
      </c>
      <c r="Z74" s="158"/>
    </row>
    <row r="75" spans="2:26" x14ac:dyDescent="0.25">
      <c r="B75" s="78" t="str">
        <f t="shared" ca="1" si="3"/>
        <v/>
      </c>
      <c r="C75" s="158" t="str">
        <f ca="1">IF(OR(ISBLANK($F$28),ISBLANK($E$8)),0,IF($E$9&gt;64,0,IF($B75="","",IF($H$28="!",0,1)*ROUND($F$28/'CC Tarifák'!$B$1*VLOOKUP(64-$E$9+1-$B75+1,'CC Tarifák'!$B$3:$AX$49,$E$9+$B75-1-18+2,0)*IF($E$47="Kizárás",1,1+$E$47),0))))</f>
        <v/>
      </c>
      <c r="D75" s="158"/>
      <c r="E75" s="158" t="str">
        <f ca="1">IF(OR(ISBLANK($F$28),ISBLANK($E$8)),0,IF($E$9&gt;60,0,IF($B75="","",IF(MOD($B75,5)=1,IF($J$28="!",0,1)*ROUND($F$28/'CC Tarifák'!$B$53*VLOOKUP(64-$E$9+1-$B75+1,'CC Tarifák'!$B$55:$AX$101,$E$9+$B75-1-18+2,0)*IF($E$47="Kizárás",1,1+$E$47),0),$E74))))</f>
        <v/>
      </c>
      <c r="F75" s="158"/>
      <c r="G75" s="158" t="str">
        <f ca="1">IF(OR(ISBLANK($F$28),ISBLANK($E$8)),0,IF($E$9&gt;55,0,IF($B75="","",IF(MOD($B75,10)=1,IF($L$28="!",0,1)*ROUND($F$28/'CC Tarifák'!$B$105*VLOOKUP(64-$E$9+1-$B75+1,'CC Tarifák'!$B$107:$AX$153,$E$9+$B75-1-18+2,0)*IF($E$47="Kizárás",1,1+$E$47),0),$G74))))</f>
        <v/>
      </c>
      <c r="H75" s="158"/>
      <c r="I75" s="158" t="str">
        <f t="shared" ca="1" si="0"/>
        <v/>
      </c>
      <c r="J75" s="158"/>
      <c r="K75" s="159" t="str">
        <f ca="1">IF(OR(ISBLANK($F$28),ISBLANK($E$8)),0,IF($E$9&gt;64,0,IF($B75="","",IF($H$30="!",0,1)*ROUND($F$28/'CC Tarifák'!$B$209*VLOOKUP(64-$E$9+1-$B75+1,'CC Tarifák'!$B$211:$AX$257,$E$9+$B75-1-18+2,0)*IF($E$47="Kizárás",1,1+$E$47),0))))</f>
        <v/>
      </c>
      <c r="L75" s="159"/>
      <c r="M75" s="159" t="str">
        <f ca="1">IF(OR(ISBLANK($F$28),ISBLANK($E$8)),0,IF($E$9&gt;60,0,IF($B75="","",IF(MOD($B75,5)=1,IF($J$30="!",0,1)*ROUND($F$28/'CC Tarifák'!$B$261*VLOOKUP(64-$E$9+1-$B75+1,'CC Tarifák'!$B$263:$AX$309,$E$9+$B75-1-18+2,0)*IF($E$47="Kizárás",1,1+$E$47),0),$M74))))</f>
        <v/>
      </c>
      <c r="N75" s="159"/>
      <c r="O75" s="159" t="str">
        <f ca="1">IF(OR(ISBLANK($F$28),ISBLANK($E$8)),0,IF($E$9&gt;55,0,IF($B75="","",IF(MOD($B75,10)=1,IF($L$30="!",0,1)*ROUND($F$28/'CC Tarifák'!$B$313*VLOOKUP(64-$E$9+1-$B75+1,'CC Tarifák'!$B$315:$AX$361,$E$9+$B75-1-18+2,0)*IF($E$47="Kizárás",1,1+$E$47),0),$O74))))</f>
        <v/>
      </c>
      <c r="P75" s="159"/>
      <c r="Q75" s="159" t="str">
        <f t="shared" ca="1" si="1"/>
        <v/>
      </c>
      <c r="R75" s="159"/>
      <c r="S75" s="158" t="str">
        <f ca="1">IF(OR(ISBLANK($F$28),ISBLANK($E$8)),0,IF($E$9&gt;64,0,IF($B75="","",IF($H$32="!",0,1)*ROUND($F$28/'CC Tarifák'!$B$417*VLOOKUP(64-$E$9+1-$B75+1,'CC Tarifák'!$B$419:$AX$465,$E$9+$B75-1-18+2,0)*IF($E$47="Kizárás",1,1+$E$47),0))))</f>
        <v/>
      </c>
      <c r="T75" s="158"/>
      <c r="U75" s="158" t="str">
        <f ca="1">IF(OR(ISBLANK($F$28),ISBLANK($E$8)),0,IF($E$9&gt;60,0,IF($B75="","",IF(MOD($B75,5)=1,IF($J$32="!",0,1)*ROUND($F$28/'CC Tarifák'!$B$469*VLOOKUP(64-$E$9+1-$B75+1,'CC Tarifák'!$B$471:$AX$517,$E$9+$B75-1-18+2,0)*IF($E$47="Kizárás",1,1+$E$47),0),$U74))))</f>
        <v/>
      </c>
      <c r="V75" s="158"/>
      <c r="W75" s="158" t="str">
        <f ca="1">IF(OR(ISBLANK($F$28),ISBLANK($E$8)),0,IF($E$9&gt;55,0,IF($B75="","",IF(MOD($B75,10)=1,IF($L$32="!",0,1)*ROUND($F$28/'CC Tarifák'!$B$521*VLOOKUP(64-$E$9+1-$B75+1,'CC Tarifák'!$B$523:$AX$569,$E$9+$B75-1-18+2,0)*IF($E$47="Kizárás",1,1+$E$47),0),$W74))))</f>
        <v/>
      </c>
      <c r="X75" s="158"/>
      <c r="Y75" s="158" t="str">
        <f t="shared" ca="1" si="2"/>
        <v/>
      </c>
      <c r="Z75" s="158"/>
    </row>
    <row r="76" spans="2:26" x14ac:dyDescent="0.25">
      <c r="B76" s="78" t="str">
        <f t="shared" ca="1" si="3"/>
        <v/>
      </c>
      <c r="C76" s="158" t="str">
        <f ca="1">IF(OR(ISBLANK($F$28),ISBLANK($E$8)),0,IF($E$9&gt;64,0,IF($B76="","",IF($H$28="!",0,1)*ROUND($F$28/'CC Tarifák'!$B$1*VLOOKUP(64-$E$9+1-$B76+1,'CC Tarifák'!$B$3:$AX$49,$E$9+$B76-1-18+2,0)*IF($E$47="Kizárás",1,1+$E$47),0))))</f>
        <v/>
      </c>
      <c r="D76" s="158"/>
      <c r="E76" s="158" t="str">
        <f ca="1">IF(OR(ISBLANK($F$28),ISBLANK($E$8)),0,IF($E$9&gt;60,0,IF($B76="","",IF(MOD($B76,5)=1,IF($J$28="!",0,1)*ROUND($F$28/'CC Tarifák'!$B$53*VLOOKUP(64-$E$9+1-$B76+1,'CC Tarifák'!$B$55:$AX$101,$E$9+$B76-1-18+2,0)*IF($E$47="Kizárás",1,1+$E$47),0),$E75))))</f>
        <v/>
      </c>
      <c r="F76" s="158"/>
      <c r="G76" s="158" t="str">
        <f ca="1">IF(OR(ISBLANK($F$28),ISBLANK($E$8)),0,IF($E$9&gt;55,0,IF($B76="","",IF(MOD($B76,10)=1,IF($L$28="!",0,1)*ROUND($F$28/'CC Tarifák'!$B$105*VLOOKUP(64-$E$9+1-$B76+1,'CC Tarifák'!$B$107:$AX$153,$E$9+$B76-1-18+2,0)*IF($E$47="Kizárás",1,1+$E$47),0),$G75))))</f>
        <v/>
      </c>
      <c r="H76" s="158"/>
      <c r="I76" s="158" t="str">
        <f t="shared" ca="1" si="0"/>
        <v/>
      </c>
      <c r="J76" s="158"/>
      <c r="K76" s="159" t="str">
        <f ca="1">IF(OR(ISBLANK($F$28),ISBLANK($E$8)),0,IF($E$9&gt;64,0,IF($B76="","",IF($H$30="!",0,1)*ROUND($F$28/'CC Tarifák'!$B$209*VLOOKUP(64-$E$9+1-$B76+1,'CC Tarifák'!$B$211:$AX$257,$E$9+$B76-1-18+2,0)*IF($E$47="Kizárás",1,1+$E$47),0))))</f>
        <v/>
      </c>
      <c r="L76" s="159"/>
      <c r="M76" s="159" t="str">
        <f ca="1">IF(OR(ISBLANK($F$28),ISBLANK($E$8)),0,IF($E$9&gt;60,0,IF($B76="","",IF(MOD($B76,5)=1,IF($J$30="!",0,1)*ROUND($F$28/'CC Tarifák'!$B$261*VLOOKUP(64-$E$9+1-$B76+1,'CC Tarifák'!$B$263:$AX$309,$E$9+$B76-1-18+2,0)*IF($E$47="Kizárás",1,1+$E$47),0),$M75))))</f>
        <v/>
      </c>
      <c r="N76" s="159"/>
      <c r="O76" s="159" t="str">
        <f ca="1">IF(OR(ISBLANK($F$28),ISBLANK($E$8)),0,IF($E$9&gt;55,0,IF($B76="","",IF(MOD($B76,10)=1,IF($L$30="!",0,1)*ROUND($F$28/'CC Tarifák'!$B$313*VLOOKUP(64-$E$9+1-$B76+1,'CC Tarifák'!$B$315:$AX$361,$E$9+$B76-1-18+2,0)*IF($E$47="Kizárás",1,1+$E$47),0),$O75))))</f>
        <v/>
      </c>
      <c r="P76" s="159"/>
      <c r="Q76" s="159" t="str">
        <f t="shared" ca="1" si="1"/>
        <v/>
      </c>
      <c r="R76" s="159"/>
      <c r="S76" s="158" t="str">
        <f ca="1">IF(OR(ISBLANK($F$28),ISBLANK($E$8)),0,IF($E$9&gt;64,0,IF($B76="","",IF($H$32="!",0,1)*ROUND($F$28/'CC Tarifák'!$B$417*VLOOKUP(64-$E$9+1-$B76+1,'CC Tarifák'!$B$419:$AX$465,$E$9+$B76-1-18+2,0)*IF($E$47="Kizárás",1,1+$E$47),0))))</f>
        <v/>
      </c>
      <c r="T76" s="158"/>
      <c r="U76" s="158" t="str">
        <f ca="1">IF(OR(ISBLANK($F$28),ISBLANK($E$8)),0,IF($E$9&gt;60,0,IF($B76="","",IF(MOD($B76,5)=1,IF($J$32="!",0,1)*ROUND($F$28/'CC Tarifák'!$B$469*VLOOKUP(64-$E$9+1-$B76+1,'CC Tarifák'!$B$471:$AX$517,$E$9+$B76-1-18+2,0)*IF($E$47="Kizárás",1,1+$E$47),0),$U75))))</f>
        <v/>
      </c>
      <c r="V76" s="158"/>
      <c r="W76" s="158" t="str">
        <f ca="1">IF(OR(ISBLANK($F$28),ISBLANK($E$8)),0,IF($E$9&gt;55,0,IF($B76="","",IF(MOD($B76,10)=1,IF($L$32="!",0,1)*ROUND($F$28/'CC Tarifák'!$B$521*VLOOKUP(64-$E$9+1-$B76+1,'CC Tarifák'!$B$523:$AX$569,$E$9+$B76-1-18+2,0)*IF($E$47="Kizárás",1,1+$E$47),0),$W75))))</f>
        <v/>
      </c>
      <c r="X76" s="158"/>
      <c r="Y76" s="158" t="str">
        <f t="shared" ca="1" si="2"/>
        <v/>
      </c>
      <c r="Z76" s="158"/>
    </row>
    <row r="77" spans="2:26" x14ac:dyDescent="0.25">
      <c r="B77" s="78" t="str">
        <f t="shared" ca="1" si="3"/>
        <v/>
      </c>
      <c r="C77" s="158" t="str">
        <f ca="1">IF(OR(ISBLANK($F$28),ISBLANK($E$8)),0,IF($E$9&gt;64,0,IF($B77="","",IF($H$28="!",0,1)*ROUND($F$28/'CC Tarifák'!$B$1*VLOOKUP(64-$E$9+1-$B77+1,'CC Tarifák'!$B$3:$AX$49,$E$9+$B77-1-18+2,0)*IF($E$47="Kizárás",1,1+$E$47),0))))</f>
        <v/>
      </c>
      <c r="D77" s="158"/>
      <c r="E77" s="158" t="str">
        <f ca="1">IF(OR(ISBLANK($F$28),ISBLANK($E$8)),0,IF($E$9&gt;60,0,IF($B77="","",IF(MOD($B77,5)=1,IF($J$28="!",0,1)*ROUND($F$28/'CC Tarifák'!$B$53*VLOOKUP(64-$E$9+1-$B77+1,'CC Tarifák'!$B$55:$AX$101,$E$9+$B77-1-18+2,0)*IF($E$47="Kizárás",1,1+$E$47),0),$E76))))</f>
        <v/>
      </c>
      <c r="F77" s="158"/>
      <c r="G77" s="158" t="str">
        <f ca="1">IF(OR(ISBLANK($F$28),ISBLANK($E$8)),0,IF($E$9&gt;55,0,IF($B77="","",IF(MOD($B77,10)=1,IF($L$28="!",0,1)*ROUND($F$28/'CC Tarifák'!$B$105*VLOOKUP(64-$E$9+1-$B77+1,'CC Tarifák'!$B$107:$AX$153,$E$9+$B77-1-18+2,0)*IF($E$47="Kizárás",1,1+$E$47),0),$G76))))</f>
        <v/>
      </c>
      <c r="H77" s="158"/>
      <c r="I77" s="158" t="str">
        <f t="shared" ca="1" si="0"/>
        <v/>
      </c>
      <c r="J77" s="158"/>
      <c r="K77" s="159" t="str">
        <f ca="1">IF(OR(ISBLANK($F$28),ISBLANK($E$8)),0,IF($E$9&gt;64,0,IF($B77="","",IF($H$30="!",0,1)*ROUND($F$28/'CC Tarifák'!$B$209*VLOOKUP(64-$E$9+1-$B77+1,'CC Tarifák'!$B$211:$AX$257,$E$9+$B77-1-18+2,0)*IF($E$47="Kizárás",1,1+$E$47),0))))</f>
        <v/>
      </c>
      <c r="L77" s="159"/>
      <c r="M77" s="159" t="str">
        <f ca="1">IF(OR(ISBLANK($F$28),ISBLANK($E$8)),0,IF($E$9&gt;60,0,IF($B77="","",IF(MOD($B77,5)=1,IF($J$30="!",0,1)*ROUND($F$28/'CC Tarifák'!$B$261*VLOOKUP(64-$E$9+1-$B77+1,'CC Tarifák'!$B$263:$AX$309,$E$9+$B77-1-18+2,0)*IF($E$47="Kizárás",1,1+$E$47),0),$M76))))</f>
        <v/>
      </c>
      <c r="N77" s="159"/>
      <c r="O77" s="159" t="str">
        <f ca="1">IF(OR(ISBLANK($F$28),ISBLANK($E$8)),0,IF($E$9&gt;55,0,IF($B77="","",IF(MOD($B77,10)=1,IF($L$30="!",0,1)*ROUND($F$28/'CC Tarifák'!$B$313*VLOOKUP(64-$E$9+1-$B77+1,'CC Tarifák'!$B$315:$AX$361,$E$9+$B77-1-18+2,0)*IF($E$47="Kizárás",1,1+$E$47),0),$O76))))</f>
        <v/>
      </c>
      <c r="P77" s="159"/>
      <c r="Q77" s="159" t="str">
        <f t="shared" ca="1" si="1"/>
        <v/>
      </c>
      <c r="R77" s="159"/>
      <c r="S77" s="158" t="str">
        <f ca="1">IF(OR(ISBLANK($F$28),ISBLANK($E$8)),0,IF($E$9&gt;64,0,IF($B77="","",IF($H$32="!",0,1)*ROUND($F$28/'CC Tarifák'!$B$417*VLOOKUP(64-$E$9+1-$B77+1,'CC Tarifák'!$B$419:$AX$465,$E$9+$B77-1-18+2,0)*IF($E$47="Kizárás",1,1+$E$47),0))))</f>
        <v/>
      </c>
      <c r="T77" s="158"/>
      <c r="U77" s="158" t="str">
        <f ca="1">IF(OR(ISBLANK($F$28),ISBLANK($E$8)),0,IF($E$9&gt;60,0,IF($B77="","",IF(MOD($B77,5)=1,IF($J$32="!",0,1)*ROUND($F$28/'CC Tarifák'!$B$469*VLOOKUP(64-$E$9+1-$B77+1,'CC Tarifák'!$B$471:$AX$517,$E$9+$B77-1-18+2,0)*IF($E$47="Kizárás",1,1+$E$47),0),$U76))))</f>
        <v/>
      </c>
      <c r="V77" s="158"/>
      <c r="W77" s="158" t="str">
        <f ca="1">IF(OR(ISBLANK($F$28),ISBLANK($E$8)),0,IF($E$9&gt;55,0,IF($B77="","",IF(MOD($B77,10)=1,IF($L$32="!",0,1)*ROUND($F$28/'CC Tarifák'!$B$521*VLOOKUP(64-$E$9+1-$B77+1,'CC Tarifák'!$B$523:$AX$569,$E$9+$B77-1-18+2,0)*IF($E$47="Kizárás",1,1+$E$47),0),$W76))))</f>
        <v/>
      </c>
      <c r="X77" s="158"/>
      <c r="Y77" s="158" t="str">
        <f t="shared" ca="1" si="2"/>
        <v/>
      </c>
      <c r="Z77" s="158"/>
    </row>
    <row r="78" spans="2:26" x14ac:dyDescent="0.25">
      <c r="B78" s="78" t="str">
        <f t="shared" ca="1" si="3"/>
        <v/>
      </c>
      <c r="C78" s="158" t="str">
        <f ca="1">IF(OR(ISBLANK($F$28),ISBLANK($E$8)),0,IF($E$9&gt;64,0,IF($B78="","",IF($H$28="!",0,1)*ROUND($F$28/'CC Tarifák'!$B$1*VLOOKUP(64-$E$9+1-$B78+1,'CC Tarifák'!$B$3:$AX$49,$E$9+$B78-1-18+2,0)*IF($E$47="Kizárás",1,1+$E$47),0))))</f>
        <v/>
      </c>
      <c r="D78" s="158"/>
      <c r="E78" s="158" t="str">
        <f ca="1">IF(OR(ISBLANK($F$28),ISBLANK($E$8)),0,IF($E$9&gt;60,0,IF($B78="","",IF(MOD($B78,5)=1,IF($J$28="!",0,1)*ROUND($F$28/'CC Tarifák'!$B$53*VLOOKUP(64-$E$9+1-$B78+1,'CC Tarifák'!$B$55:$AX$101,$E$9+$B78-1-18+2,0)*IF($E$47="Kizárás",1,1+$E$47),0),$E77))))</f>
        <v/>
      </c>
      <c r="F78" s="158"/>
      <c r="G78" s="158" t="str">
        <f ca="1">IF(OR(ISBLANK($F$28),ISBLANK($E$8)),0,IF($E$9&gt;55,0,IF($B78="","",IF(MOD($B78,10)=1,IF($L$28="!",0,1)*ROUND($F$28/'CC Tarifák'!$B$105*VLOOKUP(64-$E$9+1-$B78+1,'CC Tarifák'!$B$107:$AX$153,$E$9+$B78-1-18+2,0)*IF($E$47="Kizárás",1,1+$E$47),0),$G77))))</f>
        <v/>
      </c>
      <c r="H78" s="158"/>
      <c r="I78" s="158" t="str">
        <f t="shared" ca="1" si="0"/>
        <v/>
      </c>
      <c r="J78" s="158"/>
      <c r="K78" s="159" t="str">
        <f ca="1">IF(OR(ISBLANK($F$28),ISBLANK($E$8)),0,IF($E$9&gt;64,0,IF($B78="","",IF($H$30="!",0,1)*ROUND($F$28/'CC Tarifák'!$B$209*VLOOKUP(64-$E$9+1-$B78+1,'CC Tarifák'!$B$211:$AX$257,$E$9+$B78-1-18+2,0)*IF($E$47="Kizárás",1,1+$E$47),0))))</f>
        <v/>
      </c>
      <c r="L78" s="159"/>
      <c r="M78" s="159" t="str">
        <f ca="1">IF(OR(ISBLANK($F$28),ISBLANK($E$8)),0,IF($E$9&gt;60,0,IF($B78="","",IF(MOD($B78,5)=1,IF($J$30="!",0,1)*ROUND($F$28/'CC Tarifák'!$B$261*VLOOKUP(64-$E$9+1-$B78+1,'CC Tarifák'!$B$263:$AX$309,$E$9+$B78-1-18+2,0)*IF($E$47="Kizárás",1,1+$E$47),0),$M77))))</f>
        <v/>
      </c>
      <c r="N78" s="159"/>
      <c r="O78" s="159" t="str">
        <f ca="1">IF(OR(ISBLANK($F$28),ISBLANK($E$8)),0,IF($E$9&gt;55,0,IF($B78="","",IF(MOD($B78,10)=1,IF($L$30="!",0,1)*ROUND($F$28/'CC Tarifák'!$B$313*VLOOKUP(64-$E$9+1-$B78+1,'CC Tarifák'!$B$315:$AX$361,$E$9+$B78-1-18+2,0)*IF($E$47="Kizárás",1,1+$E$47),0),$O77))))</f>
        <v/>
      </c>
      <c r="P78" s="159"/>
      <c r="Q78" s="159" t="str">
        <f t="shared" ca="1" si="1"/>
        <v/>
      </c>
      <c r="R78" s="159"/>
      <c r="S78" s="158" t="str">
        <f ca="1">IF(OR(ISBLANK($F$28),ISBLANK($E$8)),0,IF($E$9&gt;64,0,IF($B78="","",IF($H$32="!",0,1)*ROUND($F$28/'CC Tarifák'!$B$417*VLOOKUP(64-$E$9+1-$B78+1,'CC Tarifák'!$B$419:$AX$465,$E$9+$B78-1-18+2,0)*IF($E$47="Kizárás",1,1+$E$47),0))))</f>
        <v/>
      </c>
      <c r="T78" s="158"/>
      <c r="U78" s="158" t="str">
        <f ca="1">IF(OR(ISBLANK($F$28),ISBLANK($E$8)),0,IF($E$9&gt;60,0,IF($B78="","",IF(MOD($B78,5)=1,IF($J$32="!",0,1)*ROUND($F$28/'CC Tarifák'!$B$469*VLOOKUP(64-$E$9+1-$B78+1,'CC Tarifák'!$B$471:$AX$517,$E$9+$B78-1-18+2,0)*IF($E$47="Kizárás",1,1+$E$47),0),$U77))))</f>
        <v/>
      </c>
      <c r="V78" s="158"/>
      <c r="W78" s="158" t="str">
        <f ca="1">IF(OR(ISBLANK($F$28),ISBLANK($E$8)),0,IF($E$9&gt;55,0,IF($B78="","",IF(MOD($B78,10)=1,IF($L$32="!",0,1)*ROUND($F$28/'CC Tarifák'!$B$521*VLOOKUP(64-$E$9+1-$B78+1,'CC Tarifák'!$B$523:$AX$569,$E$9+$B78-1-18+2,0)*IF($E$47="Kizárás",1,1+$E$47),0),$W77))))</f>
        <v/>
      </c>
      <c r="X78" s="158"/>
      <c r="Y78" s="158" t="str">
        <f t="shared" ca="1" si="2"/>
        <v/>
      </c>
      <c r="Z78" s="158"/>
    </row>
    <row r="79" spans="2:26" x14ac:dyDescent="0.25">
      <c r="B79" s="78" t="str">
        <f t="shared" ca="1" si="3"/>
        <v/>
      </c>
      <c r="C79" s="158" t="str">
        <f ca="1">IF(OR(ISBLANK($F$28),ISBLANK($E$8)),0,IF($E$9&gt;64,0,IF($B79="","",IF($H$28="!",0,1)*ROUND($F$28/'CC Tarifák'!$B$1*VLOOKUP(64-$E$9+1-$B79+1,'CC Tarifák'!$B$3:$AX$49,$E$9+$B79-1-18+2,0)*IF($E$47="Kizárás",1,1+$E$47),0))))</f>
        <v/>
      </c>
      <c r="D79" s="158"/>
      <c r="E79" s="158" t="str">
        <f ca="1">IF(OR(ISBLANK($F$28),ISBLANK($E$8)),0,IF($E$9&gt;60,0,IF($B79="","",IF(MOD($B79,5)=1,IF($J$28="!",0,1)*ROUND($F$28/'CC Tarifák'!$B$53*VLOOKUP(64-$E$9+1-$B79+1,'CC Tarifák'!$B$55:$AX$101,$E$9+$B79-1-18+2,0)*IF($E$47="Kizárás",1,1+$E$47),0),$E78))))</f>
        <v/>
      </c>
      <c r="F79" s="158"/>
      <c r="G79" s="158" t="str">
        <f ca="1">IF(OR(ISBLANK($F$28),ISBLANK($E$8)),0,IF($E$9&gt;55,0,IF($B79="","",IF(MOD($B79,10)=1,IF($L$28="!",0,1)*ROUND($F$28/'CC Tarifák'!$B$105*VLOOKUP(64-$E$9+1-$B79+1,'CC Tarifák'!$B$107:$AX$153,$E$9+$B79-1-18+2,0)*IF($E$47="Kizárás",1,1+$E$47),0),$G78))))</f>
        <v/>
      </c>
      <c r="H79" s="158"/>
      <c r="I79" s="158" t="str">
        <f t="shared" ca="1" si="0"/>
        <v/>
      </c>
      <c r="J79" s="158"/>
      <c r="K79" s="159" t="str">
        <f ca="1">IF(OR(ISBLANK($F$28),ISBLANK($E$8)),0,IF($E$9&gt;64,0,IF($B79="","",IF($H$30="!",0,1)*ROUND($F$28/'CC Tarifák'!$B$209*VLOOKUP(64-$E$9+1-$B79+1,'CC Tarifák'!$B$211:$AX$257,$E$9+$B79-1-18+2,0)*IF($E$47="Kizárás",1,1+$E$47),0))))</f>
        <v/>
      </c>
      <c r="L79" s="159"/>
      <c r="M79" s="159" t="str">
        <f ca="1">IF(OR(ISBLANK($F$28),ISBLANK($E$8)),0,IF($E$9&gt;60,0,IF($B79="","",IF(MOD($B79,5)=1,IF($J$30="!",0,1)*ROUND($F$28/'CC Tarifák'!$B$261*VLOOKUP(64-$E$9+1-$B79+1,'CC Tarifák'!$B$263:$AX$309,$E$9+$B79-1-18+2,0)*IF($E$47="Kizárás",1,1+$E$47),0),$M78))))</f>
        <v/>
      </c>
      <c r="N79" s="159"/>
      <c r="O79" s="159" t="str">
        <f ca="1">IF(OR(ISBLANK($F$28),ISBLANK($E$8)),0,IF($E$9&gt;55,0,IF($B79="","",IF(MOD($B79,10)=1,IF($L$30="!",0,1)*ROUND($F$28/'CC Tarifák'!$B$313*VLOOKUP(64-$E$9+1-$B79+1,'CC Tarifák'!$B$315:$AX$361,$E$9+$B79-1-18+2,0)*IF($E$47="Kizárás",1,1+$E$47),0),$O78))))</f>
        <v/>
      </c>
      <c r="P79" s="159"/>
      <c r="Q79" s="159" t="str">
        <f t="shared" ca="1" si="1"/>
        <v/>
      </c>
      <c r="R79" s="159"/>
      <c r="S79" s="158" t="str">
        <f ca="1">IF(OR(ISBLANK($F$28),ISBLANK($E$8)),0,IF($E$9&gt;64,0,IF($B79="","",IF($H$32="!",0,1)*ROUND($F$28/'CC Tarifák'!$B$417*VLOOKUP(64-$E$9+1-$B79+1,'CC Tarifák'!$B$419:$AX$465,$E$9+$B79-1-18+2,0)*IF($E$47="Kizárás",1,1+$E$47),0))))</f>
        <v/>
      </c>
      <c r="T79" s="158"/>
      <c r="U79" s="158" t="str">
        <f ca="1">IF(OR(ISBLANK($F$28),ISBLANK($E$8)),0,IF($E$9&gt;60,0,IF($B79="","",IF(MOD($B79,5)=1,IF($J$32="!",0,1)*ROUND($F$28/'CC Tarifák'!$B$469*VLOOKUP(64-$E$9+1-$B79+1,'CC Tarifák'!$B$471:$AX$517,$E$9+$B79-1-18+2,0)*IF($E$47="Kizárás",1,1+$E$47),0),$U78))))</f>
        <v/>
      </c>
      <c r="V79" s="158"/>
      <c r="W79" s="158" t="str">
        <f ca="1">IF(OR(ISBLANK($F$28),ISBLANK($E$8)),0,IF($E$9&gt;55,0,IF($B79="","",IF(MOD($B79,10)=1,IF($L$32="!",0,1)*ROUND($F$28/'CC Tarifák'!$B$521*VLOOKUP(64-$E$9+1-$B79+1,'CC Tarifák'!$B$523:$AX$569,$E$9+$B79-1-18+2,0)*IF($E$47="Kizárás",1,1+$E$47),0),$W78))))</f>
        <v/>
      </c>
      <c r="X79" s="158"/>
      <c r="Y79" s="158" t="str">
        <f t="shared" ca="1" si="2"/>
        <v/>
      </c>
      <c r="Z79" s="158"/>
    </row>
    <row r="80" spans="2:26" x14ac:dyDescent="0.25">
      <c r="B80" s="78" t="str">
        <f t="shared" ca="1" si="3"/>
        <v/>
      </c>
      <c r="C80" s="158" t="str">
        <f ca="1">IF(OR(ISBLANK($F$28),ISBLANK($E$8)),0,IF($E$9&gt;64,0,IF($B80="","",IF($H$28="!",0,1)*ROUND($F$28/'CC Tarifák'!$B$1*VLOOKUP(64-$E$9+1-$B80+1,'CC Tarifák'!$B$3:$AX$49,$E$9+$B80-1-18+2,0)*IF($E$47="Kizárás",1,1+$E$47),0))))</f>
        <v/>
      </c>
      <c r="D80" s="158"/>
      <c r="E80" s="158" t="str">
        <f ca="1">IF(OR(ISBLANK($F$28),ISBLANK($E$8)),0,IF($E$9&gt;60,0,IF($B80="","",IF(MOD($B80,5)=1,IF($J$28="!",0,1)*ROUND($F$28/'CC Tarifák'!$B$53*VLOOKUP(64-$E$9+1-$B80+1,'CC Tarifák'!$B$55:$AX$101,$E$9+$B80-1-18+2,0)*IF($E$47="Kizárás",1,1+$E$47),0),$E79))))</f>
        <v/>
      </c>
      <c r="F80" s="158"/>
      <c r="G80" s="158" t="str">
        <f ca="1">IF(OR(ISBLANK($F$28),ISBLANK($E$8)),0,IF($E$9&gt;55,0,IF($B80="","",IF(MOD($B80,10)=1,IF($L$28="!",0,1)*ROUND($F$28/'CC Tarifák'!$B$105*VLOOKUP(64-$E$9+1-$B80+1,'CC Tarifák'!$B$107:$AX$153,$E$9+$B80-1-18+2,0)*IF($E$47="Kizárás",1,1+$E$47),0),$G79))))</f>
        <v/>
      </c>
      <c r="H80" s="158"/>
      <c r="I80" s="158" t="str">
        <f t="shared" ca="1" si="0"/>
        <v/>
      </c>
      <c r="J80" s="158"/>
      <c r="K80" s="159" t="str">
        <f ca="1">IF(OR(ISBLANK($F$28),ISBLANK($E$8)),0,IF($E$9&gt;64,0,IF($B80="","",IF($H$30="!",0,1)*ROUND($F$28/'CC Tarifák'!$B$209*VLOOKUP(64-$E$9+1-$B80+1,'CC Tarifák'!$B$211:$AX$257,$E$9+$B80-1-18+2,0)*IF($E$47="Kizárás",1,1+$E$47),0))))</f>
        <v/>
      </c>
      <c r="L80" s="159"/>
      <c r="M80" s="159" t="str">
        <f ca="1">IF(OR(ISBLANK($F$28),ISBLANK($E$8)),0,IF($E$9&gt;60,0,IF($B80="","",IF(MOD($B80,5)=1,IF($J$30="!",0,1)*ROUND($F$28/'CC Tarifák'!$B$261*VLOOKUP(64-$E$9+1-$B80+1,'CC Tarifák'!$B$263:$AX$309,$E$9+$B80-1-18+2,0)*IF($E$47="Kizárás",1,1+$E$47),0),$M79))))</f>
        <v/>
      </c>
      <c r="N80" s="159"/>
      <c r="O80" s="159" t="str">
        <f ca="1">IF(OR(ISBLANK($F$28),ISBLANK($E$8)),0,IF($E$9&gt;55,0,IF($B80="","",IF(MOD($B80,10)=1,IF($L$30="!",0,1)*ROUND($F$28/'CC Tarifák'!$B$313*VLOOKUP(64-$E$9+1-$B80+1,'CC Tarifák'!$B$315:$AX$361,$E$9+$B80-1-18+2,0)*IF($E$47="Kizárás",1,1+$E$47),0),$O79))))</f>
        <v/>
      </c>
      <c r="P80" s="159"/>
      <c r="Q80" s="159" t="str">
        <f t="shared" ca="1" si="1"/>
        <v/>
      </c>
      <c r="R80" s="159"/>
      <c r="S80" s="158" t="str">
        <f ca="1">IF(OR(ISBLANK($F$28),ISBLANK($E$8)),0,IF($E$9&gt;64,0,IF($B80="","",IF($H$32="!",0,1)*ROUND($F$28/'CC Tarifák'!$B$417*VLOOKUP(64-$E$9+1-$B80+1,'CC Tarifák'!$B$419:$AX$465,$E$9+$B80-1-18+2,0)*IF($E$47="Kizárás",1,1+$E$47),0))))</f>
        <v/>
      </c>
      <c r="T80" s="158"/>
      <c r="U80" s="158" t="str">
        <f ca="1">IF(OR(ISBLANK($F$28),ISBLANK($E$8)),0,IF($E$9&gt;60,0,IF($B80="","",IF(MOD($B80,5)=1,IF($J$32="!",0,1)*ROUND($F$28/'CC Tarifák'!$B$469*VLOOKUP(64-$E$9+1-$B80+1,'CC Tarifák'!$B$471:$AX$517,$E$9+$B80-1-18+2,0)*IF($E$47="Kizárás",1,1+$E$47),0),$U79))))</f>
        <v/>
      </c>
      <c r="V80" s="158"/>
      <c r="W80" s="158" t="str">
        <f ca="1">IF(OR(ISBLANK($F$28),ISBLANK($E$8)),0,IF($E$9&gt;55,0,IF($B80="","",IF(MOD($B80,10)=1,IF($L$32="!",0,1)*ROUND($F$28/'CC Tarifák'!$B$521*VLOOKUP(64-$E$9+1-$B80+1,'CC Tarifák'!$B$523:$AX$569,$E$9+$B80-1-18+2,0)*IF($E$47="Kizárás",1,1+$E$47),0),$W79))))</f>
        <v/>
      </c>
      <c r="X80" s="158"/>
      <c r="Y80" s="158" t="str">
        <f t="shared" ca="1" si="2"/>
        <v/>
      </c>
      <c r="Z80" s="158"/>
    </row>
    <row r="81" spans="2:26" x14ac:dyDescent="0.25">
      <c r="B81" s="78" t="str">
        <f t="shared" ca="1" si="3"/>
        <v/>
      </c>
      <c r="C81" s="158" t="str">
        <f ca="1">IF(OR(ISBLANK($F$28),ISBLANK($E$8)),0,IF($E$9&gt;64,0,IF($B81="","",IF($H$28="!",0,1)*ROUND($F$28/'CC Tarifák'!$B$1*VLOOKUP(64-$E$9+1-$B81+1,'CC Tarifák'!$B$3:$AX$49,$E$9+$B81-1-18+2,0)*IF($E$47="Kizárás",1,1+$E$47),0))))</f>
        <v/>
      </c>
      <c r="D81" s="158"/>
      <c r="E81" s="158" t="str">
        <f ca="1">IF(OR(ISBLANK($F$28),ISBLANK($E$8)),0,IF($E$9&gt;60,0,IF($B81="","",IF(MOD($B81,5)=1,IF($J$28="!",0,1)*ROUND($F$28/'CC Tarifák'!$B$53*VLOOKUP(64-$E$9+1-$B81+1,'CC Tarifák'!$B$55:$AX$101,$E$9+$B81-1-18+2,0)*IF($E$47="Kizárás",1,1+$E$47),0),$E80))))</f>
        <v/>
      </c>
      <c r="F81" s="158"/>
      <c r="G81" s="158" t="str">
        <f ca="1">IF(OR(ISBLANK($F$28),ISBLANK($E$8)),0,IF($E$9&gt;55,0,IF($B81="","",IF(MOD($B81,10)=1,IF($L$28="!",0,1)*ROUND($F$28/'CC Tarifák'!$B$105*VLOOKUP(64-$E$9+1-$B81+1,'CC Tarifák'!$B$107:$AX$153,$E$9+$B81-1-18+2,0)*IF($E$47="Kizárás",1,1+$E$47),0),$G80))))</f>
        <v/>
      </c>
      <c r="H81" s="158"/>
      <c r="I81" s="158" t="str">
        <f t="shared" ca="1" si="0"/>
        <v/>
      </c>
      <c r="J81" s="158"/>
      <c r="K81" s="159" t="str">
        <f ca="1">IF(OR(ISBLANK($F$28),ISBLANK($E$8)),0,IF($E$9&gt;64,0,IF($B81="","",IF($H$30="!",0,1)*ROUND($F$28/'CC Tarifák'!$B$209*VLOOKUP(64-$E$9+1-$B81+1,'CC Tarifák'!$B$211:$AX$257,$E$9+$B81-1-18+2,0)*IF($E$47="Kizárás",1,1+$E$47),0))))</f>
        <v/>
      </c>
      <c r="L81" s="159"/>
      <c r="M81" s="159" t="str">
        <f ca="1">IF(OR(ISBLANK($F$28),ISBLANK($E$8)),0,IF($E$9&gt;60,0,IF($B81="","",IF(MOD($B81,5)=1,IF($J$30="!",0,1)*ROUND($F$28/'CC Tarifák'!$B$261*VLOOKUP(64-$E$9+1-$B81+1,'CC Tarifák'!$B$263:$AX$309,$E$9+$B81-1-18+2,0)*IF($E$47="Kizárás",1,1+$E$47),0),$M80))))</f>
        <v/>
      </c>
      <c r="N81" s="159"/>
      <c r="O81" s="159" t="str">
        <f ca="1">IF(OR(ISBLANK($F$28),ISBLANK($E$8)),0,IF($E$9&gt;55,0,IF($B81="","",IF(MOD($B81,10)=1,IF($L$30="!",0,1)*ROUND($F$28/'CC Tarifák'!$B$313*VLOOKUP(64-$E$9+1-$B81+1,'CC Tarifák'!$B$315:$AX$361,$E$9+$B81-1-18+2,0)*IF($E$47="Kizárás",1,1+$E$47),0),$O80))))</f>
        <v/>
      </c>
      <c r="P81" s="159"/>
      <c r="Q81" s="159" t="str">
        <f t="shared" ca="1" si="1"/>
        <v/>
      </c>
      <c r="R81" s="159"/>
      <c r="S81" s="158" t="str">
        <f ca="1">IF(OR(ISBLANK($F$28),ISBLANK($E$8)),0,IF($E$9&gt;64,0,IF($B81="","",IF($H$32="!",0,1)*ROUND($F$28/'CC Tarifák'!$B$417*VLOOKUP(64-$E$9+1-$B81+1,'CC Tarifák'!$B$419:$AX$465,$E$9+$B81-1-18+2,0)*IF($E$47="Kizárás",1,1+$E$47),0))))</f>
        <v/>
      </c>
      <c r="T81" s="158"/>
      <c r="U81" s="158" t="str">
        <f ca="1">IF(OR(ISBLANK($F$28),ISBLANK($E$8)),0,IF($E$9&gt;60,0,IF($B81="","",IF(MOD($B81,5)=1,IF($J$32="!",0,1)*ROUND($F$28/'CC Tarifák'!$B$469*VLOOKUP(64-$E$9+1-$B81+1,'CC Tarifák'!$B$471:$AX$517,$E$9+$B81-1-18+2,0)*IF($E$47="Kizárás",1,1+$E$47),0),$U80))))</f>
        <v/>
      </c>
      <c r="V81" s="158"/>
      <c r="W81" s="158" t="str">
        <f ca="1">IF(OR(ISBLANK($F$28),ISBLANK($E$8)),0,IF($E$9&gt;55,0,IF($B81="","",IF(MOD($B81,10)=1,IF($L$32="!",0,1)*ROUND($F$28/'CC Tarifák'!$B$521*VLOOKUP(64-$E$9+1-$B81+1,'CC Tarifák'!$B$523:$AX$569,$E$9+$B81-1-18+2,0)*IF($E$47="Kizárás",1,1+$E$47),0),$W80))))</f>
        <v/>
      </c>
      <c r="X81" s="158"/>
      <c r="Y81" s="158" t="str">
        <f t="shared" ca="1" si="2"/>
        <v/>
      </c>
      <c r="Z81" s="158"/>
    </row>
    <row r="82" spans="2:26" x14ac:dyDescent="0.25">
      <c r="B82" s="78" t="str">
        <f t="shared" ca="1" si="3"/>
        <v/>
      </c>
      <c r="C82" s="158" t="str">
        <f ca="1">IF(OR(ISBLANK($F$28),ISBLANK($E$8)),0,IF($E$9&gt;64,0,IF($B82="","",IF($H$28="!",0,1)*ROUND($F$28/'CC Tarifák'!$B$1*VLOOKUP(64-$E$9+1-$B82+1,'CC Tarifák'!$B$3:$AX$49,$E$9+$B82-1-18+2,0)*IF($E$47="Kizárás",1,1+$E$47),0))))</f>
        <v/>
      </c>
      <c r="D82" s="158"/>
      <c r="E82" s="158" t="str">
        <f ca="1">IF(OR(ISBLANK($F$28),ISBLANK($E$8)),0,IF($E$9&gt;60,0,IF($B82="","",IF(MOD($B82,5)=1,IF($J$28="!",0,1)*ROUND($F$28/'CC Tarifák'!$B$53*VLOOKUP(64-$E$9+1-$B82+1,'CC Tarifák'!$B$55:$AX$101,$E$9+$B82-1-18+2,0)*IF($E$47="Kizárás",1,1+$E$47),0),$E81))))</f>
        <v/>
      </c>
      <c r="F82" s="158"/>
      <c r="G82" s="158" t="str">
        <f ca="1">IF(OR(ISBLANK($F$28),ISBLANK($E$8)),0,IF($E$9&gt;55,0,IF($B82="","",IF(MOD($B82,10)=1,IF($L$28="!",0,1)*ROUND($F$28/'CC Tarifák'!$B$105*VLOOKUP(64-$E$9+1-$B82+1,'CC Tarifák'!$B$107:$AX$153,$E$9+$B82-1-18+2,0)*IF($E$47="Kizárás",1,1+$E$47),0),$G81))))</f>
        <v/>
      </c>
      <c r="H82" s="158"/>
      <c r="I82" s="158" t="str">
        <f t="shared" ca="1" si="0"/>
        <v/>
      </c>
      <c r="J82" s="158"/>
      <c r="K82" s="159" t="str">
        <f ca="1">IF(OR(ISBLANK($F$28),ISBLANK($E$8)),0,IF($E$9&gt;64,0,IF($B82="","",IF($H$30="!",0,1)*ROUND($F$28/'CC Tarifák'!$B$209*VLOOKUP(64-$E$9+1-$B82+1,'CC Tarifák'!$B$211:$AX$257,$E$9+$B82-1-18+2,0)*IF($E$47="Kizárás",1,1+$E$47),0))))</f>
        <v/>
      </c>
      <c r="L82" s="159"/>
      <c r="M82" s="159" t="str">
        <f ca="1">IF(OR(ISBLANK($F$28),ISBLANK($E$8)),0,IF($E$9&gt;60,0,IF($B82="","",IF(MOD($B82,5)=1,IF($J$30="!",0,1)*ROUND($F$28/'CC Tarifák'!$B$261*VLOOKUP(64-$E$9+1-$B82+1,'CC Tarifák'!$B$263:$AX$309,$E$9+$B82-1-18+2,0)*IF($E$47="Kizárás",1,1+$E$47),0),$M81))))</f>
        <v/>
      </c>
      <c r="N82" s="159"/>
      <c r="O82" s="159" t="str">
        <f ca="1">IF(OR(ISBLANK($F$28),ISBLANK($E$8)),0,IF($E$9&gt;55,0,IF($B82="","",IF(MOD($B82,10)=1,IF($L$30="!",0,1)*ROUND($F$28/'CC Tarifák'!$B$313*VLOOKUP(64-$E$9+1-$B82+1,'CC Tarifák'!$B$315:$AX$361,$E$9+$B82-1-18+2,0)*IF($E$47="Kizárás",1,1+$E$47),0),$O81))))</f>
        <v/>
      </c>
      <c r="P82" s="159"/>
      <c r="Q82" s="159" t="str">
        <f t="shared" ca="1" si="1"/>
        <v/>
      </c>
      <c r="R82" s="159"/>
      <c r="S82" s="158" t="str">
        <f ca="1">IF(OR(ISBLANK($F$28),ISBLANK($E$8)),0,IF($E$9&gt;64,0,IF($B82="","",IF($H$32="!",0,1)*ROUND($F$28/'CC Tarifák'!$B$417*VLOOKUP(64-$E$9+1-$B82+1,'CC Tarifák'!$B$419:$AX$465,$E$9+$B82-1-18+2,0)*IF($E$47="Kizárás",1,1+$E$47),0))))</f>
        <v/>
      </c>
      <c r="T82" s="158"/>
      <c r="U82" s="158" t="str">
        <f ca="1">IF(OR(ISBLANK($F$28),ISBLANK($E$8)),0,IF($E$9&gt;60,0,IF($B82="","",IF(MOD($B82,5)=1,IF($J$32="!",0,1)*ROUND($F$28/'CC Tarifák'!$B$469*VLOOKUP(64-$E$9+1-$B82+1,'CC Tarifák'!$B$471:$AX$517,$E$9+$B82-1-18+2,0)*IF($E$47="Kizárás",1,1+$E$47),0),$U81))))</f>
        <v/>
      </c>
      <c r="V82" s="158"/>
      <c r="W82" s="158" t="str">
        <f ca="1">IF(OR(ISBLANK($F$28),ISBLANK($E$8)),0,IF($E$9&gt;55,0,IF($B82="","",IF(MOD($B82,10)=1,IF($L$32="!",0,1)*ROUND($F$28/'CC Tarifák'!$B$521*VLOOKUP(64-$E$9+1-$B82+1,'CC Tarifák'!$B$523:$AX$569,$E$9+$B82-1-18+2,0)*IF($E$47="Kizárás",1,1+$E$47),0),$W81))))</f>
        <v/>
      </c>
      <c r="X82" s="158"/>
      <c r="Y82" s="158" t="str">
        <f t="shared" ca="1" si="2"/>
        <v/>
      </c>
      <c r="Z82" s="158"/>
    </row>
    <row r="83" spans="2:26" x14ac:dyDescent="0.25">
      <c r="B83" s="78" t="str">
        <f t="shared" ca="1" si="3"/>
        <v/>
      </c>
      <c r="C83" s="158" t="str">
        <f ca="1">IF(OR(ISBLANK($F$28),ISBLANK($E$8)),0,IF($E$9&gt;64,0,IF($B83="","",IF($H$28="!",0,1)*ROUND($F$28/'CC Tarifák'!$B$1*VLOOKUP(64-$E$9+1-$B83+1,'CC Tarifák'!$B$3:$AX$49,$E$9+$B83-1-18+2,0)*IF($E$47="Kizárás",1,1+$E$47),0))))</f>
        <v/>
      </c>
      <c r="D83" s="158"/>
      <c r="E83" s="158" t="str">
        <f ca="1">IF(OR(ISBLANK($F$28),ISBLANK($E$8)),0,IF($E$9&gt;60,0,IF($B83="","",IF(MOD($B83,5)=1,IF($J$28="!",0,1)*ROUND($F$28/'CC Tarifák'!$B$53*VLOOKUP(64-$E$9+1-$B83+1,'CC Tarifák'!$B$55:$AX$101,$E$9+$B83-1-18+2,0)*IF($E$47="Kizárás",1,1+$E$47),0),$E82))))</f>
        <v/>
      </c>
      <c r="F83" s="158"/>
      <c r="G83" s="158" t="str">
        <f ca="1">IF(OR(ISBLANK($F$28),ISBLANK($E$8)),0,IF($E$9&gt;55,0,IF($B83="","",IF(MOD($B83,10)=1,IF($L$28="!",0,1)*ROUND($F$28/'CC Tarifák'!$B$105*VLOOKUP(64-$E$9+1-$B83+1,'CC Tarifák'!$B$107:$AX$153,$E$9+$B83-1-18+2,0)*IF($E$47="Kizárás",1,1+$E$47),0),$G82))))</f>
        <v/>
      </c>
      <c r="H83" s="158"/>
      <c r="I83" s="158" t="str">
        <f t="shared" ca="1" si="0"/>
        <v/>
      </c>
      <c r="J83" s="158"/>
      <c r="K83" s="159" t="str">
        <f ca="1">IF(OR(ISBLANK($F$28),ISBLANK($E$8)),0,IF($E$9&gt;64,0,IF($B83="","",IF($H$30="!",0,1)*ROUND($F$28/'CC Tarifák'!$B$209*VLOOKUP(64-$E$9+1-$B83+1,'CC Tarifák'!$B$211:$AX$257,$E$9+$B83-1-18+2,0)*IF($E$47="Kizárás",1,1+$E$47),0))))</f>
        <v/>
      </c>
      <c r="L83" s="159"/>
      <c r="M83" s="159" t="str">
        <f ca="1">IF(OR(ISBLANK($F$28),ISBLANK($E$8)),0,IF($E$9&gt;60,0,IF($B83="","",IF(MOD($B83,5)=1,IF($J$30="!",0,1)*ROUND($F$28/'CC Tarifák'!$B$261*VLOOKUP(64-$E$9+1-$B83+1,'CC Tarifák'!$B$263:$AX$309,$E$9+$B83-1-18+2,0)*IF($E$47="Kizárás",1,1+$E$47),0),$M82))))</f>
        <v/>
      </c>
      <c r="N83" s="159"/>
      <c r="O83" s="159" t="str">
        <f ca="1">IF(OR(ISBLANK($F$28),ISBLANK($E$8)),0,IF($E$9&gt;55,0,IF($B83="","",IF(MOD($B83,10)=1,IF($L$30="!",0,1)*ROUND($F$28/'CC Tarifák'!$B$313*VLOOKUP(64-$E$9+1-$B83+1,'CC Tarifák'!$B$315:$AX$361,$E$9+$B83-1-18+2,0)*IF($E$47="Kizárás",1,1+$E$47),0),$O82))))</f>
        <v/>
      </c>
      <c r="P83" s="159"/>
      <c r="Q83" s="159" t="str">
        <f t="shared" ca="1" si="1"/>
        <v/>
      </c>
      <c r="R83" s="159"/>
      <c r="S83" s="158" t="str">
        <f ca="1">IF(OR(ISBLANK($F$28),ISBLANK($E$8)),0,IF($E$9&gt;64,0,IF($B83="","",IF($H$32="!",0,1)*ROUND($F$28/'CC Tarifák'!$B$417*VLOOKUP(64-$E$9+1-$B83+1,'CC Tarifák'!$B$419:$AX$465,$E$9+$B83-1-18+2,0)*IF($E$47="Kizárás",1,1+$E$47),0))))</f>
        <v/>
      </c>
      <c r="T83" s="158"/>
      <c r="U83" s="158" t="str">
        <f ca="1">IF(OR(ISBLANK($F$28),ISBLANK($E$8)),0,IF($E$9&gt;60,0,IF($B83="","",IF(MOD($B83,5)=1,IF($J$32="!",0,1)*ROUND($F$28/'CC Tarifák'!$B$469*VLOOKUP(64-$E$9+1-$B83+1,'CC Tarifák'!$B$471:$AX$517,$E$9+$B83-1-18+2,0)*IF($E$47="Kizárás",1,1+$E$47),0),$U82))))</f>
        <v/>
      </c>
      <c r="V83" s="158"/>
      <c r="W83" s="158" t="str">
        <f ca="1">IF(OR(ISBLANK($F$28),ISBLANK($E$8)),0,IF($E$9&gt;55,0,IF($B83="","",IF(MOD($B83,10)=1,IF($L$32="!",0,1)*ROUND($F$28/'CC Tarifák'!$B$521*VLOOKUP(64-$E$9+1-$B83+1,'CC Tarifák'!$B$523:$AX$569,$E$9+$B83-1-18+2,0)*IF($E$47="Kizárás",1,1+$E$47),0),$W82))))</f>
        <v/>
      </c>
      <c r="X83" s="158"/>
      <c r="Y83" s="158" t="str">
        <f t="shared" ca="1" si="2"/>
        <v/>
      </c>
      <c r="Z83" s="158"/>
    </row>
    <row r="84" spans="2:26" x14ac:dyDescent="0.25">
      <c r="B84" s="78" t="str">
        <f t="shared" ca="1" si="3"/>
        <v/>
      </c>
      <c r="C84" s="158" t="str">
        <f ca="1">IF(OR(ISBLANK($F$28),ISBLANK($E$8)),0,IF($E$9&gt;64,0,IF($B84="","",IF($H$28="!",0,1)*ROUND($F$28/'CC Tarifák'!$B$1*VLOOKUP(64-$E$9+1-$B84+1,'CC Tarifák'!$B$3:$AX$49,$E$9+$B84-1-18+2,0)*IF($E$47="Kizárás",1,1+$E$47),0))))</f>
        <v/>
      </c>
      <c r="D84" s="158"/>
      <c r="E84" s="158" t="str">
        <f ca="1">IF(OR(ISBLANK($F$28),ISBLANK($E$8)),0,IF($E$9&gt;60,0,IF($B84="","",IF(MOD($B84,5)=1,IF($J$28="!",0,1)*ROUND($F$28/'CC Tarifák'!$B$53*VLOOKUP(64-$E$9+1-$B84+1,'CC Tarifák'!$B$55:$AX$101,$E$9+$B84-1-18+2,0)*IF($E$47="Kizárás",1,1+$E$47),0),$E83))))</f>
        <v/>
      </c>
      <c r="F84" s="158"/>
      <c r="G84" s="158" t="str">
        <f ca="1">IF(OR(ISBLANK($F$28),ISBLANK($E$8)),0,IF($E$9&gt;55,0,IF($B84="","",IF(MOD($B84,10)=1,IF($L$28="!",0,1)*ROUND($F$28/'CC Tarifák'!$B$105*VLOOKUP(64-$E$9+1-$B84+1,'CC Tarifák'!$B$107:$AX$153,$E$9+$B84-1-18+2,0)*IF($E$47="Kizárás",1,1+$E$47),0),$G83))))</f>
        <v/>
      </c>
      <c r="H84" s="158"/>
      <c r="I84" s="158" t="str">
        <f t="shared" ca="1" si="0"/>
        <v/>
      </c>
      <c r="J84" s="158"/>
      <c r="K84" s="159" t="str">
        <f ca="1">IF(OR(ISBLANK($F$28),ISBLANK($E$8)),0,IF($E$9&gt;64,0,IF($B84="","",IF($H$30="!",0,1)*ROUND($F$28/'CC Tarifák'!$B$209*VLOOKUP(64-$E$9+1-$B84+1,'CC Tarifák'!$B$211:$AX$257,$E$9+$B84-1-18+2,0)*IF($E$47="Kizárás",1,1+$E$47),0))))</f>
        <v/>
      </c>
      <c r="L84" s="159"/>
      <c r="M84" s="159" t="str">
        <f ca="1">IF(OR(ISBLANK($F$28),ISBLANK($E$8)),0,IF($E$9&gt;60,0,IF($B84="","",IF(MOD($B84,5)=1,IF($J$30="!",0,1)*ROUND($F$28/'CC Tarifák'!$B$261*VLOOKUP(64-$E$9+1-$B84+1,'CC Tarifák'!$B$263:$AX$309,$E$9+$B84-1-18+2,0)*IF($E$47="Kizárás",1,1+$E$47),0),$M83))))</f>
        <v/>
      </c>
      <c r="N84" s="159"/>
      <c r="O84" s="159" t="str">
        <f ca="1">IF(OR(ISBLANK($F$28),ISBLANK($E$8)),0,IF($E$9&gt;55,0,IF($B84="","",IF(MOD($B84,10)=1,IF($L$30="!",0,1)*ROUND($F$28/'CC Tarifák'!$B$313*VLOOKUP(64-$E$9+1-$B84+1,'CC Tarifák'!$B$315:$AX$361,$E$9+$B84-1-18+2,0)*IF($E$47="Kizárás",1,1+$E$47),0),$O83))))</f>
        <v/>
      </c>
      <c r="P84" s="159"/>
      <c r="Q84" s="159" t="str">
        <f t="shared" ca="1" si="1"/>
        <v/>
      </c>
      <c r="R84" s="159"/>
      <c r="S84" s="158" t="str">
        <f ca="1">IF(OR(ISBLANK($F$28),ISBLANK($E$8)),0,IF($E$9&gt;64,0,IF($B84="","",IF($H$32="!",0,1)*ROUND($F$28/'CC Tarifák'!$B$417*VLOOKUP(64-$E$9+1-$B84+1,'CC Tarifák'!$B$419:$AX$465,$E$9+$B84-1-18+2,0)*IF($E$47="Kizárás",1,1+$E$47),0))))</f>
        <v/>
      </c>
      <c r="T84" s="158"/>
      <c r="U84" s="158" t="str">
        <f ca="1">IF(OR(ISBLANK($F$28),ISBLANK($E$8)),0,IF($E$9&gt;60,0,IF($B84="","",IF(MOD($B84,5)=1,IF($J$32="!",0,1)*ROUND($F$28/'CC Tarifák'!$B$469*VLOOKUP(64-$E$9+1-$B84+1,'CC Tarifák'!$B$471:$AX$517,$E$9+$B84-1-18+2,0)*IF($E$47="Kizárás",1,1+$E$47),0),$U83))))</f>
        <v/>
      </c>
      <c r="V84" s="158"/>
      <c r="W84" s="158" t="str">
        <f ca="1">IF(OR(ISBLANK($F$28),ISBLANK($E$8)),0,IF($E$9&gt;55,0,IF($B84="","",IF(MOD($B84,10)=1,IF($L$32="!",0,1)*ROUND($F$28/'CC Tarifák'!$B$521*VLOOKUP(64-$E$9+1-$B84+1,'CC Tarifák'!$B$523:$AX$569,$E$9+$B84-1-18+2,0)*IF($E$47="Kizárás",1,1+$E$47),0),$W83))))</f>
        <v/>
      </c>
      <c r="X84" s="158"/>
      <c r="Y84" s="158" t="str">
        <f t="shared" ca="1" si="2"/>
        <v/>
      </c>
      <c r="Z84" s="158"/>
    </row>
    <row r="85" spans="2:26" x14ac:dyDescent="0.25">
      <c r="B85" s="78" t="str">
        <f t="shared" ca="1" si="3"/>
        <v/>
      </c>
      <c r="C85" s="158" t="str">
        <f ca="1">IF(OR(ISBLANK($F$28),ISBLANK($E$8)),0,IF($E$9&gt;64,0,IF($B85="","",IF($H$28="!",0,1)*ROUND($F$28/'CC Tarifák'!$B$1*VLOOKUP(64-$E$9+1-$B85+1,'CC Tarifák'!$B$3:$AX$49,$E$9+$B85-1-18+2,0)*IF($E$47="Kizárás",1,1+$E$47),0))))</f>
        <v/>
      </c>
      <c r="D85" s="158"/>
      <c r="E85" s="158" t="str">
        <f ca="1">IF(OR(ISBLANK($F$28),ISBLANK($E$8)),0,IF($E$9&gt;60,0,IF($B85="","",IF(MOD($B85,5)=1,IF($J$28="!",0,1)*ROUND($F$28/'CC Tarifák'!$B$53*VLOOKUP(64-$E$9+1-$B85+1,'CC Tarifák'!$B$55:$AX$101,$E$9+$B85-1-18+2,0)*IF($E$47="Kizárás",1,1+$E$47),0),$E84))))</f>
        <v/>
      </c>
      <c r="F85" s="158"/>
      <c r="G85" s="158" t="str">
        <f ca="1">IF(OR(ISBLANK($F$28),ISBLANK($E$8)),0,IF($E$9&gt;55,0,IF($B85="","",IF(MOD($B85,10)=1,IF($L$28="!",0,1)*ROUND($F$28/'CC Tarifák'!$B$105*VLOOKUP(64-$E$9+1-$B85+1,'CC Tarifák'!$B$107:$AX$153,$E$9+$B85-1-18+2,0)*IF($E$47="Kizárás",1,1+$E$47),0),$G84))))</f>
        <v/>
      </c>
      <c r="H85" s="158"/>
      <c r="I85" s="158" t="str">
        <f t="shared" ca="1" si="0"/>
        <v/>
      </c>
      <c r="J85" s="158"/>
      <c r="K85" s="159" t="str">
        <f ca="1">IF(OR(ISBLANK($F$28),ISBLANK($E$8)),0,IF($E$9&gt;64,0,IF($B85="","",IF($H$30="!",0,1)*ROUND($F$28/'CC Tarifák'!$B$209*VLOOKUP(64-$E$9+1-$B85+1,'CC Tarifák'!$B$211:$AX$257,$E$9+$B85-1-18+2,0)*IF($E$47="Kizárás",1,1+$E$47),0))))</f>
        <v/>
      </c>
      <c r="L85" s="159"/>
      <c r="M85" s="159" t="str">
        <f ca="1">IF(OR(ISBLANK($F$28),ISBLANK($E$8)),0,IF($E$9&gt;60,0,IF($B85="","",IF(MOD($B85,5)=1,IF($J$30="!",0,1)*ROUND($F$28/'CC Tarifák'!$B$261*VLOOKUP(64-$E$9+1-$B85+1,'CC Tarifák'!$B$263:$AX$309,$E$9+$B85-1-18+2,0)*IF($E$47="Kizárás",1,1+$E$47),0),$M84))))</f>
        <v/>
      </c>
      <c r="N85" s="159"/>
      <c r="O85" s="159" t="str">
        <f ca="1">IF(OR(ISBLANK($F$28),ISBLANK($E$8)),0,IF($E$9&gt;55,0,IF($B85="","",IF(MOD($B85,10)=1,IF($L$30="!",0,1)*ROUND($F$28/'CC Tarifák'!$B$313*VLOOKUP(64-$E$9+1-$B85+1,'CC Tarifák'!$B$315:$AX$361,$E$9+$B85-1-18+2,0)*IF($E$47="Kizárás",1,1+$E$47),0),$O84))))</f>
        <v/>
      </c>
      <c r="P85" s="159"/>
      <c r="Q85" s="159" t="str">
        <f t="shared" ca="1" si="1"/>
        <v/>
      </c>
      <c r="R85" s="159"/>
      <c r="S85" s="158" t="str">
        <f ca="1">IF(OR(ISBLANK($F$28),ISBLANK($E$8)),0,IF($E$9&gt;64,0,IF($B85="","",IF($H$32="!",0,1)*ROUND($F$28/'CC Tarifák'!$B$417*VLOOKUP(64-$E$9+1-$B85+1,'CC Tarifák'!$B$419:$AX$465,$E$9+$B85-1-18+2,0)*IF($E$47="Kizárás",1,1+$E$47),0))))</f>
        <v/>
      </c>
      <c r="T85" s="158"/>
      <c r="U85" s="158" t="str">
        <f ca="1">IF(OR(ISBLANK($F$28),ISBLANK($E$8)),0,IF($E$9&gt;60,0,IF($B85="","",IF(MOD($B85,5)=1,IF($J$32="!",0,1)*ROUND($F$28/'CC Tarifák'!$B$469*VLOOKUP(64-$E$9+1-$B85+1,'CC Tarifák'!$B$471:$AX$517,$E$9+$B85-1-18+2,0)*IF($E$47="Kizárás",1,1+$E$47),0),$U84))))</f>
        <v/>
      </c>
      <c r="V85" s="158"/>
      <c r="W85" s="158" t="str">
        <f ca="1">IF(OR(ISBLANK($F$28),ISBLANK($E$8)),0,IF($E$9&gt;55,0,IF($B85="","",IF(MOD($B85,10)=1,IF($L$32="!",0,1)*ROUND($F$28/'CC Tarifák'!$B$521*VLOOKUP(64-$E$9+1-$B85+1,'CC Tarifák'!$B$523:$AX$569,$E$9+$B85-1-18+2,0)*IF($E$47="Kizárás",1,1+$E$47),0),$W84))))</f>
        <v/>
      </c>
      <c r="X85" s="158"/>
      <c r="Y85" s="158" t="str">
        <f t="shared" ca="1" si="2"/>
        <v/>
      </c>
      <c r="Z85" s="158"/>
    </row>
    <row r="86" spans="2:26" x14ac:dyDescent="0.25">
      <c r="B86" s="78" t="str">
        <f t="shared" ca="1" si="3"/>
        <v/>
      </c>
      <c r="C86" s="158" t="str">
        <f ca="1">IF(OR(ISBLANK($F$28),ISBLANK($E$8)),0,IF($E$9&gt;64,0,IF($B86="","",IF($H$28="!",0,1)*ROUND($F$28/'CC Tarifák'!$B$1*VLOOKUP(64-$E$9+1-$B86+1,'CC Tarifák'!$B$3:$AX$49,$E$9+$B86-1-18+2,0)*IF($E$47="Kizárás",1,1+$E$47),0))))</f>
        <v/>
      </c>
      <c r="D86" s="158"/>
      <c r="E86" s="158" t="str">
        <f ca="1">IF(OR(ISBLANK($F$28),ISBLANK($E$8)),0,IF($E$9&gt;60,0,IF($B86="","",IF(MOD($B86,5)=1,IF($J$28="!",0,1)*ROUND($F$28/'CC Tarifák'!$B$53*VLOOKUP(64-$E$9+1-$B86+1,'CC Tarifák'!$B$55:$AX$101,$E$9+$B86-1-18+2,0)*IF($E$47="Kizárás",1,1+$E$47),0),$E85))))</f>
        <v/>
      </c>
      <c r="F86" s="158"/>
      <c r="G86" s="158" t="str">
        <f ca="1">IF(OR(ISBLANK($F$28),ISBLANK($E$8)),0,IF($E$9&gt;55,0,IF($B86="","",IF(MOD($B86,10)=1,IF($L$28="!",0,1)*ROUND($F$28/'CC Tarifák'!$B$105*VLOOKUP(64-$E$9+1-$B86+1,'CC Tarifák'!$B$107:$AX$153,$E$9+$B86-1-18+2,0)*IF($E$47="Kizárás",1,1+$E$47),0),$G85))))</f>
        <v/>
      </c>
      <c r="H86" s="158"/>
      <c r="I86" s="158" t="str">
        <f t="shared" ca="1" si="0"/>
        <v/>
      </c>
      <c r="J86" s="158"/>
      <c r="K86" s="159" t="str">
        <f ca="1">IF(OR(ISBLANK($F$28),ISBLANK($E$8)),0,IF($E$9&gt;64,0,IF($B86="","",IF($H$30="!",0,1)*ROUND($F$28/'CC Tarifák'!$B$209*VLOOKUP(64-$E$9+1-$B86+1,'CC Tarifák'!$B$211:$AX$257,$E$9+$B86-1-18+2,0)*IF($E$47="Kizárás",1,1+$E$47),0))))</f>
        <v/>
      </c>
      <c r="L86" s="159"/>
      <c r="M86" s="159" t="str">
        <f ca="1">IF(OR(ISBLANK($F$28),ISBLANK($E$8)),0,IF($E$9&gt;60,0,IF($B86="","",IF(MOD($B86,5)=1,IF($J$30="!",0,1)*ROUND($F$28/'CC Tarifák'!$B$261*VLOOKUP(64-$E$9+1-$B86+1,'CC Tarifák'!$B$263:$AX$309,$E$9+$B86-1-18+2,0)*IF($E$47="Kizárás",1,1+$E$47),0),$M85))))</f>
        <v/>
      </c>
      <c r="N86" s="159"/>
      <c r="O86" s="159" t="str">
        <f ca="1">IF(OR(ISBLANK($F$28),ISBLANK($E$8)),0,IF($E$9&gt;55,0,IF($B86="","",IF(MOD($B86,10)=1,IF($L$30="!",0,1)*ROUND($F$28/'CC Tarifák'!$B$313*VLOOKUP(64-$E$9+1-$B86+1,'CC Tarifák'!$B$315:$AX$361,$E$9+$B86-1-18+2,0)*IF($E$47="Kizárás",1,1+$E$47),0),$O85))))</f>
        <v/>
      </c>
      <c r="P86" s="159"/>
      <c r="Q86" s="159" t="str">
        <f t="shared" ca="1" si="1"/>
        <v/>
      </c>
      <c r="R86" s="159"/>
      <c r="S86" s="158" t="str">
        <f ca="1">IF(OR(ISBLANK($F$28),ISBLANK($E$8)),0,IF($E$9&gt;64,0,IF($B86="","",IF($H$32="!",0,1)*ROUND($F$28/'CC Tarifák'!$B$417*VLOOKUP(64-$E$9+1-$B86+1,'CC Tarifák'!$B$419:$AX$465,$E$9+$B86-1-18+2,0)*IF($E$47="Kizárás",1,1+$E$47),0))))</f>
        <v/>
      </c>
      <c r="T86" s="158"/>
      <c r="U86" s="158" t="str">
        <f ca="1">IF(OR(ISBLANK($F$28),ISBLANK($E$8)),0,IF($E$9&gt;60,0,IF($B86="","",IF(MOD($B86,5)=1,IF($J$32="!",0,1)*ROUND($F$28/'CC Tarifák'!$B$469*VLOOKUP(64-$E$9+1-$B86+1,'CC Tarifák'!$B$471:$AX$517,$E$9+$B86-1-18+2,0)*IF($E$47="Kizárás",1,1+$E$47),0),$U85))))</f>
        <v/>
      </c>
      <c r="V86" s="158"/>
      <c r="W86" s="158" t="str">
        <f ca="1">IF(OR(ISBLANK($F$28),ISBLANK($E$8)),0,IF($E$9&gt;55,0,IF($B86="","",IF(MOD($B86,10)=1,IF($L$32="!",0,1)*ROUND($F$28/'CC Tarifák'!$B$521*VLOOKUP(64-$E$9+1-$B86+1,'CC Tarifák'!$B$523:$AX$569,$E$9+$B86-1-18+2,0)*IF($E$47="Kizárás",1,1+$E$47),0),$W85))))</f>
        <v/>
      </c>
      <c r="X86" s="158"/>
      <c r="Y86" s="158" t="str">
        <f t="shared" ca="1" si="2"/>
        <v/>
      </c>
      <c r="Z86" s="158"/>
    </row>
    <row r="87" spans="2:26" x14ac:dyDescent="0.25">
      <c r="B87" s="78" t="str">
        <f t="shared" ca="1" si="3"/>
        <v/>
      </c>
      <c r="C87" s="158" t="str">
        <f ca="1">IF(OR(ISBLANK($F$28),ISBLANK($E$8)),0,IF($E$9&gt;64,0,IF($B87="","",IF($H$28="!",0,1)*ROUND($F$28/'CC Tarifák'!$B$1*VLOOKUP(64-$E$9+1-$B87+1,'CC Tarifák'!$B$3:$AX$49,$E$9+$B87-1-18+2,0)*IF($E$47="Kizárás",1,1+$E$47),0))))</f>
        <v/>
      </c>
      <c r="D87" s="158"/>
      <c r="E87" s="158" t="str">
        <f ca="1">IF(OR(ISBLANK($F$28),ISBLANK($E$8)),0,IF($E$9&gt;60,0,IF($B87="","",IF(MOD($B87,5)=1,IF($J$28="!",0,1)*ROUND($F$28/'CC Tarifák'!$B$53*VLOOKUP(64-$E$9+1-$B87+1,'CC Tarifák'!$B$55:$AX$101,$E$9+$B87-1-18+2,0)*IF($E$47="Kizárás",1,1+$E$47),0),$E86))))</f>
        <v/>
      </c>
      <c r="F87" s="158"/>
      <c r="G87" s="158" t="str">
        <f ca="1">IF(OR(ISBLANK($F$28),ISBLANK($E$8)),0,IF($E$9&gt;55,0,IF($B87="","",IF(MOD($B87,10)=1,IF($L$28="!",0,1)*ROUND($F$28/'CC Tarifák'!$B$105*VLOOKUP(64-$E$9+1-$B87+1,'CC Tarifák'!$B$107:$AX$153,$E$9+$B87-1-18+2,0)*IF($E$47="Kizárás",1,1+$E$47),0),$G86))))</f>
        <v/>
      </c>
      <c r="H87" s="158"/>
      <c r="I87" s="158" t="str">
        <f t="shared" ca="1" si="0"/>
        <v/>
      </c>
      <c r="J87" s="158"/>
      <c r="K87" s="159" t="str">
        <f ca="1">IF(OR(ISBLANK($F$28),ISBLANK($E$8)),0,IF($E$9&gt;64,0,IF($B87="","",IF($H$30="!",0,1)*ROUND($F$28/'CC Tarifák'!$B$209*VLOOKUP(64-$E$9+1-$B87+1,'CC Tarifák'!$B$211:$AX$257,$E$9+$B87-1-18+2,0)*IF($E$47="Kizárás",1,1+$E$47),0))))</f>
        <v/>
      </c>
      <c r="L87" s="159"/>
      <c r="M87" s="159" t="str">
        <f ca="1">IF(OR(ISBLANK($F$28),ISBLANK($E$8)),0,IF($E$9&gt;60,0,IF($B87="","",IF(MOD($B87,5)=1,IF($J$30="!",0,1)*ROUND($F$28/'CC Tarifák'!$B$261*VLOOKUP(64-$E$9+1-$B87+1,'CC Tarifák'!$B$263:$AX$309,$E$9+$B87-1-18+2,0)*IF($E$47="Kizárás",1,1+$E$47),0),$M86))))</f>
        <v/>
      </c>
      <c r="N87" s="159"/>
      <c r="O87" s="159" t="str">
        <f ca="1">IF(OR(ISBLANK($F$28),ISBLANK($E$8)),0,IF($E$9&gt;55,0,IF($B87="","",IF(MOD($B87,10)=1,IF($L$30="!",0,1)*ROUND($F$28/'CC Tarifák'!$B$313*VLOOKUP(64-$E$9+1-$B87+1,'CC Tarifák'!$B$315:$AX$361,$E$9+$B87-1-18+2,0)*IF($E$47="Kizárás",1,1+$E$47),0),$O86))))</f>
        <v/>
      </c>
      <c r="P87" s="159"/>
      <c r="Q87" s="159" t="str">
        <f t="shared" ca="1" si="1"/>
        <v/>
      </c>
      <c r="R87" s="159"/>
      <c r="S87" s="158" t="str">
        <f ca="1">IF(OR(ISBLANK($F$28),ISBLANK($E$8)),0,IF($E$9&gt;64,0,IF($B87="","",IF($H$32="!",0,1)*ROUND($F$28/'CC Tarifák'!$B$417*VLOOKUP(64-$E$9+1-$B87+1,'CC Tarifák'!$B$419:$AX$465,$E$9+$B87-1-18+2,0)*IF($E$47="Kizárás",1,1+$E$47),0))))</f>
        <v/>
      </c>
      <c r="T87" s="158"/>
      <c r="U87" s="158" t="str">
        <f ca="1">IF(OR(ISBLANK($F$28),ISBLANK($E$8)),0,IF($E$9&gt;60,0,IF($B87="","",IF(MOD($B87,5)=1,IF($J$32="!",0,1)*ROUND($F$28/'CC Tarifák'!$B$469*VLOOKUP(64-$E$9+1-$B87+1,'CC Tarifák'!$B$471:$AX$517,$E$9+$B87-1-18+2,0)*IF($E$47="Kizárás",1,1+$E$47),0),$U86))))</f>
        <v/>
      </c>
      <c r="V87" s="158"/>
      <c r="W87" s="158" t="str">
        <f ca="1">IF(OR(ISBLANK($F$28),ISBLANK($E$8)),0,IF($E$9&gt;55,0,IF($B87="","",IF(MOD($B87,10)=1,IF($L$32="!",0,1)*ROUND($F$28/'CC Tarifák'!$B$521*VLOOKUP(64-$E$9+1-$B87+1,'CC Tarifák'!$B$523:$AX$569,$E$9+$B87-1-18+2,0)*IF($E$47="Kizárás",1,1+$E$47),0),$W86))))</f>
        <v/>
      </c>
      <c r="X87" s="158"/>
      <c r="Y87" s="158" t="str">
        <f t="shared" ca="1" si="2"/>
        <v/>
      </c>
      <c r="Z87" s="158"/>
    </row>
    <row r="88" spans="2:26" x14ac:dyDescent="0.25">
      <c r="B88" s="78" t="str">
        <f t="shared" ca="1" si="3"/>
        <v/>
      </c>
      <c r="C88" s="158" t="str">
        <f ca="1">IF(OR(ISBLANK($F$28),ISBLANK($E$8)),0,IF($E$9&gt;64,0,IF($B88="","",IF($H$28="!",0,1)*ROUND($F$28/'CC Tarifák'!$B$1*VLOOKUP(64-$E$9+1-$B88+1,'CC Tarifák'!$B$3:$AX$49,$E$9+$B88-1-18+2,0)*IF($E$47="Kizárás",1,1+$E$47),0))))</f>
        <v/>
      </c>
      <c r="D88" s="158"/>
      <c r="E88" s="158" t="str">
        <f ca="1">IF(OR(ISBLANK($F$28),ISBLANK($E$8)),0,IF($E$9&gt;60,0,IF($B88="","",IF(MOD($B88,5)=1,IF($J$28="!",0,1)*ROUND($F$28/'CC Tarifák'!$B$53*VLOOKUP(64-$E$9+1-$B88+1,'CC Tarifák'!$B$55:$AX$101,$E$9+$B88-1-18+2,0)*IF($E$47="Kizárás",1,1+$E$47),0),$E87))))</f>
        <v/>
      </c>
      <c r="F88" s="158"/>
      <c r="G88" s="158" t="str">
        <f ca="1">IF(OR(ISBLANK($F$28),ISBLANK($E$8)),0,IF($E$9&gt;55,0,IF($B88="","",IF(MOD($B88,10)=1,IF($L$28="!",0,1)*ROUND($F$28/'CC Tarifák'!$B$105*VLOOKUP(64-$E$9+1-$B88+1,'CC Tarifák'!$B$107:$AX$153,$E$9+$B88-1-18+2,0)*IF($E$47="Kizárás",1,1+$E$47),0),$G87))))</f>
        <v/>
      </c>
      <c r="H88" s="158"/>
      <c r="I88" s="158" t="str">
        <f t="shared" ca="1" si="0"/>
        <v/>
      </c>
      <c r="J88" s="158"/>
      <c r="K88" s="159" t="str">
        <f ca="1">IF(OR(ISBLANK($F$28),ISBLANK($E$8)),0,IF($E$9&gt;64,0,IF($B88="","",IF($H$30="!",0,1)*ROUND($F$28/'CC Tarifák'!$B$209*VLOOKUP(64-$E$9+1-$B88+1,'CC Tarifák'!$B$211:$AX$257,$E$9+$B88-1-18+2,0)*IF($E$47="Kizárás",1,1+$E$47),0))))</f>
        <v/>
      </c>
      <c r="L88" s="159"/>
      <c r="M88" s="159" t="str">
        <f ca="1">IF(OR(ISBLANK($F$28),ISBLANK($E$8)),0,IF($E$9&gt;60,0,IF($B88="","",IF(MOD($B88,5)=1,IF($J$30="!",0,1)*ROUND($F$28/'CC Tarifák'!$B$261*VLOOKUP(64-$E$9+1-$B88+1,'CC Tarifák'!$B$263:$AX$309,$E$9+$B88-1-18+2,0)*IF($E$47="Kizárás",1,1+$E$47),0),$M87))))</f>
        <v/>
      </c>
      <c r="N88" s="159"/>
      <c r="O88" s="159" t="str">
        <f ca="1">IF(OR(ISBLANK($F$28),ISBLANK($E$8)),0,IF($E$9&gt;55,0,IF($B88="","",IF(MOD($B88,10)=1,IF($L$30="!",0,1)*ROUND($F$28/'CC Tarifák'!$B$313*VLOOKUP(64-$E$9+1-$B88+1,'CC Tarifák'!$B$315:$AX$361,$E$9+$B88-1-18+2,0)*IF($E$47="Kizárás",1,1+$E$47),0),$O87))))</f>
        <v/>
      </c>
      <c r="P88" s="159"/>
      <c r="Q88" s="159" t="str">
        <f t="shared" ca="1" si="1"/>
        <v/>
      </c>
      <c r="R88" s="159"/>
      <c r="S88" s="158" t="str">
        <f ca="1">IF(OR(ISBLANK($F$28),ISBLANK($E$8)),0,IF($E$9&gt;64,0,IF($B88="","",IF($H$32="!",0,1)*ROUND($F$28/'CC Tarifák'!$B$417*VLOOKUP(64-$E$9+1-$B88+1,'CC Tarifák'!$B$419:$AX$465,$E$9+$B88-1-18+2,0)*IF($E$47="Kizárás",1,1+$E$47),0))))</f>
        <v/>
      </c>
      <c r="T88" s="158"/>
      <c r="U88" s="158" t="str">
        <f ca="1">IF(OR(ISBLANK($F$28),ISBLANK($E$8)),0,IF($E$9&gt;60,0,IF($B88="","",IF(MOD($B88,5)=1,IF($J$32="!",0,1)*ROUND($F$28/'CC Tarifák'!$B$469*VLOOKUP(64-$E$9+1-$B88+1,'CC Tarifák'!$B$471:$AX$517,$E$9+$B88-1-18+2,0)*IF($E$47="Kizárás",1,1+$E$47),0),$U87))))</f>
        <v/>
      </c>
      <c r="V88" s="158"/>
      <c r="W88" s="158" t="str">
        <f ca="1">IF(OR(ISBLANK($F$28),ISBLANK($E$8)),0,IF($E$9&gt;55,0,IF($B88="","",IF(MOD($B88,10)=1,IF($L$32="!",0,1)*ROUND($F$28/'CC Tarifák'!$B$521*VLOOKUP(64-$E$9+1-$B88+1,'CC Tarifák'!$B$523:$AX$569,$E$9+$B88-1-18+2,0)*IF($E$47="Kizárás",1,1+$E$47),0),$W87))))</f>
        <v/>
      </c>
      <c r="X88" s="158"/>
      <c r="Y88" s="158" t="str">
        <f t="shared" ca="1" si="2"/>
        <v/>
      </c>
      <c r="Z88" s="158"/>
    </row>
    <row r="89" spans="2:26" x14ac:dyDescent="0.25">
      <c r="B89" s="78" t="str">
        <f t="shared" ca="1" si="3"/>
        <v/>
      </c>
      <c r="C89" s="158" t="str">
        <f ca="1">IF(OR(ISBLANK($F$28),ISBLANK($E$8)),0,IF($E$9&gt;64,0,IF($B89="","",IF($H$28="!",0,1)*ROUND($F$28/'CC Tarifák'!$B$1*VLOOKUP(64-$E$9+1-$B89+1,'CC Tarifák'!$B$3:$AX$49,$E$9+$B89-1-18+2,0)*IF($E$47="Kizárás",1,1+$E$47),0))))</f>
        <v/>
      </c>
      <c r="D89" s="158"/>
      <c r="E89" s="158" t="str">
        <f ca="1">IF(OR(ISBLANK($F$28),ISBLANK($E$8)),0,IF($E$9&gt;60,0,IF($B89="","",IF(MOD($B89,5)=1,IF($J$28="!",0,1)*ROUND($F$28/'CC Tarifák'!$B$53*VLOOKUP(64-$E$9+1-$B89+1,'CC Tarifák'!$B$55:$AX$101,$E$9+$B89-1-18+2,0)*IF($E$47="Kizárás",1,1+$E$47),0),$E88))))</f>
        <v/>
      </c>
      <c r="F89" s="158"/>
      <c r="G89" s="158" t="str">
        <f ca="1">IF(OR(ISBLANK($F$28),ISBLANK($E$8)),0,IF($E$9&gt;55,0,IF($B89="","",IF(MOD($B89,10)=1,IF($L$28="!",0,1)*ROUND($F$28/'CC Tarifák'!$B$105*VLOOKUP(64-$E$9+1-$B89+1,'CC Tarifák'!$B$107:$AX$153,$E$9+$B89-1-18+2,0)*IF($E$47="Kizárás",1,1+$E$47),0),$G88))))</f>
        <v/>
      </c>
      <c r="H89" s="158"/>
      <c r="I89" s="158" t="str">
        <f t="shared" ca="1" si="0"/>
        <v/>
      </c>
      <c r="J89" s="158"/>
      <c r="K89" s="159" t="str">
        <f ca="1">IF(OR(ISBLANK($F$28),ISBLANK($E$8)),0,IF($E$9&gt;64,0,IF($B89="","",IF($H$30="!",0,1)*ROUND($F$28/'CC Tarifák'!$B$209*VLOOKUP(64-$E$9+1-$B89+1,'CC Tarifák'!$B$211:$AX$257,$E$9+$B89-1-18+2,0)*IF($E$47="Kizárás",1,1+$E$47),0))))</f>
        <v/>
      </c>
      <c r="L89" s="159"/>
      <c r="M89" s="159" t="str">
        <f ca="1">IF(OR(ISBLANK($F$28),ISBLANK($E$8)),0,IF($E$9&gt;60,0,IF($B89="","",IF(MOD($B89,5)=1,IF($J$30="!",0,1)*ROUND($F$28/'CC Tarifák'!$B$261*VLOOKUP(64-$E$9+1-$B89+1,'CC Tarifák'!$B$263:$AX$309,$E$9+$B89-1-18+2,0)*IF($E$47="Kizárás",1,1+$E$47),0),$M88))))</f>
        <v/>
      </c>
      <c r="N89" s="159"/>
      <c r="O89" s="159" t="str">
        <f ca="1">IF(OR(ISBLANK($F$28),ISBLANK($E$8)),0,IF($E$9&gt;55,0,IF($B89="","",IF(MOD($B89,10)=1,IF($L$30="!",0,1)*ROUND($F$28/'CC Tarifák'!$B$313*VLOOKUP(64-$E$9+1-$B89+1,'CC Tarifák'!$B$315:$AX$361,$E$9+$B89-1-18+2,0)*IF($E$47="Kizárás",1,1+$E$47),0),$O88))))</f>
        <v/>
      </c>
      <c r="P89" s="159"/>
      <c r="Q89" s="159" t="str">
        <f t="shared" ca="1" si="1"/>
        <v/>
      </c>
      <c r="R89" s="159"/>
      <c r="S89" s="158" t="str">
        <f ca="1">IF(OR(ISBLANK($F$28),ISBLANK($E$8)),0,IF($E$9&gt;64,0,IF($B89="","",IF($H$32="!",0,1)*ROUND($F$28/'CC Tarifák'!$B$417*VLOOKUP(64-$E$9+1-$B89+1,'CC Tarifák'!$B$419:$AX$465,$E$9+$B89-1-18+2,0)*IF($E$47="Kizárás",1,1+$E$47),0))))</f>
        <v/>
      </c>
      <c r="T89" s="158"/>
      <c r="U89" s="158" t="str">
        <f ca="1">IF(OR(ISBLANK($F$28),ISBLANK($E$8)),0,IF($E$9&gt;60,0,IF($B89="","",IF(MOD($B89,5)=1,IF($J$32="!",0,1)*ROUND($F$28/'CC Tarifák'!$B$469*VLOOKUP(64-$E$9+1-$B89+1,'CC Tarifák'!$B$471:$AX$517,$E$9+$B89-1-18+2,0)*IF($E$47="Kizárás",1,1+$E$47),0),$U88))))</f>
        <v/>
      </c>
      <c r="V89" s="158"/>
      <c r="W89" s="158" t="str">
        <f ca="1">IF(OR(ISBLANK($F$28),ISBLANK($E$8)),0,IF($E$9&gt;55,0,IF($B89="","",IF(MOD($B89,10)=1,IF($L$32="!",0,1)*ROUND($F$28/'CC Tarifák'!$B$521*VLOOKUP(64-$E$9+1-$B89+1,'CC Tarifák'!$B$523:$AX$569,$E$9+$B89-1-18+2,0)*IF($E$47="Kizárás",1,1+$E$47),0),$W88))))</f>
        <v/>
      </c>
      <c r="X89" s="158"/>
      <c r="Y89" s="158" t="str">
        <f t="shared" ca="1" si="2"/>
        <v/>
      </c>
      <c r="Z89" s="158"/>
    </row>
    <row r="90" spans="2:26" x14ac:dyDescent="0.25">
      <c r="B90" s="78" t="str">
        <f t="shared" ca="1" si="3"/>
        <v/>
      </c>
      <c r="C90" s="158" t="str">
        <f ca="1">IF(OR(ISBLANK($F$28),ISBLANK($E$8)),0,IF($E$9&gt;64,0,IF($B90="","",IF($H$28="!",0,1)*ROUND($F$28/'CC Tarifák'!$B$1*VLOOKUP(64-$E$9+1-$B90+1,'CC Tarifák'!$B$3:$AX$49,$E$9+$B90-1-18+2,0)*IF($E$47="Kizárás",1,1+$E$47),0))))</f>
        <v/>
      </c>
      <c r="D90" s="158"/>
      <c r="E90" s="158" t="str">
        <f ca="1">IF(OR(ISBLANK($F$28),ISBLANK($E$8)),0,IF($E$9&gt;60,0,IF($B90="","",IF(MOD($B90,5)=1,IF($J$28="!",0,1)*ROUND($F$28/'CC Tarifák'!$B$53*VLOOKUP(64-$E$9+1-$B90+1,'CC Tarifák'!$B$55:$AX$101,$E$9+$B90-1-18+2,0)*IF($E$47="Kizárás",1,1+$E$47),0),$E89))))</f>
        <v/>
      </c>
      <c r="F90" s="158"/>
      <c r="G90" s="158" t="str">
        <f ca="1">IF(OR(ISBLANK($F$28),ISBLANK($E$8)),0,IF($E$9&gt;55,0,IF($B90="","",IF(MOD($B90,10)=1,IF($L$28="!",0,1)*ROUND($F$28/'CC Tarifák'!$B$105*VLOOKUP(64-$E$9+1-$B90+1,'CC Tarifák'!$B$107:$AX$153,$E$9+$B90-1-18+2,0)*IF($E$47="Kizárás",1,1+$E$47),0),$G89))))</f>
        <v/>
      </c>
      <c r="H90" s="158"/>
      <c r="I90" s="158" t="str">
        <f t="shared" ca="1" si="0"/>
        <v/>
      </c>
      <c r="J90" s="158"/>
      <c r="K90" s="159" t="str">
        <f ca="1">IF(OR(ISBLANK($F$28),ISBLANK($E$8)),0,IF($E$9&gt;64,0,IF($B90="","",IF($H$30="!",0,1)*ROUND($F$28/'CC Tarifák'!$B$209*VLOOKUP(64-$E$9+1-$B90+1,'CC Tarifák'!$B$211:$AX$257,$E$9+$B90-1-18+2,0)*IF($E$47="Kizárás",1,1+$E$47),0))))</f>
        <v/>
      </c>
      <c r="L90" s="159"/>
      <c r="M90" s="159" t="str">
        <f ca="1">IF(OR(ISBLANK($F$28),ISBLANK($E$8)),0,IF($E$9&gt;60,0,IF($B90="","",IF(MOD($B90,5)=1,IF($J$30="!",0,1)*ROUND($F$28/'CC Tarifák'!$B$261*VLOOKUP(64-$E$9+1-$B90+1,'CC Tarifák'!$B$263:$AX$309,$E$9+$B90-1-18+2,0)*IF($E$47="Kizárás",1,1+$E$47),0),$M89))))</f>
        <v/>
      </c>
      <c r="N90" s="159"/>
      <c r="O90" s="159" t="str">
        <f ca="1">IF(OR(ISBLANK($F$28),ISBLANK($E$8)),0,IF($E$9&gt;55,0,IF($B90="","",IF(MOD($B90,10)=1,IF($L$30="!",0,1)*ROUND($F$28/'CC Tarifák'!$B$313*VLOOKUP(64-$E$9+1-$B90+1,'CC Tarifák'!$B$315:$AX$361,$E$9+$B90-1-18+2,0)*IF($E$47="Kizárás",1,1+$E$47),0),$O89))))</f>
        <v/>
      </c>
      <c r="P90" s="159"/>
      <c r="Q90" s="159" t="str">
        <f t="shared" ca="1" si="1"/>
        <v/>
      </c>
      <c r="R90" s="159"/>
      <c r="S90" s="158" t="str">
        <f ca="1">IF(OR(ISBLANK($F$28),ISBLANK($E$8)),0,IF($E$9&gt;64,0,IF($B90="","",IF($H$32="!",0,1)*ROUND($F$28/'CC Tarifák'!$B$417*VLOOKUP(64-$E$9+1-$B90+1,'CC Tarifák'!$B$419:$AX$465,$E$9+$B90-1-18+2,0)*IF($E$47="Kizárás",1,1+$E$47),0))))</f>
        <v/>
      </c>
      <c r="T90" s="158"/>
      <c r="U90" s="158" t="str">
        <f ca="1">IF(OR(ISBLANK($F$28),ISBLANK($E$8)),0,IF($E$9&gt;60,0,IF($B90="","",IF(MOD($B90,5)=1,IF($J$32="!",0,1)*ROUND($F$28/'CC Tarifák'!$B$469*VLOOKUP(64-$E$9+1-$B90+1,'CC Tarifák'!$B$471:$AX$517,$E$9+$B90-1-18+2,0)*IF($E$47="Kizárás",1,1+$E$47),0),$U89))))</f>
        <v/>
      </c>
      <c r="V90" s="158"/>
      <c r="W90" s="158" t="str">
        <f ca="1">IF(OR(ISBLANK($F$28),ISBLANK($E$8)),0,IF($E$9&gt;55,0,IF($B90="","",IF(MOD($B90,10)=1,IF($L$32="!",0,1)*ROUND($F$28/'CC Tarifák'!$B$521*VLOOKUP(64-$E$9+1-$B90+1,'CC Tarifák'!$B$523:$AX$569,$E$9+$B90-1-18+2,0)*IF($E$47="Kizárás",1,1+$E$47),0),$W89))))</f>
        <v/>
      </c>
      <c r="X90" s="158"/>
      <c r="Y90" s="158" t="str">
        <f t="shared" ca="1" si="2"/>
        <v/>
      </c>
      <c r="Z90" s="158"/>
    </row>
    <row r="91" spans="2:26" x14ac:dyDescent="0.25">
      <c r="B91" s="78" t="str">
        <f t="shared" ca="1" si="3"/>
        <v/>
      </c>
      <c r="C91" s="158" t="str">
        <f ca="1">IF(OR(ISBLANK($F$28),ISBLANK($E$8)),0,IF($E$9&gt;64,0,IF($B91="","",IF($H$28="!",0,1)*ROUND($F$28/'CC Tarifák'!$B$1*VLOOKUP(64-$E$9+1-$B91+1,'CC Tarifák'!$B$3:$AX$49,$E$9+$B91-1-18+2,0)*IF($E$47="Kizárás",1,1+$E$47),0))))</f>
        <v/>
      </c>
      <c r="D91" s="158"/>
      <c r="E91" s="158" t="str">
        <f ca="1">IF(OR(ISBLANK($F$28),ISBLANK($E$8)),0,IF($E$9&gt;60,0,IF($B91="","",IF(MOD($B91,5)=1,IF($J$28="!",0,1)*ROUND($F$28/'CC Tarifák'!$B$53*VLOOKUP(64-$E$9+1-$B91+1,'CC Tarifák'!$B$55:$AX$101,$E$9+$B91-1-18+2,0)*IF($E$47="Kizárás",1,1+$E$47),0),$E90))))</f>
        <v/>
      </c>
      <c r="F91" s="158"/>
      <c r="G91" s="158" t="str">
        <f ca="1">IF(OR(ISBLANK($F$28),ISBLANK($E$8)),0,IF($E$9&gt;55,0,IF($B91="","",IF(MOD($B91,10)=1,IF($L$28="!",0,1)*ROUND($F$28/'CC Tarifák'!$B$105*VLOOKUP(64-$E$9+1-$B91+1,'CC Tarifák'!$B$107:$AX$153,$E$9+$B91-1-18+2,0)*IF($E$47="Kizárás",1,1+$E$47),0),$G90))))</f>
        <v/>
      </c>
      <c r="H91" s="158"/>
      <c r="I91" s="158" t="str">
        <f t="shared" ca="1" si="0"/>
        <v/>
      </c>
      <c r="J91" s="158"/>
      <c r="K91" s="159" t="str">
        <f ca="1">IF(OR(ISBLANK($F$28),ISBLANK($E$8)),0,IF($E$9&gt;64,0,IF($B91="","",IF($H$30="!",0,1)*ROUND($F$28/'CC Tarifák'!$B$209*VLOOKUP(64-$E$9+1-$B91+1,'CC Tarifák'!$B$211:$AX$257,$E$9+$B91-1-18+2,0)*IF($E$47="Kizárás",1,1+$E$47),0))))</f>
        <v/>
      </c>
      <c r="L91" s="159"/>
      <c r="M91" s="159" t="str">
        <f ca="1">IF(OR(ISBLANK($F$28),ISBLANK($E$8)),0,IF($E$9&gt;60,0,IF($B91="","",IF(MOD($B91,5)=1,IF($J$30="!",0,1)*ROUND($F$28/'CC Tarifák'!$B$261*VLOOKUP(64-$E$9+1-$B91+1,'CC Tarifák'!$B$263:$AX$309,$E$9+$B91-1-18+2,0)*IF($E$47="Kizárás",1,1+$E$47),0),$M90))))</f>
        <v/>
      </c>
      <c r="N91" s="159"/>
      <c r="O91" s="159" t="str">
        <f ca="1">IF(OR(ISBLANK($F$28),ISBLANK($E$8)),0,IF($E$9&gt;55,0,IF($B91="","",IF(MOD($B91,10)=1,IF($L$30="!",0,1)*ROUND($F$28/'CC Tarifák'!$B$313*VLOOKUP(64-$E$9+1-$B91+1,'CC Tarifák'!$B$315:$AX$361,$E$9+$B91-1-18+2,0)*IF($E$47="Kizárás",1,1+$E$47),0),$O90))))</f>
        <v/>
      </c>
      <c r="P91" s="159"/>
      <c r="Q91" s="159" t="str">
        <f t="shared" ca="1" si="1"/>
        <v/>
      </c>
      <c r="R91" s="159"/>
      <c r="S91" s="158" t="str">
        <f ca="1">IF(OR(ISBLANK($F$28),ISBLANK($E$8)),0,IF($E$9&gt;64,0,IF($B91="","",IF($H$32="!",0,1)*ROUND($F$28/'CC Tarifák'!$B$417*VLOOKUP(64-$E$9+1-$B91+1,'CC Tarifák'!$B$419:$AX$465,$E$9+$B91-1-18+2,0)*IF($E$47="Kizárás",1,1+$E$47),0))))</f>
        <v/>
      </c>
      <c r="T91" s="158"/>
      <c r="U91" s="158" t="str">
        <f ca="1">IF(OR(ISBLANK($F$28),ISBLANK($E$8)),0,IF($E$9&gt;60,0,IF($B91="","",IF(MOD($B91,5)=1,IF($J$32="!",0,1)*ROUND($F$28/'CC Tarifák'!$B$469*VLOOKUP(64-$E$9+1-$B91+1,'CC Tarifák'!$B$471:$AX$517,$E$9+$B91-1-18+2,0)*IF($E$47="Kizárás",1,1+$E$47),0),$U90))))</f>
        <v/>
      </c>
      <c r="V91" s="158"/>
      <c r="W91" s="158" t="str">
        <f ca="1">IF(OR(ISBLANK($F$28),ISBLANK($E$8)),0,IF($E$9&gt;55,0,IF($B91="","",IF(MOD($B91,10)=1,IF($L$32="!",0,1)*ROUND($F$28/'CC Tarifák'!$B$521*VLOOKUP(64-$E$9+1-$B91+1,'CC Tarifák'!$B$523:$AX$569,$E$9+$B91-1-18+2,0)*IF($E$47="Kizárás",1,1+$E$47),0),$W90))))</f>
        <v/>
      </c>
      <c r="X91" s="158"/>
      <c r="Y91" s="158" t="str">
        <f t="shared" ca="1" si="2"/>
        <v/>
      </c>
      <c r="Z91" s="158"/>
    </row>
    <row r="92" spans="2:26" x14ac:dyDescent="0.25">
      <c r="B92" s="78" t="str">
        <f t="shared" ca="1" si="3"/>
        <v/>
      </c>
      <c r="C92" s="158" t="str">
        <f ca="1">IF(OR(ISBLANK($F$28),ISBLANK($E$8)),0,IF($E$9&gt;64,0,IF($B92="","",IF($H$28="!",0,1)*ROUND($F$28/'CC Tarifák'!$B$1*VLOOKUP(64-$E$9+1-$B92+1,'CC Tarifák'!$B$3:$AX$49,$E$9+$B92-1-18+2,0)*IF($E$47="Kizárás",1,1+$E$47),0))))</f>
        <v/>
      </c>
      <c r="D92" s="158"/>
      <c r="E92" s="158" t="str">
        <f ca="1">IF(OR(ISBLANK($F$28),ISBLANK($E$8)),0,IF($E$9&gt;60,0,IF($B92="","",IF(MOD($B92,5)=1,IF($J$28="!",0,1)*ROUND($F$28/'CC Tarifák'!$B$53*VLOOKUP(64-$E$9+1-$B92+1,'CC Tarifák'!$B$55:$AX$101,$E$9+$B92-1-18+2,0)*IF($E$47="Kizárás",1,1+$E$47),0),$E91))))</f>
        <v/>
      </c>
      <c r="F92" s="158"/>
      <c r="G92" s="158" t="str">
        <f ca="1">IF(OR(ISBLANK($F$28),ISBLANK($E$8)),0,IF($E$9&gt;55,0,IF($B92="","",IF(MOD($B92,10)=1,IF($L$28="!",0,1)*ROUND($F$28/'CC Tarifák'!$B$105*VLOOKUP(64-$E$9+1-$B92+1,'CC Tarifák'!$B$107:$AX$153,$E$9+$B92-1-18+2,0)*IF($E$47="Kizárás",1,1+$E$47),0),$G91))))</f>
        <v/>
      </c>
      <c r="H92" s="158"/>
      <c r="I92" s="158" t="str">
        <f t="shared" ca="1" si="0"/>
        <v/>
      </c>
      <c r="J92" s="158"/>
      <c r="K92" s="159" t="str">
        <f ca="1">IF(OR(ISBLANK($F$28),ISBLANK($E$8)),0,IF($E$9&gt;64,0,IF($B92="","",IF($H$30="!",0,1)*ROUND($F$28/'CC Tarifák'!$B$209*VLOOKUP(64-$E$9+1-$B92+1,'CC Tarifák'!$B$211:$AX$257,$E$9+$B92-1-18+2,0)*IF($E$47="Kizárás",1,1+$E$47),0))))</f>
        <v/>
      </c>
      <c r="L92" s="159"/>
      <c r="M92" s="159" t="str">
        <f ca="1">IF(OR(ISBLANK($F$28),ISBLANK($E$8)),0,IF($E$9&gt;60,0,IF($B92="","",IF(MOD($B92,5)=1,IF($J$30="!",0,1)*ROUND($F$28/'CC Tarifák'!$B$261*VLOOKUP(64-$E$9+1-$B92+1,'CC Tarifák'!$B$263:$AX$309,$E$9+$B92-1-18+2,0)*IF($E$47="Kizárás",1,1+$E$47),0),$M91))))</f>
        <v/>
      </c>
      <c r="N92" s="159"/>
      <c r="O92" s="159" t="str">
        <f ca="1">IF(OR(ISBLANK($F$28),ISBLANK($E$8)),0,IF($E$9&gt;55,0,IF($B92="","",IF(MOD($B92,10)=1,IF($L$30="!",0,1)*ROUND($F$28/'CC Tarifák'!$B$313*VLOOKUP(64-$E$9+1-$B92+1,'CC Tarifák'!$B$315:$AX$361,$E$9+$B92-1-18+2,0)*IF($E$47="Kizárás",1,1+$E$47),0),$O91))))</f>
        <v/>
      </c>
      <c r="P92" s="159"/>
      <c r="Q92" s="159" t="str">
        <f t="shared" ca="1" si="1"/>
        <v/>
      </c>
      <c r="R92" s="159"/>
      <c r="S92" s="158" t="str">
        <f ca="1">IF(OR(ISBLANK($F$28),ISBLANK($E$8)),0,IF($E$9&gt;64,0,IF($B92="","",IF($H$32="!",0,1)*ROUND($F$28/'CC Tarifák'!$B$417*VLOOKUP(64-$E$9+1-$B92+1,'CC Tarifák'!$B$419:$AX$465,$E$9+$B92-1-18+2,0)*IF($E$47="Kizárás",1,1+$E$47),0))))</f>
        <v/>
      </c>
      <c r="T92" s="158"/>
      <c r="U92" s="158" t="str">
        <f ca="1">IF(OR(ISBLANK($F$28),ISBLANK($E$8)),0,IF($E$9&gt;60,0,IF($B92="","",IF(MOD($B92,5)=1,IF($J$32="!",0,1)*ROUND($F$28/'CC Tarifák'!$B$469*VLOOKUP(64-$E$9+1-$B92+1,'CC Tarifák'!$B$471:$AX$517,$E$9+$B92-1-18+2,0)*IF($E$47="Kizárás",1,1+$E$47),0),$U91))))</f>
        <v/>
      </c>
      <c r="V92" s="158"/>
      <c r="W92" s="158" t="str">
        <f ca="1">IF(OR(ISBLANK($F$28),ISBLANK($E$8)),0,IF($E$9&gt;55,0,IF($B92="","",IF(MOD($B92,10)=1,IF($L$32="!",0,1)*ROUND($F$28/'CC Tarifák'!$B$521*VLOOKUP(64-$E$9+1-$B92+1,'CC Tarifák'!$B$523:$AX$569,$E$9+$B92-1-18+2,0)*IF($E$47="Kizárás",1,1+$E$47),0),$W91))))</f>
        <v/>
      </c>
      <c r="X92" s="158"/>
      <c r="Y92" s="158" t="str">
        <f t="shared" ca="1" si="2"/>
        <v/>
      </c>
      <c r="Z92" s="158"/>
    </row>
    <row r="93" spans="2:26" x14ac:dyDescent="0.25">
      <c r="B93" s="78" t="str">
        <f t="shared" ca="1" si="3"/>
        <v/>
      </c>
      <c r="C93" s="158" t="str">
        <f ca="1">IF(OR(ISBLANK($F$28),ISBLANK($E$8)),0,IF($E$9&gt;64,0,IF($B93="","",IF($H$28="!",0,1)*ROUND($F$28/'CC Tarifák'!$B$1*VLOOKUP(64-$E$9+1-$B93+1,'CC Tarifák'!$B$3:$AX$49,$E$9+$B93-1-18+2,0)*IF($E$47="Kizárás",1,1+$E$47),0))))</f>
        <v/>
      </c>
      <c r="D93" s="158"/>
      <c r="E93" s="158" t="str">
        <f ca="1">IF(OR(ISBLANK($F$28),ISBLANK($E$8)),0,IF($E$9&gt;60,0,IF($B93="","",IF(MOD($B93,5)=1,IF($J$28="!",0,1)*ROUND($F$28/'CC Tarifák'!$B$53*VLOOKUP(64-$E$9+1-$B93+1,'CC Tarifák'!$B$55:$AX$101,$E$9+$B93-1-18+2,0)*IF($E$47="Kizárás",1,1+$E$47),0),$E92))))</f>
        <v/>
      </c>
      <c r="F93" s="158"/>
      <c r="G93" s="158" t="str">
        <f ca="1">IF(OR(ISBLANK($F$28),ISBLANK($E$8)),0,IF($E$9&gt;55,0,IF($B93="","",IF(MOD($B93,10)=1,IF($L$28="!",0,1)*ROUND($F$28/'CC Tarifák'!$B$105*VLOOKUP(64-$E$9+1-$B93+1,'CC Tarifák'!$B$107:$AX$153,$E$9+$B93-1-18+2,0)*IF($E$47="Kizárás",1,1+$E$47),0),$G92))))</f>
        <v/>
      </c>
      <c r="H93" s="158"/>
      <c r="I93" s="158" t="str">
        <f t="shared" ca="1" si="0"/>
        <v/>
      </c>
      <c r="J93" s="158"/>
      <c r="K93" s="159" t="str">
        <f ca="1">IF(OR(ISBLANK($F$28),ISBLANK($E$8)),0,IF($E$9&gt;64,0,IF($B93="","",IF($H$30="!",0,1)*ROUND($F$28/'CC Tarifák'!$B$209*VLOOKUP(64-$E$9+1-$B93+1,'CC Tarifák'!$B$211:$AX$257,$E$9+$B93-1-18+2,0)*IF($E$47="Kizárás",1,1+$E$47),0))))</f>
        <v/>
      </c>
      <c r="L93" s="159"/>
      <c r="M93" s="159" t="str">
        <f ca="1">IF(OR(ISBLANK($F$28),ISBLANK($E$8)),0,IF($E$9&gt;60,0,IF($B93="","",IF(MOD($B93,5)=1,IF($J$30="!",0,1)*ROUND($F$28/'CC Tarifák'!$B$261*VLOOKUP(64-$E$9+1-$B93+1,'CC Tarifák'!$B$263:$AX$309,$E$9+$B93-1-18+2,0)*IF($E$47="Kizárás",1,1+$E$47),0),$M92))))</f>
        <v/>
      </c>
      <c r="N93" s="159"/>
      <c r="O93" s="159" t="str">
        <f ca="1">IF(OR(ISBLANK($F$28),ISBLANK($E$8)),0,IF($E$9&gt;55,0,IF($B93="","",IF(MOD($B93,10)=1,IF($L$30="!",0,1)*ROUND($F$28/'CC Tarifák'!$B$313*VLOOKUP(64-$E$9+1-$B93+1,'CC Tarifák'!$B$315:$AX$361,$E$9+$B93-1-18+2,0)*IF($E$47="Kizárás",1,1+$E$47),0),$O92))))</f>
        <v/>
      </c>
      <c r="P93" s="159"/>
      <c r="Q93" s="159" t="str">
        <f t="shared" ca="1" si="1"/>
        <v/>
      </c>
      <c r="R93" s="159"/>
      <c r="S93" s="158" t="str">
        <f ca="1">IF(OR(ISBLANK($F$28),ISBLANK($E$8)),0,IF($E$9&gt;64,0,IF($B93="","",IF($H$32="!",0,1)*ROUND($F$28/'CC Tarifák'!$B$417*VLOOKUP(64-$E$9+1-$B93+1,'CC Tarifák'!$B$419:$AX$465,$E$9+$B93-1-18+2,0)*IF($E$47="Kizárás",1,1+$E$47),0))))</f>
        <v/>
      </c>
      <c r="T93" s="158"/>
      <c r="U93" s="158" t="str">
        <f ca="1">IF(OR(ISBLANK($F$28),ISBLANK($E$8)),0,IF($E$9&gt;60,0,IF($B93="","",IF(MOD($B93,5)=1,IF($J$32="!",0,1)*ROUND($F$28/'CC Tarifák'!$B$469*VLOOKUP(64-$E$9+1-$B93+1,'CC Tarifák'!$B$471:$AX$517,$E$9+$B93-1-18+2,0)*IF($E$47="Kizárás",1,1+$E$47),0),$U92))))</f>
        <v/>
      </c>
      <c r="V93" s="158"/>
      <c r="W93" s="158" t="str">
        <f ca="1">IF(OR(ISBLANK($F$28),ISBLANK($E$8)),0,IF($E$9&gt;55,0,IF($B93="","",IF(MOD($B93,10)=1,IF($L$32="!",0,1)*ROUND($F$28/'CC Tarifák'!$B$521*VLOOKUP(64-$E$9+1-$B93+1,'CC Tarifák'!$B$523:$AX$569,$E$9+$B93-1-18+2,0)*IF($E$47="Kizárás",1,1+$E$47),0),$W92))))</f>
        <v/>
      </c>
      <c r="X93" s="158"/>
      <c r="Y93" s="158" t="str">
        <f t="shared" ca="1" si="2"/>
        <v/>
      </c>
      <c r="Z93" s="158"/>
    </row>
    <row r="94" spans="2:26" x14ac:dyDescent="0.25">
      <c r="B94" s="78" t="str">
        <f t="shared" ca="1" si="3"/>
        <v/>
      </c>
      <c r="C94" s="158" t="str">
        <f ca="1">IF(OR(ISBLANK($F$28),ISBLANK($E$8)),0,IF($E$9&gt;64,0,IF($B94="","",IF($H$28="!",0,1)*ROUND($F$28/'CC Tarifák'!$B$1*VLOOKUP(64-$E$9+1-$B94+1,'CC Tarifák'!$B$3:$AX$49,$E$9+$B94-1-18+2,0)*IF($E$47="Kizárás",1,1+$E$47),0))))</f>
        <v/>
      </c>
      <c r="D94" s="158"/>
      <c r="E94" s="158" t="str">
        <f ca="1">IF(OR(ISBLANK($F$28),ISBLANK($E$8)),0,IF($E$9&gt;60,0,IF($B94="","",IF(MOD($B94,5)=1,IF($J$28="!",0,1)*ROUND($F$28/'CC Tarifák'!$B$53*VLOOKUP(64-$E$9+1-$B94+1,'CC Tarifák'!$B$55:$AX$101,$E$9+$B94-1-18+2,0)*IF($E$47="Kizárás",1,1+$E$47),0),$E93))))</f>
        <v/>
      </c>
      <c r="F94" s="158"/>
      <c r="G94" s="158" t="str">
        <f ca="1">IF(OR(ISBLANK($F$28),ISBLANK($E$8)),0,IF($E$9&gt;55,0,IF($B94="","",IF(MOD($B94,10)=1,IF($L$28="!",0,1)*ROUND($F$28/'CC Tarifák'!$B$105*VLOOKUP(64-$E$9+1-$B94+1,'CC Tarifák'!$B$107:$AX$153,$E$9+$B94-1-18+2,0)*IF($E$47="Kizárás",1,1+$E$47),0),$G93))))</f>
        <v/>
      </c>
      <c r="H94" s="158"/>
      <c r="I94" s="158" t="str">
        <f t="shared" ca="1" si="0"/>
        <v/>
      </c>
      <c r="J94" s="158"/>
      <c r="K94" s="159" t="str">
        <f ca="1">IF(OR(ISBLANK($F$28),ISBLANK($E$8)),0,IF($E$9&gt;64,0,IF($B94="","",IF($H$30="!",0,1)*ROUND($F$28/'CC Tarifák'!$B$209*VLOOKUP(64-$E$9+1-$B94+1,'CC Tarifák'!$B$211:$AX$257,$E$9+$B94-1-18+2,0)*IF($E$47="Kizárás",1,1+$E$47),0))))</f>
        <v/>
      </c>
      <c r="L94" s="159"/>
      <c r="M94" s="159" t="str">
        <f ca="1">IF(OR(ISBLANK($F$28),ISBLANK($E$8)),0,IF($E$9&gt;60,0,IF($B94="","",IF(MOD($B94,5)=1,IF($J$30="!",0,1)*ROUND($F$28/'CC Tarifák'!$B$261*VLOOKUP(64-$E$9+1-$B94+1,'CC Tarifák'!$B$263:$AX$309,$E$9+$B94-1-18+2,0)*IF($E$47="Kizárás",1,1+$E$47),0),$M93))))</f>
        <v/>
      </c>
      <c r="N94" s="159"/>
      <c r="O94" s="159" t="str">
        <f ca="1">IF(OR(ISBLANK($F$28),ISBLANK($E$8)),0,IF($E$9&gt;55,0,IF($B94="","",IF(MOD($B94,10)=1,IF($L$30="!",0,1)*ROUND($F$28/'CC Tarifák'!$B$313*VLOOKUP(64-$E$9+1-$B94+1,'CC Tarifák'!$B$315:$AX$361,$E$9+$B94-1-18+2,0)*IF($E$47="Kizárás",1,1+$E$47),0),$O93))))</f>
        <v/>
      </c>
      <c r="P94" s="159"/>
      <c r="Q94" s="159" t="str">
        <f t="shared" ca="1" si="1"/>
        <v/>
      </c>
      <c r="R94" s="159"/>
      <c r="S94" s="158" t="str">
        <f ca="1">IF(OR(ISBLANK($F$28),ISBLANK($E$8)),0,IF($E$9&gt;64,0,IF($B94="","",IF($H$32="!",0,1)*ROUND($F$28/'CC Tarifák'!$B$417*VLOOKUP(64-$E$9+1-$B94+1,'CC Tarifák'!$B$419:$AX$465,$E$9+$B94-1-18+2,0)*IF($E$47="Kizárás",1,1+$E$47),0))))</f>
        <v/>
      </c>
      <c r="T94" s="158"/>
      <c r="U94" s="158" t="str">
        <f ca="1">IF(OR(ISBLANK($F$28),ISBLANK($E$8)),0,IF($E$9&gt;60,0,IF($B94="","",IF(MOD($B94,5)=1,IF($J$32="!",0,1)*ROUND($F$28/'CC Tarifák'!$B$469*VLOOKUP(64-$E$9+1-$B94+1,'CC Tarifák'!$B$471:$AX$517,$E$9+$B94-1-18+2,0)*IF($E$47="Kizárás",1,1+$E$47),0),$U93))))</f>
        <v/>
      </c>
      <c r="V94" s="158"/>
      <c r="W94" s="158" t="str">
        <f ca="1">IF(OR(ISBLANK($F$28),ISBLANK($E$8)),0,IF($E$9&gt;55,0,IF($B94="","",IF(MOD($B94,10)=1,IF($L$32="!",0,1)*ROUND($F$28/'CC Tarifák'!$B$521*VLOOKUP(64-$E$9+1-$B94+1,'CC Tarifák'!$B$523:$AX$569,$E$9+$B94-1-18+2,0)*IF($E$47="Kizárás",1,1+$E$47),0),$W93))))</f>
        <v/>
      </c>
      <c r="X94" s="158"/>
      <c r="Y94" s="158" t="str">
        <f t="shared" ca="1" si="2"/>
        <v/>
      </c>
      <c r="Z94" s="158"/>
    </row>
    <row r="95" spans="2:26" x14ac:dyDescent="0.25">
      <c r="B95" s="78" t="str">
        <f t="shared" ca="1" si="3"/>
        <v/>
      </c>
      <c r="C95" s="158" t="str">
        <f ca="1">IF(OR(ISBLANK($F$28),ISBLANK($E$8)),0,IF($E$9&gt;64,0,IF($B95="","",IF($H$28="!",0,1)*ROUND($F$28/'CC Tarifák'!$B$1*VLOOKUP(64-$E$9+1-$B95+1,'CC Tarifák'!$B$3:$AX$49,$E$9+$B95-1-18+2,0)*IF($E$47="Kizárás",1,1+$E$47),0))))</f>
        <v/>
      </c>
      <c r="D95" s="158"/>
      <c r="E95" s="158" t="str">
        <f ca="1">IF(OR(ISBLANK($F$28),ISBLANK($E$8)),0,IF($E$9&gt;60,0,IF($B95="","",IF(MOD($B95,5)=1,IF($J$28="!",0,1)*ROUND($F$28/'CC Tarifák'!$B$53*VLOOKUP(64-$E$9+1-$B95+1,'CC Tarifák'!$B$55:$AX$101,$E$9+$B95-1-18+2,0)*IF($E$47="Kizárás",1,1+$E$47),0),$E94))))</f>
        <v/>
      </c>
      <c r="F95" s="158"/>
      <c r="G95" s="158" t="str">
        <f ca="1">IF(OR(ISBLANK($F$28),ISBLANK($E$8)),0,IF($E$9&gt;55,0,IF($B95="","",IF(MOD($B95,10)=1,IF($L$28="!",0,1)*ROUND($F$28/'CC Tarifák'!$B$105*VLOOKUP(64-$E$9+1-$B95+1,'CC Tarifák'!$B$107:$AX$153,$E$9+$B95-1-18+2,0)*IF($E$47="Kizárás",1,1+$E$47),0),$G94))))</f>
        <v/>
      </c>
      <c r="H95" s="158"/>
      <c r="I95" s="158" t="str">
        <f t="shared" ca="1" si="0"/>
        <v/>
      </c>
      <c r="J95" s="158"/>
      <c r="K95" s="159" t="str">
        <f ca="1">IF(OR(ISBLANK($F$28),ISBLANK($E$8)),0,IF($E$9&gt;64,0,IF($B95="","",IF($H$30="!",0,1)*ROUND($F$28/'CC Tarifák'!$B$209*VLOOKUP(64-$E$9+1-$B95+1,'CC Tarifák'!$B$211:$AX$257,$E$9+$B95-1-18+2,0)*IF($E$47="Kizárás",1,1+$E$47),0))))</f>
        <v/>
      </c>
      <c r="L95" s="159"/>
      <c r="M95" s="159" t="str">
        <f ca="1">IF(OR(ISBLANK($F$28),ISBLANK($E$8)),0,IF($E$9&gt;60,0,IF($B95="","",IF(MOD($B95,5)=1,IF($J$30="!",0,1)*ROUND($F$28/'CC Tarifák'!$B$261*VLOOKUP(64-$E$9+1-$B95+1,'CC Tarifák'!$B$263:$AX$309,$E$9+$B95-1-18+2,0)*IF($E$47="Kizárás",1,1+$E$47),0),$M94))))</f>
        <v/>
      </c>
      <c r="N95" s="159"/>
      <c r="O95" s="159" t="str">
        <f ca="1">IF(OR(ISBLANK($F$28),ISBLANK($E$8)),0,IF($E$9&gt;55,0,IF($B95="","",IF(MOD($B95,10)=1,IF($L$30="!",0,1)*ROUND($F$28/'CC Tarifák'!$B$313*VLOOKUP(64-$E$9+1-$B95+1,'CC Tarifák'!$B$315:$AX$361,$E$9+$B95-1-18+2,0)*IF($E$47="Kizárás",1,1+$E$47),0),$O94))))</f>
        <v/>
      </c>
      <c r="P95" s="159"/>
      <c r="Q95" s="159" t="str">
        <f t="shared" ca="1" si="1"/>
        <v/>
      </c>
      <c r="R95" s="159"/>
      <c r="S95" s="158" t="str">
        <f ca="1">IF(OR(ISBLANK($F$28),ISBLANK($E$8)),0,IF($E$9&gt;64,0,IF($B95="","",IF($H$32="!",0,1)*ROUND($F$28/'CC Tarifák'!$B$417*VLOOKUP(64-$E$9+1-$B95+1,'CC Tarifák'!$B$419:$AX$465,$E$9+$B95-1-18+2,0)*IF($E$47="Kizárás",1,1+$E$47),0))))</f>
        <v/>
      </c>
      <c r="T95" s="158"/>
      <c r="U95" s="158" t="str">
        <f ca="1">IF(OR(ISBLANK($F$28),ISBLANK($E$8)),0,IF($E$9&gt;60,0,IF($B95="","",IF(MOD($B95,5)=1,IF($J$32="!",0,1)*ROUND($F$28/'CC Tarifák'!$B$469*VLOOKUP(64-$E$9+1-$B95+1,'CC Tarifák'!$B$471:$AX$517,$E$9+$B95-1-18+2,0)*IF($E$47="Kizárás",1,1+$E$47),0),$U94))))</f>
        <v/>
      </c>
      <c r="V95" s="158"/>
      <c r="W95" s="158" t="str">
        <f ca="1">IF(OR(ISBLANK($F$28),ISBLANK($E$8)),0,IF($E$9&gt;55,0,IF($B95="","",IF(MOD($B95,10)=1,IF($L$32="!",0,1)*ROUND($F$28/'CC Tarifák'!$B$521*VLOOKUP(64-$E$9+1-$B95+1,'CC Tarifák'!$B$523:$AX$569,$E$9+$B95-1-18+2,0)*IF($E$47="Kizárás",1,1+$E$47),0),$W94))))</f>
        <v/>
      </c>
      <c r="X95" s="158"/>
      <c r="Y95" s="158" t="str">
        <f t="shared" ca="1" si="2"/>
        <v/>
      </c>
      <c r="Z95" s="158"/>
    </row>
    <row r="96" spans="2:26" x14ac:dyDescent="0.25">
      <c r="B96" s="78" t="str">
        <f t="shared" ca="1" si="3"/>
        <v/>
      </c>
      <c r="C96" s="158" t="str">
        <f ca="1">IF(OR(ISBLANK($F$28),ISBLANK($E$8)),0,IF($E$9&gt;64,0,IF($B96="","",IF($H$28="!",0,1)*ROUND($F$28/'CC Tarifák'!$B$1*VLOOKUP(64-$E$9+1-$B96+1,'CC Tarifák'!$B$3:$AX$49,$E$9+$B96-1-18+2,0)*IF($E$47="Kizárás",1,1+$E$47),0))))</f>
        <v/>
      </c>
      <c r="D96" s="158"/>
      <c r="E96" s="158" t="str">
        <f ca="1">IF(OR(ISBLANK($F$28),ISBLANK($E$8)),0,IF($E$9&gt;60,0,IF($B96="","",IF(MOD($B96,5)=1,IF($J$28="!",0,1)*ROUND($F$28/'CC Tarifák'!$B$53*VLOOKUP(64-$E$9+1-$B96+1,'CC Tarifák'!$B$55:$AX$101,$E$9+$B96-1-18+2,0)*IF($E$47="Kizárás",1,1+$E$47),0),$E95))))</f>
        <v/>
      </c>
      <c r="F96" s="158"/>
      <c r="G96" s="158" t="str">
        <f ca="1">IF(OR(ISBLANK($F$28),ISBLANK($E$8)),0,IF($E$9&gt;55,0,IF($B96="","",IF(MOD($B96,10)=1,IF($L$28="!",0,1)*ROUND($F$28/'CC Tarifák'!$B$105*VLOOKUP(64-$E$9+1-$B96+1,'CC Tarifák'!$B$107:$AX$153,$E$9+$B96-1-18+2,0)*IF($E$47="Kizárás",1,1+$E$47),0),$G95))))</f>
        <v/>
      </c>
      <c r="H96" s="158"/>
      <c r="I96" s="158" t="str">
        <f t="shared" ca="1" si="0"/>
        <v/>
      </c>
      <c r="J96" s="158"/>
      <c r="K96" s="159" t="str">
        <f ca="1">IF(OR(ISBLANK($F$28),ISBLANK($E$8)),0,IF($E$9&gt;64,0,IF($B96="","",IF($H$30="!",0,1)*ROUND($F$28/'CC Tarifák'!$B$209*VLOOKUP(64-$E$9+1-$B96+1,'CC Tarifák'!$B$211:$AX$257,$E$9+$B96-1-18+2,0)*IF($E$47="Kizárás",1,1+$E$47),0))))</f>
        <v/>
      </c>
      <c r="L96" s="159"/>
      <c r="M96" s="159" t="str">
        <f ca="1">IF(OR(ISBLANK($F$28),ISBLANK($E$8)),0,IF($E$9&gt;60,0,IF($B96="","",IF(MOD($B96,5)=1,IF($J$30="!",0,1)*ROUND($F$28/'CC Tarifák'!$B$261*VLOOKUP(64-$E$9+1-$B96+1,'CC Tarifák'!$B$263:$AX$309,$E$9+$B96-1-18+2,0)*IF($E$47="Kizárás",1,1+$E$47),0),$M95))))</f>
        <v/>
      </c>
      <c r="N96" s="159"/>
      <c r="O96" s="159" t="str">
        <f ca="1">IF(OR(ISBLANK($F$28),ISBLANK($E$8)),0,IF($E$9&gt;55,0,IF($B96="","",IF(MOD($B96,10)=1,IF($L$30="!",0,1)*ROUND($F$28/'CC Tarifák'!$B$313*VLOOKUP(64-$E$9+1-$B96+1,'CC Tarifák'!$B$315:$AX$361,$E$9+$B96-1-18+2,0)*IF($E$47="Kizárás",1,1+$E$47),0),$O95))))</f>
        <v/>
      </c>
      <c r="P96" s="159"/>
      <c r="Q96" s="159" t="str">
        <f t="shared" ca="1" si="1"/>
        <v/>
      </c>
      <c r="R96" s="159"/>
      <c r="S96" s="158" t="str">
        <f ca="1">IF(OR(ISBLANK($F$28),ISBLANK($E$8)),0,IF($E$9&gt;64,0,IF($B96="","",IF($H$32="!",0,1)*ROUND($F$28/'CC Tarifák'!$B$417*VLOOKUP(64-$E$9+1-$B96+1,'CC Tarifák'!$B$419:$AX$465,$E$9+$B96-1-18+2,0)*IF($E$47="Kizárás",1,1+$E$47),0))))</f>
        <v/>
      </c>
      <c r="T96" s="158"/>
      <c r="U96" s="158" t="str">
        <f ca="1">IF(OR(ISBLANK($F$28),ISBLANK($E$8)),0,IF($E$9&gt;60,0,IF($B96="","",IF(MOD($B96,5)=1,IF($J$32="!",0,1)*ROUND($F$28/'CC Tarifák'!$B$469*VLOOKUP(64-$E$9+1-$B96+1,'CC Tarifák'!$B$471:$AX$517,$E$9+$B96-1-18+2,0)*IF($E$47="Kizárás",1,1+$E$47),0),$U95))))</f>
        <v/>
      </c>
      <c r="V96" s="158"/>
      <c r="W96" s="158" t="str">
        <f ca="1">IF(OR(ISBLANK($F$28),ISBLANK($E$8)),0,IF($E$9&gt;55,0,IF($B96="","",IF(MOD($B96,10)=1,IF($L$32="!",0,1)*ROUND($F$28/'CC Tarifák'!$B$521*VLOOKUP(64-$E$9+1-$B96+1,'CC Tarifák'!$B$523:$AX$569,$E$9+$B96-1-18+2,0)*IF($E$47="Kizárás",1,1+$E$47),0),$W95))))</f>
        <v/>
      </c>
      <c r="X96" s="158"/>
      <c r="Y96" s="158" t="str">
        <f t="shared" ca="1" si="2"/>
        <v/>
      </c>
      <c r="Z96" s="158"/>
    </row>
    <row r="97" spans="2:26" x14ac:dyDescent="0.25">
      <c r="B97" s="78" t="str">
        <f t="shared" ca="1" si="3"/>
        <v/>
      </c>
      <c r="C97" s="158" t="str">
        <f ca="1">IF(OR(ISBLANK($F$28),ISBLANK($E$8)),0,IF($E$9&gt;64,0,IF($B97="","",IF($H$28="!",0,1)*ROUND($F$28/'CC Tarifák'!$B$1*VLOOKUP(64-$E$9+1-$B97+1,'CC Tarifák'!$B$3:$AX$49,$E$9+$B97-1-18+2,0)*IF($E$47="Kizárás",1,1+$E$47),0))))</f>
        <v/>
      </c>
      <c r="D97" s="158"/>
      <c r="E97" s="158" t="str">
        <f ca="1">IF(OR(ISBLANK($F$28),ISBLANK($E$8)),0,IF($E$9&gt;60,0,IF($B97="","",IF(MOD($B97,5)=1,IF($J$28="!",0,1)*ROUND($F$28/'CC Tarifák'!$B$53*VLOOKUP(64-$E$9+1-$B97+1,'CC Tarifák'!$B$55:$AX$101,$E$9+$B97-1-18+2,0)*IF($E$47="Kizárás",1,1+$E$47),0),$E96))))</f>
        <v/>
      </c>
      <c r="F97" s="158"/>
      <c r="G97" s="158" t="str">
        <f ca="1">IF(OR(ISBLANK($F$28),ISBLANK($E$8)),0,IF($E$9&gt;55,0,IF($B97="","",IF(MOD($B97,10)=1,IF($L$28="!",0,1)*ROUND($F$28/'CC Tarifák'!$B$105*VLOOKUP(64-$E$9+1-$B97+1,'CC Tarifák'!$B$107:$AX$153,$E$9+$B97-1-18+2,0)*IF($E$47="Kizárás",1,1+$E$47),0),$G96))))</f>
        <v/>
      </c>
      <c r="H97" s="158"/>
      <c r="I97" s="158" t="str">
        <f t="shared" ca="1" si="0"/>
        <v/>
      </c>
      <c r="J97" s="158"/>
      <c r="K97" s="159" t="str">
        <f ca="1">IF(OR(ISBLANK($F$28),ISBLANK($E$8)),0,IF($E$9&gt;64,0,IF($B97="","",IF($H$30="!",0,1)*ROUND($F$28/'CC Tarifák'!$B$209*VLOOKUP(64-$E$9+1-$B97+1,'CC Tarifák'!$B$211:$AX$257,$E$9+$B97-1-18+2,0)*IF($E$47="Kizárás",1,1+$E$47),0))))</f>
        <v/>
      </c>
      <c r="L97" s="159"/>
      <c r="M97" s="159" t="str">
        <f ca="1">IF(OR(ISBLANK($F$28),ISBLANK($E$8)),0,IF($E$9&gt;60,0,IF($B97="","",IF(MOD($B97,5)=1,IF($J$30="!",0,1)*ROUND($F$28/'CC Tarifák'!$B$261*VLOOKUP(64-$E$9+1-$B97+1,'CC Tarifák'!$B$263:$AX$309,$E$9+$B97-1-18+2,0)*IF($E$47="Kizárás",1,1+$E$47),0),$M96))))</f>
        <v/>
      </c>
      <c r="N97" s="159"/>
      <c r="O97" s="159" t="str">
        <f ca="1">IF(OR(ISBLANK($F$28),ISBLANK($E$8)),0,IF($E$9&gt;55,0,IF($B97="","",IF(MOD($B97,10)=1,IF($L$30="!",0,1)*ROUND($F$28/'CC Tarifák'!$B$313*VLOOKUP(64-$E$9+1-$B97+1,'CC Tarifák'!$B$315:$AX$361,$E$9+$B97-1-18+2,0)*IF($E$47="Kizárás",1,1+$E$47),0),$O96))))</f>
        <v/>
      </c>
      <c r="P97" s="159"/>
      <c r="Q97" s="159" t="str">
        <f t="shared" ca="1" si="1"/>
        <v/>
      </c>
      <c r="R97" s="159"/>
      <c r="S97" s="158" t="str">
        <f ca="1">IF(OR(ISBLANK($F$28),ISBLANK($E$8)),0,IF($E$9&gt;64,0,IF($B97="","",IF($H$32="!",0,1)*ROUND($F$28/'CC Tarifák'!$B$417*VLOOKUP(64-$E$9+1-$B97+1,'CC Tarifák'!$B$419:$AX$465,$E$9+$B97-1-18+2,0)*IF($E$47="Kizárás",1,1+$E$47),0))))</f>
        <v/>
      </c>
      <c r="T97" s="158"/>
      <c r="U97" s="158" t="str">
        <f ca="1">IF(OR(ISBLANK($F$28),ISBLANK($E$8)),0,IF($E$9&gt;60,0,IF($B97="","",IF(MOD($B97,5)=1,IF($J$32="!",0,1)*ROUND($F$28/'CC Tarifák'!$B$469*VLOOKUP(64-$E$9+1-$B97+1,'CC Tarifák'!$B$471:$AX$517,$E$9+$B97-1-18+2,0)*IF($E$47="Kizárás",1,1+$E$47),0),$U96))))</f>
        <v/>
      </c>
      <c r="V97" s="158"/>
      <c r="W97" s="158" t="str">
        <f ca="1">IF(OR(ISBLANK($F$28),ISBLANK($E$8)),0,IF($E$9&gt;55,0,IF($B97="","",IF(MOD($B97,10)=1,IF($L$32="!",0,1)*ROUND($F$28/'CC Tarifák'!$B$521*VLOOKUP(64-$E$9+1-$B97+1,'CC Tarifák'!$B$523:$AX$569,$E$9+$B97-1-18+2,0)*IF($E$47="Kizárás",1,1+$E$47),0),$W96))))</f>
        <v/>
      </c>
      <c r="X97" s="158"/>
      <c r="Y97" s="158" t="str">
        <f t="shared" ca="1" si="2"/>
        <v/>
      </c>
      <c r="Z97" s="158"/>
    </row>
    <row r="98" spans="2:26" x14ac:dyDescent="0.25">
      <c r="B98" s="78" t="str">
        <f t="shared" ca="1" si="3"/>
        <v/>
      </c>
      <c r="C98" s="158" t="str">
        <f ca="1">IF(OR(ISBLANK($F$28),ISBLANK($E$8)),0,IF($E$9&gt;64,0,IF($B98="","",IF($H$28="!",0,1)*ROUND($F$28/'CC Tarifák'!$B$1*VLOOKUP(64-$E$9+1-$B98+1,'CC Tarifák'!$B$3:$AX$49,$E$9+$B98-1-18+2,0)*IF($E$47="Kizárás",1,1+$E$47),0))))</f>
        <v/>
      </c>
      <c r="D98" s="158"/>
      <c r="E98" s="158" t="str">
        <f ca="1">IF(OR(ISBLANK($F$28),ISBLANK($E$8)),0,IF($E$9&gt;60,0,IF($B98="","",IF(MOD($B98,5)=1,IF($J$28="!",0,1)*ROUND($F$28/'CC Tarifák'!$B$53*VLOOKUP(64-$E$9+1-$B98+1,'CC Tarifák'!$B$55:$AX$101,$E$9+$B98-1-18+2,0)*IF($E$47="Kizárás",1,1+$E$47),0),$E97))))</f>
        <v/>
      </c>
      <c r="F98" s="158"/>
      <c r="G98" s="158" t="str">
        <f ca="1">IF(OR(ISBLANK($F$28),ISBLANK($E$8)),0,IF($E$9&gt;55,0,IF($B98="","",IF(MOD($B98,10)=1,IF($L$28="!",0,1)*ROUND($F$28/'CC Tarifák'!$B$105*VLOOKUP(64-$E$9+1-$B98+1,'CC Tarifák'!$B$107:$AX$153,$E$9+$B98-1-18+2,0)*IF($E$47="Kizárás",1,1+$E$47),0),$G97))))</f>
        <v/>
      </c>
      <c r="H98" s="158"/>
      <c r="I98" s="158" t="str">
        <f t="shared" ca="1" si="0"/>
        <v/>
      </c>
      <c r="J98" s="158"/>
      <c r="K98" s="159" t="str">
        <f ca="1">IF(OR(ISBLANK($F$28),ISBLANK($E$8)),0,IF($E$9&gt;64,0,IF($B98="","",IF($H$30="!",0,1)*ROUND($F$28/'CC Tarifák'!$B$209*VLOOKUP(64-$E$9+1-$B98+1,'CC Tarifák'!$B$211:$AX$257,$E$9+$B98-1-18+2,0)*IF($E$47="Kizárás",1,1+$E$47),0))))</f>
        <v/>
      </c>
      <c r="L98" s="159"/>
      <c r="M98" s="159" t="str">
        <f ca="1">IF(OR(ISBLANK($F$28),ISBLANK($E$8)),0,IF($E$9&gt;60,0,IF($B98="","",IF(MOD($B98,5)=1,IF($J$30="!",0,1)*ROUND($F$28/'CC Tarifák'!$B$261*VLOOKUP(64-$E$9+1-$B98+1,'CC Tarifák'!$B$263:$AX$309,$E$9+$B98-1-18+2,0)*IF($E$47="Kizárás",1,1+$E$47),0),$M97))))</f>
        <v/>
      </c>
      <c r="N98" s="159"/>
      <c r="O98" s="159" t="str">
        <f ca="1">IF(OR(ISBLANK($F$28),ISBLANK($E$8)),0,IF($E$9&gt;55,0,IF($B98="","",IF(MOD($B98,10)=1,IF($L$30="!",0,1)*ROUND($F$28/'CC Tarifák'!$B$313*VLOOKUP(64-$E$9+1-$B98+1,'CC Tarifák'!$B$315:$AX$361,$E$9+$B98-1-18+2,0)*IF($E$47="Kizárás",1,1+$E$47),0),$O97))))</f>
        <v/>
      </c>
      <c r="P98" s="159"/>
      <c r="Q98" s="159" t="str">
        <f t="shared" ca="1" si="1"/>
        <v/>
      </c>
      <c r="R98" s="159"/>
      <c r="S98" s="158" t="str">
        <f ca="1">IF(OR(ISBLANK($F$28),ISBLANK($E$8)),0,IF($E$9&gt;64,0,IF($B98="","",IF($H$32="!",0,1)*ROUND($F$28/'CC Tarifák'!$B$417*VLOOKUP(64-$E$9+1-$B98+1,'CC Tarifák'!$B$419:$AX$465,$E$9+$B98-1-18+2,0)*IF($E$47="Kizárás",1,1+$E$47),0))))</f>
        <v/>
      </c>
      <c r="T98" s="158"/>
      <c r="U98" s="158" t="str">
        <f ca="1">IF(OR(ISBLANK($F$28),ISBLANK($E$8)),0,IF($E$9&gt;60,0,IF($B98="","",IF(MOD($B98,5)=1,IF($J$32="!",0,1)*ROUND($F$28/'CC Tarifák'!$B$469*VLOOKUP(64-$E$9+1-$B98+1,'CC Tarifák'!$B$471:$AX$517,$E$9+$B98-1-18+2,0)*IF($E$47="Kizárás",1,1+$E$47),0),$U97))))</f>
        <v/>
      </c>
      <c r="V98" s="158"/>
      <c r="W98" s="158" t="str">
        <f ca="1">IF(OR(ISBLANK($F$28),ISBLANK($E$8)),0,IF($E$9&gt;55,0,IF($B98="","",IF(MOD($B98,10)=1,IF($L$32="!",0,1)*ROUND($F$28/'CC Tarifák'!$B$521*VLOOKUP(64-$E$9+1-$B98+1,'CC Tarifák'!$B$523:$AX$569,$E$9+$B98-1-18+2,0)*IF($E$47="Kizárás",1,1+$E$47),0),$W97))))</f>
        <v/>
      </c>
      <c r="X98" s="158"/>
      <c r="Y98" s="158" t="str">
        <f t="shared" ca="1" si="2"/>
        <v/>
      </c>
      <c r="Z98" s="158"/>
    </row>
    <row r="99" spans="2:26" x14ac:dyDescent="0.25">
      <c r="B99" s="78" t="str">
        <f t="shared" ca="1" si="3"/>
        <v/>
      </c>
      <c r="C99" s="158" t="str">
        <f ca="1">IF(OR(ISBLANK($F$28),ISBLANK($E$8)),0,IF($E$9&gt;64,0,IF($B99="","",IF($H$28="!",0,1)*ROUND($F$28/'CC Tarifák'!$B$1*VLOOKUP(64-$E$9+1-$B99+1,'CC Tarifák'!$B$3:$AX$49,$E$9+$B99-1-18+2,0)*IF($E$47="Kizárás",1,1+$E$47),0))))</f>
        <v/>
      </c>
      <c r="D99" s="158"/>
      <c r="E99" s="158" t="str">
        <f ca="1">IF(OR(ISBLANK($F$28),ISBLANK($E$8)),0,IF($E$9&gt;60,0,IF($B99="","",IF(MOD($B99,5)=1,IF($J$28="!",0,1)*ROUND($F$28/'CC Tarifák'!$B$53*VLOOKUP(64-$E$9+1-$B99+1,'CC Tarifák'!$B$55:$AX$101,$E$9+$B99-1-18+2,0)*IF($E$47="Kizárás",1,1+$E$47),0),$E98))))</f>
        <v/>
      </c>
      <c r="F99" s="158"/>
      <c r="G99" s="158" t="str">
        <f ca="1">IF(OR(ISBLANK($F$28),ISBLANK($E$8)),0,IF($E$9&gt;55,0,IF($B99="","",IF(MOD($B99,10)=1,IF($L$28="!",0,1)*ROUND($F$28/'CC Tarifák'!$B$105*VLOOKUP(64-$E$9+1-$B99+1,'CC Tarifák'!$B$107:$AX$153,$E$9+$B99-1-18+2,0)*IF($E$47="Kizárás",1,1+$E$47),0),$G98))))</f>
        <v/>
      </c>
      <c r="H99" s="158"/>
      <c r="I99" s="158" t="str">
        <f t="shared" ca="1" si="0"/>
        <v/>
      </c>
      <c r="J99" s="158"/>
      <c r="K99" s="159" t="str">
        <f ca="1">IF(OR(ISBLANK($F$28),ISBLANK($E$8)),0,IF($E$9&gt;64,0,IF($B99="","",IF($H$30="!",0,1)*ROUND($F$28/'CC Tarifák'!$B$209*VLOOKUP(64-$E$9+1-$B99+1,'CC Tarifák'!$B$211:$AX$257,$E$9+$B99-1-18+2,0)*IF($E$47="Kizárás",1,1+$E$47),0))))</f>
        <v/>
      </c>
      <c r="L99" s="159"/>
      <c r="M99" s="159" t="str">
        <f ca="1">IF(OR(ISBLANK($F$28),ISBLANK($E$8)),0,IF($E$9&gt;60,0,IF($B99="","",IF(MOD($B99,5)=1,IF($J$30="!",0,1)*ROUND($F$28/'CC Tarifák'!$B$261*VLOOKUP(64-$E$9+1-$B99+1,'CC Tarifák'!$B$263:$AX$309,$E$9+$B99-1-18+2,0)*IF($E$47="Kizárás",1,1+$E$47),0),$M98))))</f>
        <v/>
      </c>
      <c r="N99" s="159"/>
      <c r="O99" s="159" t="str">
        <f ca="1">IF(OR(ISBLANK($F$28),ISBLANK($E$8)),0,IF($E$9&gt;55,0,IF($B99="","",IF(MOD($B99,10)=1,IF($L$30="!",0,1)*ROUND($F$28/'CC Tarifák'!$B$313*VLOOKUP(64-$E$9+1-$B99+1,'CC Tarifák'!$B$315:$AX$361,$E$9+$B99-1-18+2,0)*IF($E$47="Kizárás",1,1+$E$47),0),$O98))))</f>
        <v/>
      </c>
      <c r="P99" s="159"/>
      <c r="Q99" s="159" t="str">
        <f t="shared" ca="1" si="1"/>
        <v/>
      </c>
      <c r="R99" s="159"/>
      <c r="S99" s="158" t="str">
        <f ca="1">IF(OR(ISBLANK($F$28),ISBLANK($E$8)),0,IF($E$9&gt;64,0,IF($B99="","",IF($H$32="!",0,1)*ROUND($F$28/'CC Tarifák'!$B$417*VLOOKUP(64-$E$9+1-$B99+1,'CC Tarifák'!$B$419:$AX$465,$E$9+$B99-1-18+2,0)*IF($E$47="Kizárás",1,1+$E$47),0))))</f>
        <v/>
      </c>
      <c r="T99" s="158"/>
      <c r="U99" s="158" t="str">
        <f ca="1">IF(OR(ISBLANK($F$28),ISBLANK($E$8)),0,IF($E$9&gt;60,0,IF($B99="","",IF(MOD($B99,5)=1,IF($J$32="!",0,1)*ROUND($F$28/'CC Tarifák'!$B$469*VLOOKUP(64-$E$9+1-$B99+1,'CC Tarifák'!$B$471:$AX$517,$E$9+$B99-1-18+2,0)*IF($E$47="Kizárás",1,1+$E$47),0),$U98))))</f>
        <v/>
      </c>
      <c r="V99" s="158"/>
      <c r="W99" s="158" t="str">
        <f ca="1">IF(OR(ISBLANK($F$28),ISBLANK($E$8)),0,IF($E$9&gt;55,0,IF($B99="","",IF(MOD($B99,10)=1,IF($L$32="!",0,1)*ROUND($F$28/'CC Tarifák'!$B$521*VLOOKUP(64-$E$9+1-$B99+1,'CC Tarifák'!$B$523:$AX$569,$E$9+$B99-1-18+2,0)*IF($E$47="Kizárás",1,1+$E$47),0),$W98))))</f>
        <v/>
      </c>
      <c r="X99" s="158"/>
      <c r="Y99" s="158" t="str">
        <f t="shared" ca="1" si="2"/>
        <v/>
      </c>
      <c r="Z99" s="158"/>
    </row>
    <row r="100" spans="2:26" x14ac:dyDescent="0.25">
      <c r="B100" s="78" t="str">
        <f t="shared" ca="1" si="3"/>
        <v/>
      </c>
      <c r="C100" s="158" t="str">
        <f ca="1">IF(OR(ISBLANK($F$28),ISBLANK($E$8)),0,IF($E$9&gt;64,0,IF($B100="","",IF($H$28="!",0,1)*ROUND($F$28/'CC Tarifák'!$B$1*VLOOKUP(64-$E$9+1-$B100+1,'CC Tarifák'!$B$3:$AX$49,$E$9+$B100-1-18+2,0)*IF($E$47="Kizárás",1,1+$E$47),0))))</f>
        <v/>
      </c>
      <c r="D100" s="158"/>
      <c r="E100" s="158" t="str">
        <f ca="1">IF(OR(ISBLANK($F$28),ISBLANK($E$8)),0,IF($E$9&gt;60,0,IF($B100="","",IF(MOD($B100,5)=1,IF($J$28="!",0,1)*ROUND($F$28/'CC Tarifák'!$B$53*VLOOKUP(64-$E$9+1-$B100+1,'CC Tarifák'!$B$55:$AX$101,$E$9+$B100-1-18+2,0)*IF($E$47="Kizárás",1,1+$E$47),0),$E99))))</f>
        <v/>
      </c>
      <c r="F100" s="158"/>
      <c r="G100" s="158" t="str">
        <f ca="1">IF(OR(ISBLANK($F$28),ISBLANK($E$8)),0,IF($E$9&gt;55,0,IF($B100="","",IF(MOD($B100,10)=1,IF($L$28="!",0,1)*ROUND($F$28/'CC Tarifák'!$B$105*VLOOKUP(64-$E$9+1-$B100+1,'CC Tarifák'!$B$107:$AX$153,$E$9+$B100-1-18+2,0)*IF($E$47="Kizárás",1,1+$E$47),0),$G99))))</f>
        <v/>
      </c>
      <c r="H100" s="158"/>
      <c r="I100" s="158" t="str">
        <f t="shared" ca="1" si="0"/>
        <v/>
      </c>
      <c r="J100" s="158"/>
      <c r="K100" s="159" t="str">
        <f ca="1">IF(OR(ISBLANK($F$28),ISBLANK($E$8)),0,IF($E$9&gt;64,0,IF($B100="","",IF($H$30="!",0,1)*ROUND($F$28/'CC Tarifák'!$B$209*VLOOKUP(64-$E$9+1-$B100+1,'CC Tarifák'!$B$211:$AX$257,$E$9+$B100-1-18+2,0)*IF($E$47="Kizárás",1,1+$E$47),0))))</f>
        <v/>
      </c>
      <c r="L100" s="159"/>
      <c r="M100" s="159" t="str">
        <f ca="1">IF(OR(ISBLANK($F$28),ISBLANK($E$8)),0,IF($E$9&gt;60,0,IF($B100="","",IF(MOD($B100,5)=1,IF($J$30="!",0,1)*ROUND($F$28/'CC Tarifák'!$B$261*VLOOKUP(64-$E$9+1-$B100+1,'CC Tarifák'!$B$263:$AX$309,$E$9+$B100-1-18+2,0)*IF($E$47="Kizárás",1,1+$E$47),0),$M99))))</f>
        <v/>
      </c>
      <c r="N100" s="159"/>
      <c r="O100" s="159" t="str">
        <f ca="1">IF(OR(ISBLANK($F$28),ISBLANK($E$8)),0,IF($E$9&gt;55,0,IF($B100="","",IF(MOD($B100,10)=1,IF($L$30="!",0,1)*ROUND($F$28/'CC Tarifák'!$B$313*VLOOKUP(64-$E$9+1-$B100+1,'CC Tarifák'!$B$315:$AX$361,$E$9+$B100-1-18+2,0)*IF($E$47="Kizárás",1,1+$E$47),0),$O99))))</f>
        <v/>
      </c>
      <c r="P100" s="159"/>
      <c r="Q100" s="159" t="str">
        <f t="shared" ca="1" si="1"/>
        <v/>
      </c>
      <c r="R100" s="159"/>
      <c r="S100" s="158" t="str">
        <f ca="1">IF(OR(ISBLANK($F$28),ISBLANK($E$8)),0,IF($E$9&gt;64,0,IF($B100="","",IF($H$32="!",0,1)*ROUND($F$28/'CC Tarifák'!$B$417*VLOOKUP(64-$E$9+1-$B100+1,'CC Tarifák'!$B$419:$AX$465,$E$9+$B100-1-18+2,0)*IF($E$47="Kizárás",1,1+$E$47),0))))</f>
        <v/>
      </c>
      <c r="T100" s="158"/>
      <c r="U100" s="158" t="str">
        <f ca="1">IF(OR(ISBLANK($F$28),ISBLANK($E$8)),0,IF($E$9&gt;60,0,IF($B100="","",IF(MOD($B100,5)=1,IF($J$32="!",0,1)*ROUND($F$28/'CC Tarifák'!$B$469*VLOOKUP(64-$E$9+1-$B100+1,'CC Tarifák'!$B$471:$AX$517,$E$9+$B100-1-18+2,0)*IF($E$47="Kizárás",1,1+$E$47),0),$U99))))</f>
        <v/>
      </c>
      <c r="V100" s="158"/>
      <c r="W100" s="158" t="str">
        <f ca="1">IF(OR(ISBLANK($F$28),ISBLANK($E$8)),0,IF($E$9&gt;55,0,IF($B100="","",IF(MOD($B100,10)=1,IF($L$32="!",0,1)*ROUND($F$28/'CC Tarifák'!$B$521*VLOOKUP(64-$E$9+1-$B100+1,'CC Tarifák'!$B$523:$AX$569,$E$9+$B100-1-18+2,0)*IF($E$47="Kizárás",1,1+$E$47),0),$W99))))</f>
        <v/>
      </c>
      <c r="X100" s="158"/>
      <c r="Y100" s="158" t="str">
        <f t="shared" ca="1" si="2"/>
        <v/>
      </c>
      <c r="Z100" s="158"/>
    </row>
    <row r="101" spans="2:26" x14ac:dyDescent="0.25">
      <c r="B101" s="78" t="str">
        <f t="shared" ca="1" si="3"/>
        <v/>
      </c>
      <c r="C101" s="158" t="str">
        <f ca="1">IF(OR(ISBLANK($F$28),ISBLANK($E$8)),0,IF($E$9&gt;64,0,IF($B101="","",IF($H$28="!",0,1)*ROUND($F$28/'CC Tarifák'!$B$1*VLOOKUP(64-$E$9+1-$B101+1,'CC Tarifák'!$B$3:$AX$49,$E$9+$B101-1-18+2,0)*IF($E$47="Kizárás",1,1+$E$47),0))))</f>
        <v/>
      </c>
      <c r="D101" s="158"/>
      <c r="E101" s="158" t="str">
        <f ca="1">IF(OR(ISBLANK($F$28),ISBLANK($E$8)),0,IF($E$9&gt;60,0,IF($B101="","",IF(MOD($B101,5)=1,IF($J$28="!",0,1)*ROUND($F$28/'CC Tarifák'!$B$53*VLOOKUP(64-$E$9+1-$B101+1,'CC Tarifák'!$B$55:$AX$101,$E$9+$B101-1-18+2,0)*IF($E$47="Kizárás",1,1+$E$47),0),$E100))))</f>
        <v/>
      </c>
      <c r="F101" s="158"/>
      <c r="G101" s="158" t="str">
        <f ca="1">IF(OR(ISBLANK($F$28),ISBLANK($E$8)),0,IF($E$9&gt;55,0,IF($B101="","",IF(MOD($B101,10)=1,IF($L$28="!",0,1)*ROUND($F$28/'CC Tarifák'!$B$105*VLOOKUP(64-$E$9+1-$B101+1,'CC Tarifák'!$B$107:$AX$153,$E$9+$B101-1-18+2,0)*IF($E$47="Kizárás",1,1+$E$47),0),$G100))))</f>
        <v/>
      </c>
      <c r="H101" s="158"/>
      <c r="I101" s="158" t="str">
        <f t="shared" ca="1" si="0"/>
        <v/>
      </c>
      <c r="J101" s="158"/>
      <c r="K101" s="159" t="str">
        <f ca="1">IF(OR(ISBLANK($F$28),ISBLANK($E$8)),0,IF($E$9&gt;64,0,IF($B101="","",IF($H$30="!",0,1)*ROUND($F$28/'CC Tarifák'!$B$209*VLOOKUP(64-$E$9+1-$B101+1,'CC Tarifák'!$B$211:$AX$257,$E$9+$B101-1-18+2,0)*IF($E$47="Kizárás",1,1+$E$47),0))))</f>
        <v/>
      </c>
      <c r="L101" s="159"/>
      <c r="M101" s="159" t="str">
        <f ca="1">IF(OR(ISBLANK($F$28),ISBLANK($E$8)),0,IF($E$9&gt;60,0,IF($B101="","",IF(MOD($B101,5)=1,IF($J$30="!",0,1)*ROUND($F$28/'CC Tarifák'!$B$261*VLOOKUP(64-$E$9+1-$B101+1,'CC Tarifák'!$B$263:$AX$309,$E$9+$B101-1-18+2,0)*IF($E$47="Kizárás",1,1+$E$47),0),$M100))))</f>
        <v/>
      </c>
      <c r="N101" s="159"/>
      <c r="O101" s="159" t="str">
        <f ca="1">IF(OR(ISBLANK($F$28),ISBLANK($E$8)),0,IF($E$9&gt;55,0,IF($B101="","",IF(MOD($B101,10)=1,IF($L$30="!",0,1)*ROUND($F$28/'CC Tarifák'!$B$313*VLOOKUP(64-$E$9+1-$B101+1,'CC Tarifák'!$B$315:$AX$361,$E$9+$B101-1-18+2,0)*IF($E$47="Kizárás",1,1+$E$47),0),$O100))))</f>
        <v/>
      </c>
      <c r="P101" s="159"/>
      <c r="Q101" s="159" t="str">
        <f t="shared" ca="1" si="1"/>
        <v/>
      </c>
      <c r="R101" s="159"/>
      <c r="S101" s="158" t="str">
        <f ca="1">IF(OR(ISBLANK($F$28),ISBLANK($E$8)),0,IF($E$9&gt;64,0,IF($B101="","",IF($H$32="!",0,1)*ROUND($F$28/'CC Tarifák'!$B$417*VLOOKUP(64-$E$9+1-$B101+1,'CC Tarifák'!$B$419:$AX$465,$E$9+$B101-1-18+2,0)*IF($E$47="Kizárás",1,1+$E$47),0))))</f>
        <v/>
      </c>
      <c r="T101" s="158"/>
      <c r="U101" s="158" t="str">
        <f ca="1">IF(OR(ISBLANK($F$28),ISBLANK($E$8)),0,IF($E$9&gt;60,0,IF($B101="","",IF(MOD($B101,5)=1,IF($J$32="!",0,1)*ROUND($F$28/'CC Tarifák'!$B$469*VLOOKUP(64-$E$9+1-$B101+1,'CC Tarifák'!$B$471:$AX$517,$E$9+$B101-1-18+2,0)*IF($E$47="Kizárás",1,1+$E$47),0),$U100))))</f>
        <v/>
      </c>
      <c r="V101" s="158"/>
      <c r="W101" s="158" t="str">
        <f ca="1">IF(OR(ISBLANK($F$28),ISBLANK($E$8)),0,IF($E$9&gt;55,0,IF($B101="","",IF(MOD($B101,10)=1,IF($L$32="!",0,1)*ROUND($F$28/'CC Tarifák'!$B$521*VLOOKUP(64-$E$9+1-$B101+1,'CC Tarifák'!$B$523:$AX$569,$E$9+$B101-1-18+2,0)*IF($E$47="Kizárás",1,1+$E$47),0),$W100))))</f>
        <v/>
      </c>
      <c r="X101" s="158"/>
      <c r="Y101" s="158" t="str">
        <f t="shared" ca="1" si="2"/>
        <v/>
      </c>
      <c r="Z101" s="158"/>
    </row>
    <row r="102" spans="2:26" x14ac:dyDescent="0.25">
      <c r="B102" s="78" t="str">
        <f t="shared" ca="1" si="3"/>
        <v/>
      </c>
      <c r="C102" s="158" t="str">
        <f ca="1">IF(OR(ISBLANK($F$28),ISBLANK($E$8)),0,IF($E$9&gt;64,0,IF($B102="","",IF($H$28="!",0,1)*ROUND($F$28/'CC Tarifák'!$B$1*VLOOKUP(64-$E$9+1-$B102+1,'CC Tarifák'!$B$3:$AX$49,$E$9+$B102-1-18+2,0)*IF($E$47="Kizárás",1,1+$E$47),0))))</f>
        <v/>
      </c>
      <c r="D102" s="158"/>
      <c r="E102" s="158" t="str">
        <f ca="1">IF(OR(ISBLANK($F$28),ISBLANK($E$8)),0,IF($E$9&gt;60,0,IF($B102="","",IF(MOD($B102,5)=1,IF($J$28="!",0,1)*ROUND($F$28/'CC Tarifák'!$B$53*VLOOKUP(64-$E$9+1-$B102+1,'CC Tarifák'!$B$55:$AX$101,$E$9+$B102-1-18+2,0)*IF($E$47="Kizárás",1,1+$E$47),0),$E101))))</f>
        <v/>
      </c>
      <c r="F102" s="158"/>
      <c r="G102" s="158" t="str">
        <f ca="1">IF(OR(ISBLANK($F$28),ISBLANK($E$8)),0,IF($E$9&gt;55,0,IF($B102="","",IF(MOD($B102,10)=1,IF($L$28="!",0,1)*ROUND($F$28/'CC Tarifák'!$B$105*VLOOKUP(64-$E$9+1-$B102+1,'CC Tarifák'!$B$107:$AX$153,$E$9+$B102-1-18+2,0)*IF($E$47="Kizárás",1,1+$E$47),0),$G101))))</f>
        <v/>
      </c>
      <c r="H102" s="158"/>
      <c r="I102" s="158" t="str">
        <f t="shared" ca="1" si="0"/>
        <v/>
      </c>
      <c r="J102" s="158"/>
      <c r="K102" s="159" t="str">
        <f ca="1">IF(OR(ISBLANK($F$28),ISBLANK($E$8)),0,IF($E$9&gt;64,0,IF($B102="","",IF($H$30="!",0,1)*ROUND($F$28/'CC Tarifák'!$B$209*VLOOKUP(64-$E$9+1-$B102+1,'CC Tarifák'!$B$211:$AX$257,$E$9+$B102-1-18+2,0)*IF($E$47="Kizárás",1,1+$E$47),0))))</f>
        <v/>
      </c>
      <c r="L102" s="159"/>
      <c r="M102" s="159" t="str">
        <f ca="1">IF(OR(ISBLANK($F$28),ISBLANK($E$8)),0,IF($E$9&gt;60,0,IF($B102="","",IF(MOD($B102,5)=1,IF($J$30="!",0,1)*ROUND($F$28/'CC Tarifák'!$B$261*VLOOKUP(64-$E$9+1-$B102+1,'CC Tarifák'!$B$263:$AX$309,$E$9+$B102-1-18+2,0)*IF($E$47="Kizárás",1,1+$E$47),0),$M101))))</f>
        <v/>
      </c>
      <c r="N102" s="159"/>
      <c r="O102" s="159" t="str">
        <f ca="1">IF(OR(ISBLANK($F$28),ISBLANK($E$8)),0,IF($E$9&gt;55,0,IF($B102="","",IF(MOD($B102,10)=1,IF($L$30="!",0,1)*ROUND($F$28/'CC Tarifák'!$B$313*VLOOKUP(64-$E$9+1-$B102+1,'CC Tarifák'!$B$315:$AX$361,$E$9+$B102-1-18+2,0)*IF($E$47="Kizárás",1,1+$E$47),0),$O101))))</f>
        <v/>
      </c>
      <c r="P102" s="159"/>
      <c r="Q102" s="159" t="str">
        <f t="shared" ca="1" si="1"/>
        <v/>
      </c>
      <c r="R102" s="159"/>
      <c r="S102" s="158" t="str">
        <f ca="1">IF(OR(ISBLANK($F$28),ISBLANK($E$8)),0,IF($E$9&gt;64,0,IF($B102="","",IF($H$32="!",0,1)*ROUND($F$28/'CC Tarifák'!$B$417*VLOOKUP(64-$E$9+1-$B102+1,'CC Tarifák'!$B$419:$AX$465,$E$9+$B102-1-18+2,0)*IF($E$47="Kizárás",1,1+$E$47),0))))</f>
        <v/>
      </c>
      <c r="T102" s="158"/>
      <c r="U102" s="158" t="str">
        <f ca="1">IF(OR(ISBLANK($F$28),ISBLANK($E$8)),0,IF($E$9&gt;60,0,IF($B102="","",IF(MOD($B102,5)=1,IF($J$32="!",0,1)*ROUND($F$28/'CC Tarifák'!$B$469*VLOOKUP(64-$E$9+1-$B102+1,'CC Tarifák'!$B$471:$AX$517,$E$9+$B102-1-18+2,0)*IF($E$47="Kizárás",1,1+$E$47),0),$U101))))</f>
        <v/>
      </c>
      <c r="V102" s="158"/>
      <c r="W102" s="158" t="str">
        <f ca="1">IF(OR(ISBLANK($F$28),ISBLANK($E$8)),0,IF($E$9&gt;55,0,IF($B102="","",IF(MOD($B102,10)=1,IF($L$32="!",0,1)*ROUND($F$28/'CC Tarifák'!$B$521*VLOOKUP(64-$E$9+1-$B102+1,'CC Tarifák'!$B$523:$AX$569,$E$9+$B102-1-18+2,0)*IF($E$47="Kizárás",1,1+$E$47),0),$W101))))</f>
        <v/>
      </c>
      <c r="X102" s="158"/>
      <c r="Y102" s="158" t="str">
        <f t="shared" ca="1" si="2"/>
        <v/>
      </c>
      <c r="Z102" s="158"/>
    </row>
    <row r="103" spans="2:26" x14ac:dyDescent="0.25">
      <c r="B103" s="78" t="str">
        <f t="shared" ca="1" si="3"/>
        <v/>
      </c>
      <c r="C103" s="158" t="str">
        <f ca="1">IF(OR(ISBLANK($F$28),ISBLANK($E$8)),0,IF($E$9&gt;64,0,IF($B103="","",IF($H$28="!",0,1)*ROUND($F$28/'CC Tarifák'!$B$1*VLOOKUP(64-$E$9+1-$B103+1,'CC Tarifák'!$B$3:$AX$49,$E$9+$B103-1-18+2,0)*IF($E$47="Kizárás",1,1+$E$47),0))))</f>
        <v/>
      </c>
      <c r="D103" s="158"/>
      <c r="E103" s="158" t="str">
        <f ca="1">IF(OR(ISBLANK($F$28),ISBLANK($E$8)),0,IF($E$9&gt;60,0,IF($B103="","",IF(MOD($B103,5)=1,IF($J$28="!",0,1)*ROUND($F$28/'CC Tarifák'!$B$53*VLOOKUP(64-$E$9+1-$B103+1,'CC Tarifák'!$B$55:$AX$101,$E$9+$B103-1-18+2,0)*IF($E$47="Kizárás",1,1+$E$47),0),$E102))))</f>
        <v/>
      </c>
      <c r="F103" s="158"/>
      <c r="G103" s="158" t="str">
        <f ca="1">IF(OR(ISBLANK($F$28),ISBLANK($E$8)),0,IF($E$9&gt;55,0,IF($B103="","",IF(MOD($B103,10)=1,IF($L$28="!",0,1)*ROUND($F$28/'CC Tarifák'!$B$105*VLOOKUP(64-$E$9+1-$B103+1,'CC Tarifák'!$B$107:$AX$153,$E$9+$B103-1-18+2,0)*IF($E$47="Kizárás",1,1+$E$47),0),$G102))))</f>
        <v/>
      </c>
      <c r="H103" s="158"/>
      <c r="I103" s="158" t="str">
        <f t="shared" ca="1" si="0"/>
        <v/>
      </c>
      <c r="J103" s="158"/>
      <c r="K103" s="159" t="str">
        <f ca="1">IF(OR(ISBLANK($F$28),ISBLANK($E$8)),0,IF($E$9&gt;64,0,IF($B103="","",IF($H$30="!",0,1)*ROUND($F$28/'CC Tarifák'!$B$209*VLOOKUP(64-$E$9+1-$B103+1,'CC Tarifák'!$B$211:$AX$257,$E$9+$B103-1-18+2,0)*IF($E$47="Kizárás",1,1+$E$47),0))))</f>
        <v/>
      </c>
      <c r="L103" s="159"/>
      <c r="M103" s="159" t="str">
        <f ca="1">IF(OR(ISBLANK($F$28),ISBLANK($E$8)),0,IF($E$9&gt;60,0,IF($B103="","",IF(MOD($B103,5)=1,IF($J$30="!",0,1)*ROUND($F$28/'CC Tarifák'!$B$261*VLOOKUP(64-$E$9+1-$B103+1,'CC Tarifák'!$B$263:$AX$309,$E$9+$B103-1-18+2,0)*IF($E$47="Kizárás",1,1+$E$47),0),$M102))))</f>
        <v/>
      </c>
      <c r="N103" s="159"/>
      <c r="O103" s="159" t="str">
        <f ca="1">IF(OR(ISBLANK($F$28),ISBLANK($E$8)),0,IF($E$9&gt;55,0,IF($B103="","",IF(MOD($B103,10)=1,IF($L$30="!",0,1)*ROUND($F$28/'CC Tarifák'!$B$313*VLOOKUP(64-$E$9+1-$B103+1,'CC Tarifák'!$B$315:$AX$361,$E$9+$B103-1-18+2,0)*IF($E$47="Kizárás",1,1+$E$47),0),$O102))))</f>
        <v/>
      </c>
      <c r="P103" s="159"/>
      <c r="Q103" s="159" t="str">
        <f t="shared" ca="1" si="1"/>
        <v/>
      </c>
      <c r="R103" s="159"/>
      <c r="S103" s="158" t="str">
        <f ca="1">IF(OR(ISBLANK($F$28),ISBLANK($E$8)),0,IF($E$9&gt;64,0,IF($B103="","",IF($H$32="!",0,1)*ROUND($F$28/'CC Tarifák'!$B$417*VLOOKUP(64-$E$9+1-$B103+1,'CC Tarifák'!$B$419:$AX$465,$E$9+$B103-1-18+2,0)*IF($E$47="Kizárás",1,1+$E$47),0))))</f>
        <v/>
      </c>
      <c r="T103" s="158"/>
      <c r="U103" s="158" t="str">
        <f ca="1">IF(OR(ISBLANK($F$28),ISBLANK($E$8)),0,IF($E$9&gt;60,0,IF($B103="","",IF(MOD($B103,5)=1,IF($J$32="!",0,1)*ROUND($F$28/'CC Tarifák'!$B$469*VLOOKUP(64-$E$9+1-$B103+1,'CC Tarifák'!$B$471:$AX$517,$E$9+$B103-1-18+2,0)*IF($E$47="Kizárás",1,1+$E$47),0),$U102))))</f>
        <v/>
      </c>
      <c r="V103" s="158"/>
      <c r="W103" s="158" t="str">
        <f ca="1">IF(OR(ISBLANK($F$28),ISBLANK($E$8)),0,IF($E$9&gt;55,0,IF($B103="","",IF(MOD($B103,10)=1,IF($L$32="!",0,1)*ROUND($F$28/'CC Tarifák'!$B$521*VLOOKUP(64-$E$9+1-$B103+1,'CC Tarifák'!$B$523:$AX$569,$E$9+$B103-1-18+2,0)*IF($E$47="Kizárás",1,1+$E$47),0),$W102))))</f>
        <v/>
      </c>
      <c r="X103" s="158"/>
      <c r="Y103" s="158" t="str">
        <f t="shared" ca="1" si="2"/>
        <v/>
      </c>
      <c r="Z103" s="158"/>
    </row>
    <row r="104" spans="2:26" x14ac:dyDescent="0.25">
      <c r="B104" s="78" t="str">
        <f t="shared" ca="1" si="3"/>
        <v/>
      </c>
      <c r="C104" s="158" t="str">
        <f ca="1">IF(OR(ISBLANK($F$28),ISBLANK($E$8)),0,IF($E$9&gt;64,0,IF($B104="","",IF($H$28="!",0,1)*ROUND($F$28/'CC Tarifák'!$B$1*VLOOKUP(64-$E$9+1-$B104+1,'CC Tarifák'!$B$3:$AX$49,$E$9+$B104-1-18+2,0)*IF($E$47="Kizárás",1,1+$E$47),0))))</f>
        <v/>
      </c>
      <c r="D104" s="158"/>
      <c r="E104" s="158" t="str">
        <f ca="1">IF(OR(ISBLANK($F$28),ISBLANK($E$8)),0,IF($E$9&gt;60,0,IF($B104="","",IF(MOD($B104,5)=1,IF($J$28="!",0,1)*ROUND($F$28/'CC Tarifák'!$B$53*VLOOKUP(64-$E$9+1-$B104+1,'CC Tarifák'!$B$55:$AX$101,$E$9+$B104-1-18+2,0)*IF($E$47="Kizárás",1,1+$E$47),0),$E103))))</f>
        <v/>
      </c>
      <c r="F104" s="158"/>
      <c r="G104" s="158" t="str">
        <f ca="1">IF(OR(ISBLANK($F$28),ISBLANK($E$8)),0,IF($E$9&gt;55,0,IF($B104="","",IF(MOD($B104,10)=1,IF($L$28="!",0,1)*ROUND($F$28/'CC Tarifák'!$B$105*VLOOKUP(64-$E$9+1-$B104+1,'CC Tarifák'!$B$107:$AX$153,$E$9+$B104-1-18+2,0)*IF($E$47="Kizárás",1,1+$E$47),0),$G103))))</f>
        <v/>
      </c>
      <c r="H104" s="158"/>
      <c r="I104" s="158" t="str">
        <f t="shared" ca="1" si="0"/>
        <v/>
      </c>
      <c r="J104" s="158"/>
      <c r="K104" s="159" t="str">
        <f ca="1">IF(OR(ISBLANK($F$28),ISBLANK($E$8)),0,IF($E$9&gt;64,0,IF($B104="","",IF($H$30="!",0,1)*ROUND($F$28/'CC Tarifák'!$B$209*VLOOKUP(64-$E$9+1-$B104+1,'CC Tarifák'!$B$211:$AX$257,$E$9+$B104-1-18+2,0)*IF($E$47="Kizárás",1,1+$E$47),0))))</f>
        <v/>
      </c>
      <c r="L104" s="159"/>
      <c r="M104" s="159" t="str">
        <f ca="1">IF(OR(ISBLANK($F$28),ISBLANK($E$8)),0,IF($E$9&gt;60,0,IF($B104="","",IF(MOD($B104,5)=1,IF($J$30="!",0,1)*ROUND($F$28/'CC Tarifák'!$B$261*VLOOKUP(64-$E$9+1-$B104+1,'CC Tarifák'!$B$263:$AX$309,$E$9+$B104-1-18+2,0)*IF($E$47="Kizárás",1,1+$E$47),0),$M103))))</f>
        <v/>
      </c>
      <c r="N104" s="159"/>
      <c r="O104" s="159" t="str">
        <f ca="1">IF(OR(ISBLANK($F$28),ISBLANK($E$8)),0,IF($E$9&gt;55,0,IF($B104="","",IF(MOD($B104,10)=1,IF($L$30="!",0,1)*ROUND($F$28/'CC Tarifák'!$B$313*VLOOKUP(64-$E$9+1-$B104+1,'CC Tarifák'!$B$315:$AX$361,$E$9+$B104-1-18+2,0)*IF($E$47="Kizárás",1,1+$E$47),0),$O103))))</f>
        <v/>
      </c>
      <c r="P104" s="159"/>
      <c r="Q104" s="159" t="str">
        <f t="shared" ca="1" si="1"/>
        <v/>
      </c>
      <c r="R104" s="159"/>
      <c r="S104" s="158" t="str">
        <f ca="1">IF(OR(ISBLANK($F$28),ISBLANK($E$8)),0,IF($E$9&gt;64,0,IF($B104="","",IF($H$32="!",0,1)*ROUND($F$28/'CC Tarifák'!$B$417*VLOOKUP(64-$E$9+1-$B104+1,'CC Tarifák'!$B$419:$AX$465,$E$9+$B104-1-18+2,0)*IF($E$47="Kizárás",1,1+$E$47),0))))</f>
        <v/>
      </c>
      <c r="T104" s="158"/>
      <c r="U104" s="158" t="str">
        <f ca="1">IF(OR(ISBLANK($F$28),ISBLANK($E$8)),0,IF($E$9&gt;60,0,IF($B104="","",IF(MOD($B104,5)=1,IF($J$32="!",0,1)*ROUND($F$28/'CC Tarifák'!$B$469*VLOOKUP(64-$E$9+1-$B104+1,'CC Tarifák'!$B$471:$AX$517,$E$9+$B104-1-18+2,0)*IF($E$47="Kizárás",1,1+$E$47),0),$U103))))</f>
        <v/>
      </c>
      <c r="V104" s="158"/>
      <c r="W104" s="158" t="str">
        <f ca="1">IF(OR(ISBLANK($F$28),ISBLANK($E$8)),0,IF($E$9&gt;55,0,IF($B104="","",IF(MOD($B104,10)=1,IF($L$32="!",0,1)*ROUND($F$28/'CC Tarifák'!$B$521*VLOOKUP(64-$E$9+1-$B104+1,'CC Tarifák'!$B$523:$AX$569,$E$9+$B104-1-18+2,0)*IF($E$47="Kizárás",1,1+$E$47),0),$W103))))</f>
        <v/>
      </c>
      <c r="X104" s="158"/>
      <c r="Y104" s="158" t="str">
        <f t="shared" ca="1" si="2"/>
        <v/>
      </c>
      <c r="Z104" s="158"/>
    </row>
    <row r="105" spans="2:26" x14ac:dyDescent="0.25">
      <c r="B105" s="78" t="str">
        <f t="shared" ca="1" si="3"/>
        <v/>
      </c>
      <c r="C105" s="158" t="str">
        <f ca="1">IF(OR(ISBLANK($F$28),ISBLANK($E$8)),0,IF($E$9&gt;64,0,IF($B105="","",IF($H$28="!",0,1)*ROUND($F$28/'CC Tarifák'!$B$1*VLOOKUP(64-$E$9+1-$B105+1,'CC Tarifák'!$B$3:$AX$49,$E$9+$B105-1-18+2,0)*IF($E$47="Kizárás",1,1+$E$47),0))))</f>
        <v/>
      </c>
      <c r="D105" s="158"/>
      <c r="E105" s="158" t="str">
        <f ca="1">IF(OR(ISBLANK($F$28),ISBLANK($E$8)),0,IF($E$9&gt;60,0,IF($B105="","",IF(MOD($B105,5)=1,IF($J$28="!",0,1)*ROUND($F$28/'CC Tarifák'!$B$53*VLOOKUP(64-$E$9+1-$B105+1,'CC Tarifák'!$B$55:$AX$101,$E$9+$B105-1-18+2,0)*IF($E$47="Kizárás",1,1+$E$47),0),$E104))))</f>
        <v/>
      </c>
      <c r="F105" s="158"/>
      <c r="G105" s="158" t="str">
        <f ca="1">IF(OR(ISBLANK($F$28),ISBLANK($E$8)),0,IF($E$9&gt;55,0,IF($B105="","",IF(MOD($B105,10)=1,IF($L$28="!",0,1)*ROUND($F$28/'CC Tarifák'!$B$105*VLOOKUP(64-$E$9+1-$B105+1,'CC Tarifák'!$B$107:$AX$153,$E$9+$B105-1-18+2,0)*IF($E$47="Kizárás",1,1+$E$47),0),$G104))))</f>
        <v/>
      </c>
      <c r="H105" s="158"/>
      <c r="I105" s="158" t="str">
        <f t="shared" ca="1" si="0"/>
        <v/>
      </c>
      <c r="J105" s="158"/>
      <c r="K105" s="159" t="str">
        <f ca="1">IF(OR(ISBLANK($F$28),ISBLANK($E$8)),0,IF($E$9&gt;64,0,IF($B105="","",IF($H$30="!",0,1)*ROUND($F$28/'CC Tarifák'!$B$209*VLOOKUP(64-$E$9+1-$B105+1,'CC Tarifák'!$B$211:$AX$257,$E$9+$B105-1-18+2,0)*IF($E$47="Kizárás",1,1+$E$47),0))))</f>
        <v/>
      </c>
      <c r="L105" s="159"/>
      <c r="M105" s="159" t="str">
        <f ca="1">IF(OR(ISBLANK($F$28),ISBLANK($E$8)),0,IF($E$9&gt;60,0,IF($B105="","",IF(MOD($B105,5)=1,IF($J$30="!",0,1)*ROUND($F$28/'CC Tarifák'!$B$261*VLOOKUP(64-$E$9+1-$B105+1,'CC Tarifák'!$B$263:$AX$309,$E$9+$B105-1-18+2,0)*IF($E$47="Kizárás",1,1+$E$47),0),$M104))))</f>
        <v/>
      </c>
      <c r="N105" s="159"/>
      <c r="O105" s="159" t="str">
        <f ca="1">IF(OR(ISBLANK($F$28),ISBLANK($E$8)),0,IF($E$9&gt;55,0,IF($B105="","",IF(MOD($B105,10)=1,IF($L$30="!",0,1)*ROUND($F$28/'CC Tarifák'!$B$313*VLOOKUP(64-$E$9+1-$B105+1,'CC Tarifák'!$B$315:$AX$361,$E$9+$B105-1-18+2,0)*IF($E$47="Kizárás",1,1+$E$47),0),$O104))))</f>
        <v/>
      </c>
      <c r="P105" s="159"/>
      <c r="Q105" s="159" t="str">
        <f t="shared" ca="1" si="1"/>
        <v/>
      </c>
      <c r="R105" s="159"/>
      <c r="S105" s="158" t="str">
        <f ca="1">IF(OR(ISBLANK($F$28),ISBLANK($E$8)),0,IF($E$9&gt;64,0,IF($B105="","",IF($H$32="!",0,1)*ROUND($F$28/'CC Tarifák'!$B$417*VLOOKUP(64-$E$9+1-$B105+1,'CC Tarifák'!$B$419:$AX$465,$E$9+$B105-1-18+2,0)*IF($E$47="Kizárás",1,1+$E$47),0))))</f>
        <v/>
      </c>
      <c r="T105" s="158"/>
      <c r="U105" s="158" t="str">
        <f ca="1">IF(OR(ISBLANK($F$28),ISBLANK($E$8)),0,IF($E$9&gt;60,0,IF($B105="","",IF(MOD($B105,5)=1,IF($J$32="!",0,1)*ROUND($F$28/'CC Tarifák'!$B$469*VLOOKUP(64-$E$9+1-$B105+1,'CC Tarifák'!$B$471:$AX$517,$E$9+$B105-1-18+2,0)*IF($E$47="Kizárás",1,1+$E$47),0),$U104))))</f>
        <v/>
      </c>
      <c r="V105" s="158"/>
      <c r="W105" s="158" t="str">
        <f ca="1">IF(OR(ISBLANK($F$28),ISBLANK($E$8)),0,IF($E$9&gt;55,0,IF($B105="","",IF(MOD($B105,10)=1,IF($L$32="!",0,1)*ROUND($F$28/'CC Tarifák'!$B$521*VLOOKUP(64-$E$9+1-$B105+1,'CC Tarifák'!$B$523:$AX$569,$E$9+$B105-1-18+2,0)*IF($E$47="Kizárás",1,1+$E$47),0),$W104))))</f>
        <v/>
      </c>
      <c r="X105" s="158"/>
      <c r="Y105" s="158" t="str">
        <f t="shared" ca="1" si="2"/>
        <v/>
      </c>
      <c r="Z105" s="158"/>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1875" defaultRowHeight="13.2" x14ac:dyDescent="0.25"/>
  <cols>
    <col min="1" max="4" width="9.21875" style="12"/>
    <col min="5" max="5" width="9.21875" style="12" customWidth="1"/>
    <col min="6" max="15" width="9.21875" style="12"/>
    <col min="16" max="17" width="9.21875" style="12" customWidth="1"/>
    <col min="18" max="18" width="9.88671875" style="16" bestFit="1" customWidth="1"/>
    <col min="19" max="19" width="9.88671875" style="12" bestFit="1" customWidth="1"/>
    <col min="20" max="21" width="9.21875" style="12"/>
    <col min="22" max="22" width="10.33203125" style="12" bestFit="1" customWidth="1"/>
    <col min="23" max="16384" width="9.21875" style="12"/>
  </cols>
  <sheetData>
    <row r="1" spans="2:14" x14ac:dyDescent="0.25">
      <c r="B1" s="108" t="s">
        <v>422</v>
      </c>
      <c r="C1" s="108"/>
      <c r="D1" s="108"/>
      <c r="E1" s="108"/>
      <c r="F1" s="108"/>
    </row>
    <row r="2" spans="2:14" x14ac:dyDescent="0.25">
      <c r="B2" s="108"/>
      <c r="C2" s="108"/>
      <c r="D2" s="108"/>
      <c r="E2" s="108"/>
      <c r="F2" s="108"/>
      <c r="G2" s="20" t="str">
        <f>MetMax!$E$2</f>
        <v>v2.1.7</v>
      </c>
    </row>
    <row r="3" spans="2:14" ht="12.75" customHeight="1" x14ac:dyDescent="0.25"/>
    <row r="4" spans="2:14" ht="12.75" customHeight="1" x14ac:dyDescent="0.25"/>
    <row r="5" spans="2:14" ht="12.75" customHeight="1" x14ac:dyDescent="0.25">
      <c r="B5" s="99" t="s">
        <v>423</v>
      </c>
      <c r="C5" s="99"/>
      <c r="D5" s="99"/>
      <c r="E5" s="99"/>
      <c r="F5" s="99"/>
      <c r="G5" s="113" t="s">
        <v>131</v>
      </c>
      <c r="H5" s="113"/>
    </row>
    <row r="6" spans="2:14" ht="12.75" customHeight="1" x14ac:dyDescent="0.25"/>
    <row r="7" spans="2:14" ht="12.75" customHeight="1" x14ac:dyDescent="0.25">
      <c r="B7" s="12" t="s">
        <v>426</v>
      </c>
    </row>
    <row r="8" spans="2:14" ht="12.75" customHeight="1" x14ac:dyDescent="0.25"/>
    <row r="9" spans="2:14" ht="12.75" customHeight="1" x14ac:dyDescent="0.25"/>
    <row r="10" spans="2:14" ht="12.75" customHeight="1" x14ac:dyDescent="0.25">
      <c r="B10" s="66"/>
      <c r="C10" s="203" t="s">
        <v>469</v>
      </c>
      <c r="D10" s="203"/>
      <c r="E10" s="203"/>
      <c r="F10" s="203"/>
      <c r="G10" s="203" t="str">
        <f>"Fizetendő "&amp;$E$58&amp;" díj"</f>
        <v>Fizetendő Havi díj</v>
      </c>
      <c r="H10" s="203"/>
      <c r="I10" s="203"/>
      <c r="J10" s="203"/>
      <c r="K10" s="203" t="s">
        <v>470</v>
      </c>
      <c r="L10" s="203"/>
      <c r="M10" s="203"/>
      <c r="N10" s="203"/>
    </row>
    <row r="11" spans="2:14" ht="12.75" customHeight="1" x14ac:dyDescent="0.25">
      <c r="B11" s="66"/>
      <c r="C11" s="204" t="s">
        <v>82</v>
      </c>
      <c r="D11" s="204"/>
      <c r="E11" s="204" t="str">
        <f>IF($G$5="MetMax","MetMax","MetCare")</f>
        <v>MetCare</v>
      </c>
      <c r="F11" s="204"/>
      <c r="G11" s="204" t="s">
        <v>82</v>
      </c>
      <c r="H11" s="204"/>
      <c r="I11" s="204" t="str">
        <f>IF($G$5="MetMax","MetMax","MetCare")</f>
        <v>MetCare</v>
      </c>
      <c r="J11" s="204"/>
      <c r="K11" s="204" t="s">
        <v>82</v>
      </c>
      <c r="L11" s="204"/>
      <c r="M11" s="204" t="str">
        <f>IF($G$5="MetMax","MetMax","MetCare")</f>
        <v>MetCare</v>
      </c>
      <c r="N11" s="204"/>
    </row>
    <row r="12" spans="2:14" ht="12.75" customHeight="1" x14ac:dyDescent="0.25">
      <c r="B12" s="67">
        <v>1</v>
      </c>
      <c r="C12" s="183">
        <f ca="1">IF($G12=0,0,SUM($K$12:$K12))</f>
        <v>122280</v>
      </c>
      <c r="D12" s="183"/>
      <c r="E12" s="181">
        <f ca="1">IF($I12=0,0,SUM($M$12:$M12))</f>
        <v>76536</v>
      </c>
      <c r="F12" s="181"/>
      <c r="G12" s="183">
        <f ca="1">ROUND(IF(OR($G$55="!",$B12&gt;$Q$68),0,$R$133),0)</f>
        <v>10190</v>
      </c>
      <c r="H12" s="183"/>
      <c r="I12" s="181">
        <f ca="1">IF(OR($G$55="!",$B12&gt;$Q$68),0,$R$99)</f>
        <v>6378</v>
      </c>
      <c r="J12" s="181"/>
      <c r="K12" s="183">
        <f t="shared" ref="K12:K36" ca="1" si="0">IF($E$58="Havi",12,IF($E$58="Negyedéves",4,IF($E$58="Féléves",2,1)))*$G12</f>
        <v>122280</v>
      </c>
      <c r="L12" s="183"/>
      <c r="M12" s="181">
        <f t="shared" ref="M12:M36" ca="1" si="1">IF($E$58="Havi",12,IF($E$58="Negyedéves",4,IF($E$58="Féléves",2,1)))*$I12</f>
        <v>76536</v>
      </c>
      <c r="N12" s="181"/>
    </row>
    <row r="13" spans="2:14" ht="12.75" customHeight="1" x14ac:dyDescent="0.25">
      <c r="B13" s="68">
        <v>2</v>
      </c>
      <c r="C13" s="177">
        <f ca="1">IF($G13=0,0,SUM($K$12:$K13))</f>
        <v>244560</v>
      </c>
      <c r="D13" s="177"/>
      <c r="E13" s="182">
        <f ca="1">IF($I13=0,0,SUM($M$12:$M13))</f>
        <v>155244</v>
      </c>
      <c r="F13" s="182"/>
      <c r="G13" s="183">
        <f t="shared" ref="G13:G36" ca="1" si="2">ROUND(IF(OR($G$55="!",$B13&gt;$Q$68),0,$R$133),0)</f>
        <v>10190</v>
      </c>
      <c r="H13" s="183"/>
      <c r="I13" s="182">
        <f ca="1">IF(OR($G$55="!",$B13&gt;$Q$68),0,$S$99)</f>
        <v>6559</v>
      </c>
      <c r="J13" s="182"/>
      <c r="K13" s="177">
        <f t="shared" ca="1" si="0"/>
        <v>122280</v>
      </c>
      <c r="L13" s="177"/>
      <c r="M13" s="182">
        <f t="shared" ca="1" si="1"/>
        <v>78708</v>
      </c>
      <c r="N13" s="182"/>
    </row>
    <row r="14" spans="2:14" ht="12.75" customHeight="1" x14ac:dyDescent="0.25">
      <c r="B14" s="68">
        <v>3</v>
      </c>
      <c r="C14" s="177">
        <f ca="1">IF($G14=0,0,SUM($K$12:$K14))</f>
        <v>366840</v>
      </c>
      <c r="D14" s="177"/>
      <c r="E14" s="182">
        <f ca="1">IF($I14=0,0,SUM($M$12:$M14))</f>
        <v>236460</v>
      </c>
      <c r="F14" s="182"/>
      <c r="G14" s="183">
        <f t="shared" ca="1" si="2"/>
        <v>10190</v>
      </c>
      <c r="H14" s="183"/>
      <c r="I14" s="182">
        <f ca="1">IF(OR($G$55="!",$B14&gt;$Q$68),0,$T$99)</f>
        <v>6768</v>
      </c>
      <c r="J14" s="182"/>
      <c r="K14" s="177">
        <f t="shared" ca="1" si="0"/>
        <v>122280</v>
      </c>
      <c r="L14" s="177"/>
      <c r="M14" s="182">
        <f t="shared" ca="1" si="1"/>
        <v>81216</v>
      </c>
      <c r="N14" s="182"/>
    </row>
    <row r="15" spans="2:14" ht="12.75" customHeight="1" x14ac:dyDescent="0.25">
      <c r="B15" s="68">
        <v>4</v>
      </c>
      <c r="C15" s="177">
        <f ca="1">IF($G15=0,0,SUM($K$12:$K15))</f>
        <v>489120</v>
      </c>
      <c r="D15" s="177"/>
      <c r="E15" s="182">
        <f ca="1">IF($I15=0,0,SUM($M$12:$M15))</f>
        <v>322800</v>
      </c>
      <c r="F15" s="182"/>
      <c r="G15" s="183">
        <f t="shared" ca="1" si="2"/>
        <v>10190</v>
      </c>
      <c r="H15" s="183"/>
      <c r="I15" s="182">
        <f ca="1">IF(OR($G$55="!",$B15&gt;$Q$68),0,$U$99)</f>
        <v>7195</v>
      </c>
      <c r="J15" s="182"/>
      <c r="K15" s="177">
        <f t="shared" ca="1" si="0"/>
        <v>122280</v>
      </c>
      <c r="L15" s="177"/>
      <c r="M15" s="182">
        <f t="shared" ca="1" si="1"/>
        <v>86340</v>
      </c>
      <c r="N15" s="182"/>
    </row>
    <row r="16" spans="2:14" ht="12.75" customHeight="1" x14ac:dyDescent="0.25">
      <c r="B16" s="68">
        <v>5</v>
      </c>
      <c r="C16" s="177">
        <f ca="1">IF($G16=0,0,SUM($K$12:$K16))</f>
        <v>611400</v>
      </c>
      <c r="D16" s="177"/>
      <c r="E16" s="182">
        <f ca="1">IF($I16=0,0,SUM($M$12:$M16))</f>
        <v>414204</v>
      </c>
      <c r="F16" s="182"/>
      <c r="G16" s="183">
        <f t="shared" ca="1" si="2"/>
        <v>10190</v>
      </c>
      <c r="H16" s="183"/>
      <c r="I16" s="182">
        <f ca="1">IF(OR($G$55="!",$B16&gt;$Q$68),0,$V$99)</f>
        <v>7617</v>
      </c>
      <c r="J16" s="182"/>
      <c r="K16" s="177">
        <f t="shared" ca="1" si="0"/>
        <v>122280</v>
      </c>
      <c r="L16" s="177"/>
      <c r="M16" s="182">
        <f t="shared" ca="1" si="1"/>
        <v>91404</v>
      </c>
      <c r="N16" s="182"/>
    </row>
    <row r="17" spans="2:14" ht="12.75" customHeight="1" x14ac:dyDescent="0.25">
      <c r="B17" s="68">
        <v>6</v>
      </c>
      <c r="C17" s="177">
        <f ca="1">IF($G17=0,0,SUM($K$12:$K17))</f>
        <v>733680</v>
      </c>
      <c r="D17" s="177"/>
      <c r="E17" s="182">
        <f ca="1">IF($I17=0,0,SUM($M$12:$M17))</f>
        <v>510744</v>
      </c>
      <c r="F17" s="182"/>
      <c r="G17" s="183">
        <f t="shared" ca="1" si="2"/>
        <v>10190</v>
      </c>
      <c r="H17" s="183"/>
      <c r="I17" s="182">
        <f ca="1">IF(OR($G$55="!",$B17&gt;$Q$68),0,$W$99)</f>
        <v>8045</v>
      </c>
      <c r="J17" s="182"/>
      <c r="K17" s="177">
        <f t="shared" ca="1" si="0"/>
        <v>122280</v>
      </c>
      <c r="L17" s="177"/>
      <c r="M17" s="182">
        <f t="shared" ca="1" si="1"/>
        <v>96540</v>
      </c>
      <c r="N17" s="182"/>
    </row>
    <row r="18" spans="2:14" ht="12.75" customHeight="1" x14ac:dyDescent="0.25">
      <c r="B18" s="68">
        <v>7</v>
      </c>
      <c r="C18" s="177">
        <f ca="1">IF($G18=0,0,SUM($K$12:$K18))</f>
        <v>855960</v>
      </c>
      <c r="D18" s="177"/>
      <c r="E18" s="182">
        <f ca="1">IF($I18=0,0,SUM($M$12:$M18))</f>
        <v>612456</v>
      </c>
      <c r="F18" s="182"/>
      <c r="G18" s="183">
        <f t="shared" ca="1" si="2"/>
        <v>10190</v>
      </c>
      <c r="H18" s="183"/>
      <c r="I18" s="182">
        <f ca="1">IF(OR($G$55="!",$B18&gt;$Q$68),0,$X$99)</f>
        <v>8476</v>
      </c>
      <c r="J18" s="182"/>
      <c r="K18" s="177">
        <f t="shared" ca="1" si="0"/>
        <v>122280</v>
      </c>
      <c r="L18" s="177"/>
      <c r="M18" s="182">
        <f t="shared" ca="1" si="1"/>
        <v>101712</v>
      </c>
      <c r="N18" s="182"/>
    </row>
    <row r="19" spans="2:14" ht="12.75" customHeight="1" x14ac:dyDescent="0.25">
      <c r="B19" s="68">
        <v>8</v>
      </c>
      <c r="C19" s="177">
        <f ca="1">IF($G19=0,0,SUM($K$12:$K19))</f>
        <v>978240</v>
      </c>
      <c r="D19" s="177"/>
      <c r="E19" s="182">
        <f ca="1">IF($I19=0,0,SUM($M$12:$M19))</f>
        <v>720336</v>
      </c>
      <c r="F19" s="182"/>
      <c r="G19" s="183">
        <f t="shared" ca="1" si="2"/>
        <v>10190</v>
      </c>
      <c r="H19" s="183"/>
      <c r="I19" s="182">
        <f ca="1">IF(OR($G$55="!",$B19&gt;$Q$68),0,$Y$99)</f>
        <v>8990</v>
      </c>
      <c r="J19" s="182"/>
      <c r="K19" s="177">
        <f t="shared" ca="1" si="0"/>
        <v>122280</v>
      </c>
      <c r="L19" s="177"/>
      <c r="M19" s="182">
        <f t="shared" ca="1" si="1"/>
        <v>107880</v>
      </c>
      <c r="N19" s="182"/>
    </row>
    <row r="20" spans="2:14" ht="12.75" customHeight="1" x14ac:dyDescent="0.25">
      <c r="B20" s="68">
        <v>9</v>
      </c>
      <c r="C20" s="177">
        <f ca="1">IF($G20=0,0,SUM($K$12:$K20))</f>
        <v>1100520</v>
      </c>
      <c r="D20" s="177"/>
      <c r="E20" s="182">
        <f ca="1">IF($I20=0,0,SUM($M$12:$M20))</f>
        <v>838992</v>
      </c>
      <c r="F20" s="182"/>
      <c r="G20" s="183">
        <f t="shared" ca="1" si="2"/>
        <v>10190</v>
      </c>
      <c r="H20" s="183"/>
      <c r="I20" s="182">
        <f ca="1">IF(OR($G$55="!",$B20&gt;$Q$68),0,$Z$99)</f>
        <v>9888</v>
      </c>
      <c r="J20" s="182"/>
      <c r="K20" s="177">
        <f t="shared" ca="1" si="0"/>
        <v>122280</v>
      </c>
      <c r="L20" s="177"/>
      <c r="M20" s="182">
        <f t="shared" ca="1" si="1"/>
        <v>118656</v>
      </c>
      <c r="N20" s="182"/>
    </row>
    <row r="21" spans="2:14" ht="12.75" customHeight="1" x14ac:dyDescent="0.25">
      <c r="B21" s="68">
        <v>10</v>
      </c>
      <c r="C21" s="177">
        <f ca="1">IF($G21=0,0,SUM($K$12:$K21))</f>
        <v>1222800</v>
      </c>
      <c r="D21" s="177"/>
      <c r="E21" s="182">
        <f ca="1">IF($I21=0,0,SUM($M$12:$M21))</f>
        <v>968424</v>
      </c>
      <c r="F21" s="182"/>
      <c r="G21" s="183">
        <f t="shared" ca="1" si="2"/>
        <v>10190</v>
      </c>
      <c r="H21" s="183"/>
      <c r="I21" s="182">
        <f ca="1">IF(OR($G$55="!",$B21&gt;$Q$68),0,$AA$99)</f>
        <v>10786</v>
      </c>
      <c r="J21" s="182"/>
      <c r="K21" s="177">
        <f t="shared" ca="1" si="0"/>
        <v>122280</v>
      </c>
      <c r="L21" s="177"/>
      <c r="M21" s="182">
        <f t="shared" ca="1" si="1"/>
        <v>129432</v>
      </c>
      <c r="N21" s="182"/>
    </row>
    <row r="22" spans="2:14" ht="12.75" customHeight="1" x14ac:dyDescent="0.25">
      <c r="B22" s="68">
        <v>11</v>
      </c>
      <c r="C22" s="177">
        <f ca="1">IF($G22=0,0,SUM($K$12:$K22))</f>
        <v>1345080</v>
      </c>
      <c r="D22" s="177"/>
      <c r="E22" s="182">
        <f ca="1">IF($I22=0,0,SUM($M$12:$M22))</f>
        <v>1108908</v>
      </c>
      <c r="F22" s="182"/>
      <c r="G22" s="183">
        <f t="shared" ca="1" si="2"/>
        <v>10190</v>
      </c>
      <c r="H22" s="183"/>
      <c r="I22" s="182">
        <f ca="1">IF(OR($G$55="!",$B22&gt;$Q$68),0,$AB$99)</f>
        <v>11707</v>
      </c>
      <c r="J22" s="182"/>
      <c r="K22" s="177">
        <f t="shared" ca="1" si="0"/>
        <v>122280</v>
      </c>
      <c r="L22" s="177"/>
      <c r="M22" s="182">
        <f t="shared" ca="1" si="1"/>
        <v>140484</v>
      </c>
      <c r="N22" s="182"/>
    </row>
    <row r="23" spans="2:14" ht="12.75" customHeight="1" x14ac:dyDescent="0.25">
      <c r="B23" s="68">
        <v>12</v>
      </c>
      <c r="C23" s="177">
        <f ca="1">IF($G23=0,0,SUM($K$12:$K23))</f>
        <v>1467360</v>
      </c>
      <c r="D23" s="177"/>
      <c r="E23" s="182">
        <f ca="1">IF($I23=0,0,SUM($M$12:$M23))</f>
        <v>1260480</v>
      </c>
      <c r="F23" s="182"/>
      <c r="G23" s="183">
        <f t="shared" ca="1" si="2"/>
        <v>10190</v>
      </c>
      <c r="H23" s="183"/>
      <c r="I23" s="182">
        <f ca="1">IF(OR($G$55="!",$B23&gt;$Q$68),0,$AC$99)</f>
        <v>12631</v>
      </c>
      <c r="J23" s="182"/>
      <c r="K23" s="177">
        <f t="shared" ca="1" si="0"/>
        <v>122280</v>
      </c>
      <c r="L23" s="177"/>
      <c r="M23" s="182">
        <f t="shared" ca="1" si="1"/>
        <v>151572</v>
      </c>
      <c r="N23" s="182"/>
    </row>
    <row r="24" spans="2:14" ht="12.75" customHeight="1" x14ac:dyDescent="0.25">
      <c r="B24" s="68">
        <v>13</v>
      </c>
      <c r="C24" s="177">
        <f ca="1">IF($G24=0,0,SUM($K$12:$K24))</f>
        <v>1589640</v>
      </c>
      <c r="D24" s="177"/>
      <c r="E24" s="182">
        <f ca="1">IF($I24=0,0,SUM($M$12:$M24))</f>
        <v>1425792</v>
      </c>
      <c r="F24" s="182"/>
      <c r="G24" s="183">
        <f t="shared" ca="1" si="2"/>
        <v>10190</v>
      </c>
      <c r="H24" s="183"/>
      <c r="I24" s="182">
        <f ca="1">IF(OR($G$55="!",$B24&gt;$Q$68),0,$AD$99)</f>
        <v>13776</v>
      </c>
      <c r="J24" s="182"/>
      <c r="K24" s="177">
        <f t="shared" ca="1" si="0"/>
        <v>122280</v>
      </c>
      <c r="L24" s="177"/>
      <c r="M24" s="182">
        <f t="shared" ca="1" si="1"/>
        <v>165312</v>
      </c>
      <c r="N24" s="182"/>
    </row>
    <row r="25" spans="2:14" ht="12.75" customHeight="1" x14ac:dyDescent="0.25">
      <c r="B25" s="68">
        <v>14</v>
      </c>
      <c r="C25" s="177">
        <f ca="1">IF($G25=0,0,SUM($K$12:$K25))</f>
        <v>1711920</v>
      </c>
      <c r="D25" s="177"/>
      <c r="E25" s="182">
        <f ca="1">IF($I25=0,0,SUM($M$12:$M25))</f>
        <v>1609572</v>
      </c>
      <c r="F25" s="182"/>
      <c r="G25" s="183">
        <f t="shared" ca="1" si="2"/>
        <v>10190</v>
      </c>
      <c r="H25" s="183"/>
      <c r="I25" s="182">
        <f ca="1">IF(OR($G$55="!",$B25&gt;$Q$68),0,$AE$99)</f>
        <v>15315</v>
      </c>
      <c r="J25" s="182"/>
      <c r="K25" s="177">
        <f t="shared" ca="1" si="0"/>
        <v>122280</v>
      </c>
      <c r="L25" s="177"/>
      <c r="M25" s="182">
        <f t="shared" ca="1" si="1"/>
        <v>183780</v>
      </c>
      <c r="N25" s="182"/>
    </row>
    <row r="26" spans="2:14" ht="12.75" customHeight="1" x14ac:dyDescent="0.25">
      <c r="B26" s="68">
        <v>15</v>
      </c>
      <c r="C26" s="177">
        <f ca="1">IF($G26=0,0,SUM($K$12:$K26))</f>
        <v>1834200</v>
      </c>
      <c r="D26" s="177"/>
      <c r="E26" s="182">
        <f ca="1">IF($I26=0,0,SUM($M$12:$M26))</f>
        <v>1812000</v>
      </c>
      <c r="F26" s="182"/>
      <c r="G26" s="183">
        <f t="shared" ca="1" si="2"/>
        <v>10190</v>
      </c>
      <c r="H26" s="183"/>
      <c r="I26" s="182">
        <f ca="1">IF(OR($G$55="!",$B26&gt;$Q$68),0,$AF$99)</f>
        <v>16869</v>
      </c>
      <c r="J26" s="182"/>
      <c r="K26" s="177">
        <f t="shared" ca="1" si="0"/>
        <v>122280</v>
      </c>
      <c r="L26" s="177"/>
      <c r="M26" s="182">
        <f t="shared" ca="1" si="1"/>
        <v>202428</v>
      </c>
      <c r="N26" s="182"/>
    </row>
    <row r="27" spans="2:14" ht="12.75" customHeight="1" x14ac:dyDescent="0.25">
      <c r="B27" s="68">
        <v>16</v>
      </c>
      <c r="C27" s="177">
        <f ca="1">IF($G27=0,0,SUM($K$12:$K27))</f>
        <v>1956480</v>
      </c>
      <c r="D27" s="177"/>
      <c r="E27" s="182">
        <f ca="1">IF($I27=0,0,SUM($M$12:$M27))</f>
        <v>2033460</v>
      </c>
      <c r="F27" s="182"/>
      <c r="G27" s="183">
        <f t="shared" ca="1" si="2"/>
        <v>10190</v>
      </c>
      <c r="H27" s="183"/>
      <c r="I27" s="182">
        <f ca="1">IF(OR($G$55="!",$B27&gt;$Q$68),0,$AG$99)</f>
        <v>18455</v>
      </c>
      <c r="J27" s="182"/>
      <c r="K27" s="177">
        <f t="shared" ca="1" si="0"/>
        <v>122280</v>
      </c>
      <c r="L27" s="177"/>
      <c r="M27" s="182">
        <f t="shared" ca="1" si="1"/>
        <v>221460</v>
      </c>
      <c r="N27" s="182"/>
    </row>
    <row r="28" spans="2:14" ht="12.75" customHeight="1" x14ac:dyDescent="0.25">
      <c r="B28" s="68">
        <v>17</v>
      </c>
      <c r="C28" s="177">
        <f ca="1">IF($G28=0,0,SUM($K$12:$K28))</f>
        <v>2078760</v>
      </c>
      <c r="D28" s="177"/>
      <c r="E28" s="182">
        <f ca="1">IF($I28=0,0,SUM($M$12:$M28))</f>
        <v>2274072</v>
      </c>
      <c r="F28" s="182"/>
      <c r="G28" s="183">
        <f t="shared" ca="1" si="2"/>
        <v>10190</v>
      </c>
      <c r="H28" s="183"/>
      <c r="I28" s="182">
        <f ca="1">IF(OR($G$55="!",$B28&gt;$Q$68),0,$AH$99)</f>
        <v>20051</v>
      </c>
      <c r="J28" s="182"/>
      <c r="K28" s="177">
        <f t="shared" ca="1" si="0"/>
        <v>122280</v>
      </c>
      <c r="L28" s="177"/>
      <c r="M28" s="182">
        <f t="shared" ca="1" si="1"/>
        <v>240612</v>
      </c>
      <c r="N28" s="182"/>
    </row>
    <row r="29" spans="2:14" ht="12.75" customHeight="1" x14ac:dyDescent="0.25">
      <c r="B29" s="68">
        <v>18</v>
      </c>
      <c r="C29" s="177">
        <f ca="1">IF($G29=0,0,SUM($K$12:$K29))</f>
        <v>2201040</v>
      </c>
      <c r="D29" s="177"/>
      <c r="E29" s="182">
        <f ca="1">IF($I29=0,0,SUM($M$12:$M29))</f>
        <v>2538516</v>
      </c>
      <c r="F29" s="182"/>
      <c r="G29" s="183">
        <f t="shared" ca="1" si="2"/>
        <v>10190</v>
      </c>
      <c r="H29" s="183"/>
      <c r="I29" s="182">
        <f ca="1">IF(OR($G$55="!",$B29&gt;$Q$68),0,$AI$99)</f>
        <v>22037</v>
      </c>
      <c r="J29" s="182"/>
      <c r="K29" s="177">
        <f t="shared" ca="1" si="0"/>
        <v>122280</v>
      </c>
      <c r="L29" s="177"/>
      <c r="M29" s="182">
        <f t="shared" ca="1" si="1"/>
        <v>264444</v>
      </c>
      <c r="N29" s="182"/>
    </row>
    <row r="30" spans="2:14" ht="12.75" customHeight="1" x14ac:dyDescent="0.25">
      <c r="B30" s="68">
        <v>19</v>
      </c>
      <c r="C30" s="177">
        <f ca="1">IF($G30=0,0,SUM($K$12:$K30))</f>
        <v>2323320</v>
      </c>
      <c r="D30" s="177"/>
      <c r="E30" s="182">
        <f ca="1">IF($I30=0,0,SUM($M$12:$M30))</f>
        <v>2827932</v>
      </c>
      <c r="F30" s="182"/>
      <c r="G30" s="183">
        <f t="shared" ca="1" si="2"/>
        <v>10190</v>
      </c>
      <c r="H30" s="183"/>
      <c r="I30" s="182">
        <f ca="1">IF(OR($G$55="!",$B30&gt;$Q$68),0,$AJ$99)</f>
        <v>24118</v>
      </c>
      <c r="J30" s="182"/>
      <c r="K30" s="177">
        <f t="shared" ca="1" si="0"/>
        <v>122280</v>
      </c>
      <c r="L30" s="177"/>
      <c r="M30" s="182">
        <f t="shared" ca="1" si="1"/>
        <v>289416</v>
      </c>
      <c r="N30" s="182"/>
    </row>
    <row r="31" spans="2:14" ht="12.75" customHeight="1" x14ac:dyDescent="0.25">
      <c r="B31" s="68">
        <v>20</v>
      </c>
      <c r="C31" s="177">
        <f ca="1">IF($G31=0,0,SUM($K$12:$K31))</f>
        <v>2445600</v>
      </c>
      <c r="D31" s="177"/>
      <c r="E31" s="182">
        <f ca="1">IF($I31=0,0,SUM($M$12:$M31))</f>
        <v>3142644</v>
      </c>
      <c r="F31" s="182"/>
      <c r="G31" s="183">
        <f t="shared" ca="1" si="2"/>
        <v>10190</v>
      </c>
      <c r="H31" s="183"/>
      <c r="I31" s="182">
        <f ca="1">IF(OR($G$55="!",$B31&gt;$Q$68),0,$AK$99)</f>
        <v>26226</v>
      </c>
      <c r="J31" s="182"/>
      <c r="K31" s="177">
        <f t="shared" ca="1" si="0"/>
        <v>122280</v>
      </c>
      <c r="L31" s="177"/>
      <c r="M31" s="182">
        <f t="shared" ca="1" si="1"/>
        <v>314712</v>
      </c>
      <c r="N31" s="182"/>
    </row>
    <row r="32" spans="2:14" ht="12.75" customHeight="1" x14ac:dyDescent="0.25">
      <c r="B32" s="68">
        <v>21</v>
      </c>
      <c r="C32" s="177">
        <f ca="1">IF($G32=0,0,SUM($K$12:$K32))</f>
        <v>2567880</v>
      </c>
      <c r="D32" s="177"/>
      <c r="E32" s="182">
        <f ca="1">IF($I32=0,0,SUM($M$12:$M32))</f>
        <v>3482868</v>
      </c>
      <c r="F32" s="182"/>
      <c r="G32" s="183">
        <f t="shared" ca="1" si="2"/>
        <v>10190</v>
      </c>
      <c r="H32" s="183"/>
      <c r="I32" s="182">
        <f ca="1">IF(OR($G$55="!",$B32&gt;$Q$68),0,$AL$99)</f>
        <v>28352</v>
      </c>
      <c r="J32" s="182"/>
      <c r="K32" s="177">
        <f t="shared" ca="1" si="0"/>
        <v>122280</v>
      </c>
      <c r="L32" s="177"/>
      <c r="M32" s="182">
        <f t="shared" ca="1" si="1"/>
        <v>340224</v>
      </c>
      <c r="N32" s="182"/>
    </row>
    <row r="33" spans="1:15" ht="12.75" customHeight="1" x14ac:dyDescent="0.25">
      <c r="B33" s="68">
        <v>22</v>
      </c>
      <c r="C33" s="177">
        <f ca="1">IF($G33=0,0,SUM($K$12:$K33))</f>
        <v>2690160</v>
      </c>
      <c r="D33" s="177"/>
      <c r="E33" s="182">
        <f ca="1">IF($I33=0,0,SUM($M$12:$M33))</f>
        <v>3848760</v>
      </c>
      <c r="F33" s="182"/>
      <c r="G33" s="183">
        <f t="shared" ca="1" si="2"/>
        <v>10190</v>
      </c>
      <c r="H33" s="183"/>
      <c r="I33" s="182">
        <f ca="1">IF(OR($G$55="!",$B33&gt;$Q$68),0,$AM$99)</f>
        <v>30491</v>
      </c>
      <c r="J33" s="182"/>
      <c r="K33" s="177">
        <f t="shared" ca="1" si="0"/>
        <v>122280</v>
      </c>
      <c r="L33" s="177"/>
      <c r="M33" s="182">
        <f t="shared" ca="1" si="1"/>
        <v>365892</v>
      </c>
      <c r="N33" s="182"/>
    </row>
    <row r="34" spans="1:15" ht="12.75" customHeight="1" x14ac:dyDescent="0.25">
      <c r="B34" s="68">
        <v>23</v>
      </c>
      <c r="C34" s="177">
        <f ca="1">IF($G34=0,0,SUM($K$12:$K34))</f>
        <v>2812440</v>
      </c>
      <c r="D34" s="177"/>
      <c r="E34" s="182">
        <f ca="1">IF($I34=0,0,SUM($M$12:$M34))</f>
        <v>4253232</v>
      </c>
      <c r="F34" s="182"/>
      <c r="G34" s="183">
        <f t="shared" ca="1" si="2"/>
        <v>10190</v>
      </c>
      <c r="H34" s="183"/>
      <c r="I34" s="182">
        <f ca="1">IF(OR($G$55="!",$B34&gt;$Q$68),0,$AN$99)</f>
        <v>33706</v>
      </c>
      <c r="J34" s="182"/>
      <c r="K34" s="177">
        <f t="shared" ca="1" si="0"/>
        <v>122280</v>
      </c>
      <c r="L34" s="177"/>
      <c r="M34" s="182">
        <f t="shared" ca="1" si="1"/>
        <v>404472</v>
      </c>
      <c r="N34" s="182"/>
    </row>
    <row r="35" spans="1:15" ht="12.75" customHeight="1" x14ac:dyDescent="0.25">
      <c r="B35" s="68">
        <v>24</v>
      </c>
      <c r="C35" s="177">
        <f ca="1">IF($G35=0,0,SUM($K$12:$K35))</f>
        <v>2934720</v>
      </c>
      <c r="D35" s="177"/>
      <c r="E35" s="182">
        <f ca="1">IF($I35=0,0,SUM($M$12:$M35))</f>
        <v>4688112</v>
      </c>
      <c r="F35" s="182"/>
      <c r="G35" s="183">
        <f t="shared" ca="1" si="2"/>
        <v>10190</v>
      </c>
      <c r="H35" s="183"/>
      <c r="I35" s="182">
        <f ca="1">IF(OR($G$55="!",$B35&gt;$Q$68),0,$AO$99)</f>
        <v>36240</v>
      </c>
      <c r="J35" s="182"/>
      <c r="K35" s="177">
        <f t="shared" ca="1" si="0"/>
        <v>122280</v>
      </c>
      <c r="L35" s="177"/>
      <c r="M35" s="182">
        <f t="shared" ca="1" si="1"/>
        <v>434880</v>
      </c>
      <c r="N35" s="182"/>
    </row>
    <row r="36" spans="1:15" ht="12.75" customHeight="1" x14ac:dyDescent="0.25">
      <c r="B36" s="68">
        <v>25</v>
      </c>
      <c r="C36" s="177">
        <f ca="1">IF($G36=0,0,SUM($K$12:$K36))</f>
        <v>3057000</v>
      </c>
      <c r="D36" s="177"/>
      <c r="E36" s="182">
        <f ca="1">IF($I36=0,0,SUM($M$12:$M36))</f>
        <v>5153532</v>
      </c>
      <c r="F36" s="182"/>
      <c r="G36" s="183">
        <f t="shared" ca="1" si="2"/>
        <v>10190</v>
      </c>
      <c r="H36" s="183"/>
      <c r="I36" s="182">
        <f ca="1">IF(OR($G$55="!",$B36&gt;$Q$68),0,$AP$99)</f>
        <v>38785</v>
      </c>
      <c r="J36" s="182"/>
      <c r="K36" s="177">
        <f t="shared" ca="1" si="0"/>
        <v>122280</v>
      </c>
      <c r="L36" s="177"/>
      <c r="M36" s="182">
        <f t="shared" ca="1" si="1"/>
        <v>465420</v>
      </c>
      <c r="N36" s="182"/>
    </row>
    <row r="37" spans="1:15" ht="12.75" customHeight="1" x14ac:dyDescent="0.25">
      <c r="B37" s="59"/>
      <c r="C37" s="60"/>
      <c r="E37" s="60"/>
      <c r="G37" s="60"/>
      <c r="I37" s="60"/>
      <c r="K37" s="60"/>
      <c r="M37" s="60"/>
    </row>
    <row r="38" spans="1:15" ht="12.75" customHeight="1" x14ac:dyDescent="0.25">
      <c r="B38" s="59"/>
      <c r="C38" s="60"/>
      <c r="E38" s="60"/>
      <c r="G38" s="60"/>
      <c r="I38" s="60"/>
      <c r="K38" s="60"/>
      <c r="M38" s="60"/>
    </row>
    <row r="39" spans="1:15" ht="12.75" customHeight="1" x14ac:dyDescent="0.25">
      <c r="B39" s="59"/>
      <c r="C39" s="60"/>
      <c r="E39" s="60"/>
      <c r="G39" s="60"/>
      <c r="I39" s="60"/>
      <c r="K39" s="60"/>
      <c r="M39" s="60"/>
    </row>
    <row r="40" spans="1:15" ht="12.75" customHeight="1" x14ac:dyDescent="0.25">
      <c r="B40" s="59"/>
      <c r="C40" s="60"/>
      <c r="E40" s="60"/>
      <c r="G40" s="60"/>
      <c r="I40" s="60"/>
      <c r="K40" s="60"/>
      <c r="M40" s="60"/>
    </row>
    <row r="41" spans="1:15" ht="12.75" customHeight="1" x14ac:dyDescent="0.25">
      <c r="B41" s="107" t="s">
        <v>58</v>
      </c>
      <c r="C41" s="107"/>
      <c r="D41" s="107"/>
      <c r="E41" s="107"/>
      <c r="F41" s="107"/>
      <c r="G41" s="107"/>
      <c r="H41" s="107"/>
      <c r="I41" s="107"/>
      <c r="J41" s="107"/>
      <c r="K41" s="107"/>
      <c r="L41" s="107"/>
      <c r="M41" s="107"/>
      <c r="N41" s="107"/>
      <c r="O41" s="107"/>
    </row>
    <row r="42" spans="1:15" ht="12.75" customHeight="1" x14ac:dyDescent="0.25">
      <c r="B42" s="107"/>
      <c r="C42" s="107"/>
      <c r="D42" s="107"/>
      <c r="E42" s="107"/>
      <c r="F42" s="107"/>
      <c r="G42" s="107"/>
      <c r="H42" s="107"/>
      <c r="I42" s="107"/>
      <c r="J42" s="107"/>
      <c r="K42" s="107"/>
      <c r="L42" s="107"/>
      <c r="M42" s="107"/>
      <c r="N42" s="107"/>
      <c r="O42" s="107"/>
    </row>
    <row r="43" spans="1:15" ht="12.75" customHeight="1" x14ac:dyDescent="0.25">
      <c r="B43" s="107"/>
      <c r="C43" s="107"/>
      <c r="D43" s="107"/>
      <c r="E43" s="107"/>
      <c r="F43" s="107"/>
      <c r="G43" s="107"/>
      <c r="H43" s="107"/>
      <c r="I43" s="107"/>
      <c r="J43" s="107"/>
      <c r="K43" s="107"/>
      <c r="L43" s="107"/>
      <c r="M43" s="107"/>
      <c r="N43" s="107"/>
      <c r="O43" s="107"/>
    </row>
    <row r="44" spans="1:15" ht="12.75" customHeight="1" x14ac:dyDescent="0.25">
      <c r="B44" s="107"/>
      <c r="C44" s="107"/>
      <c r="D44" s="107"/>
      <c r="E44" s="107"/>
      <c r="F44" s="107"/>
      <c r="G44" s="107"/>
      <c r="H44" s="107"/>
      <c r="I44" s="107"/>
      <c r="J44" s="107"/>
      <c r="K44" s="107"/>
      <c r="L44" s="107"/>
      <c r="M44" s="107"/>
      <c r="N44" s="107"/>
      <c r="O44" s="107"/>
    </row>
    <row r="45" spans="1:15" ht="12.75" customHeight="1" x14ac:dyDescent="0.25">
      <c r="B45" s="107"/>
      <c r="C45" s="107"/>
      <c r="D45" s="107"/>
      <c r="E45" s="107"/>
      <c r="F45" s="107"/>
      <c r="G45" s="107"/>
      <c r="H45" s="107"/>
      <c r="I45" s="107"/>
      <c r="J45" s="107"/>
      <c r="K45" s="107"/>
      <c r="L45" s="107"/>
      <c r="M45" s="107"/>
      <c r="N45" s="107"/>
      <c r="O45" s="107"/>
    </row>
    <row r="46" spans="1:15" ht="12.75" customHeight="1" x14ac:dyDescent="0.25">
      <c r="G46" s="20"/>
    </row>
    <row r="47" spans="1:15" hidden="1" x14ac:dyDescent="0.25">
      <c r="A47" s="12" t="s">
        <v>406</v>
      </c>
    </row>
    <row r="48" spans="1:15" hidden="1" x14ac:dyDescent="0.25">
      <c r="A48" s="12" t="s">
        <v>406</v>
      </c>
    </row>
    <row r="49" spans="1:25" hidden="1" x14ac:dyDescent="0.25">
      <c r="A49" s="12" t="s">
        <v>406</v>
      </c>
      <c r="B49" s="190" t="s">
        <v>455</v>
      </c>
      <c r="C49" s="191"/>
      <c r="D49" s="191"/>
      <c r="E49" s="191"/>
      <c r="F49" s="191"/>
      <c r="G49" s="191"/>
      <c r="H49" s="192"/>
      <c r="J49" s="193" t="s">
        <v>457</v>
      </c>
      <c r="K49" s="194"/>
      <c r="L49" s="194"/>
      <c r="M49" s="195"/>
      <c r="N49" s="126" t="str">
        <f ca="1">IF(COUNTIF($L$70:$M$95,"Ezt kérem!")=0,"---",'PÜ. limitek'!$I$14)</f>
        <v>Nem szükséges</v>
      </c>
      <c r="O49" s="127"/>
    </row>
    <row r="50" spans="1:25" hidden="1" x14ac:dyDescent="0.25">
      <c r="A50" s="12" t="s">
        <v>406</v>
      </c>
      <c r="B50" s="178" t="s">
        <v>456</v>
      </c>
      <c r="C50" s="179"/>
      <c r="D50" s="179"/>
      <c r="E50" s="179"/>
      <c r="F50" s="179"/>
      <c r="G50" s="179"/>
      <c r="H50" s="180"/>
      <c r="J50" s="196"/>
      <c r="K50" s="197"/>
      <c r="L50" s="197"/>
      <c r="M50" s="198"/>
      <c r="N50" s="128"/>
      <c r="O50" s="129"/>
    </row>
    <row r="51" spans="1:25" hidden="1" x14ac:dyDescent="0.25">
      <c r="A51" s="12" t="s">
        <v>406</v>
      </c>
    </row>
    <row r="52" spans="1:25" ht="12.75" hidden="1" customHeight="1" x14ac:dyDescent="0.25">
      <c r="A52" s="12" t="s">
        <v>406</v>
      </c>
      <c r="B52" s="175" t="s">
        <v>405</v>
      </c>
      <c r="C52" s="175"/>
      <c r="D52" s="175"/>
      <c r="E52" s="176">
        <f>IF($G$5="MetMax",MetMax!$C$8,IF($G$5="MetCare",MetCare!$C$8,Nelson!$E$8))</f>
        <v>33934</v>
      </c>
      <c r="F52" s="176"/>
      <c r="R52" s="54"/>
      <c r="V52" s="61"/>
      <c r="W52" s="61"/>
      <c r="Y52" s="62"/>
    </row>
    <row r="53" spans="1:25" ht="12.75" hidden="1" customHeight="1" x14ac:dyDescent="0.25">
      <c r="A53" s="12" t="s">
        <v>406</v>
      </c>
      <c r="B53" s="175" t="s">
        <v>404</v>
      </c>
      <c r="C53" s="175"/>
      <c r="D53" s="175"/>
      <c r="E53" s="115">
        <f ca="1">IF(ISBLANK($E$52),"",IF(YEAR(TODAY())-YEAR($E$52)&lt;0,"",YEAR(TODAY())-YEAR($E$52)))</f>
        <v>28</v>
      </c>
      <c r="F53" s="115"/>
      <c r="V53" s="61"/>
      <c r="W53" s="61"/>
      <c r="Y53" s="62"/>
    </row>
    <row r="54" spans="1:25" ht="12.75" hidden="1" customHeight="1" x14ac:dyDescent="0.25">
      <c r="A54" s="12" t="s">
        <v>406</v>
      </c>
      <c r="V54" s="61"/>
      <c r="W54" s="61"/>
      <c r="Y54" s="62"/>
    </row>
    <row r="55" spans="1:25" ht="12.75" hidden="1" customHeight="1" x14ac:dyDescent="0.25">
      <c r="A55" s="12" t="s">
        <v>406</v>
      </c>
      <c r="B55" s="175" t="s">
        <v>407</v>
      </c>
      <c r="C55" s="175"/>
      <c r="D55" s="175"/>
      <c r="E55" s="115">
        <f ca="1">IF($G$5="Nelson",Nelson!$E$11,MIN(25,75-$E$53))</f>
        <v>25</v>
      </c>
      <c r="F55" s="115"/>
      <c r="G55" s="12" t="str">
        <f ca="1">IF(OR($E$53&gt;65,$E$53+$E$55&gt;75),"!","")</f>
        <v/>
      </c>
      <c r="V55" s="61"/>
      <c r="W55" s="61"/>
      <c r="Y55" s="62"/>
    </row>
    <row r="56" spans="1:25" ht="12.75" hidden="1" customHeight="1" x14ac:dyDescent="0.25">
      <c r="A56" s="12" t="s">
        <v>406</v>
      </c>
      <c r="V56" s="61"/>
      <c r="W56" s="61"/>
      <c r="Y56" s="62"/>
    </row>
    <row r="57" spans="1:25" ht="12.75" hidden="1" customHeight="1" x14ac:dyDescent="0.25">
      <c r="A57" s="12" t="s">
        <v>406</v>
      </c>
      <c r="B57" s="175" t="s">
        <v>403</v>
      </c>
      <c r="C57" s="175"/>
      <c r="D57" s="175"/>
      <c r="E57" s="131" t="str">
        <f>IF($G$5="MetMax",MetMax!$C$12,IF($G$5="MetCare",MetCare!$C$12,Nelson!$E$14))</f>
        <v>Havi</v>
      </c>
      <c r="F57" s="131"/>
      <c r="V57" s="61"/>
      <c r="W57" s="61"/>
      <c r="Y57" s="62"/>
    </row>
    <row r="58" spans="1:25" ht="12.75" hidden="1" customHeight="1" x14ac:dyDescent="0.25">
      <c r="A58" s="12" t="s">
        <v>406</v>
      </c>
      <c r="E58" s="12" t="str">
        <f>IF(ISBLANK($E$57),"Éves",$E$57)</f>
        <v>Havi</v>
      </c>
      <c r="V58" s="61"/>
      <c r="W58" s="61"/>
      <c r="Y58" s="62"/>
    </row>
    <row r="59" spans="1:25" ht="12.75" hidden="1" customHeight="1" x14ac:dyDescent="0.25">
      <c r="A59" s="12" t="s">
        <v>406</v>
      </c>
      <c r="B59" s="175" t="s">
        <v>402</v>
      </c>
      <c r="C59" s="175"/>
      <c r="D59" s="175"/>
      <c r="E59" s="131" t="str">
        <f>IF($G$5="MetMax",MetMax!$C$14,IF($G$5="MetCare",MetCare!$C$14,Nelson!$E$15))</f>
        <v>Átutalás</v>
      </c>
      <c r="F59" s="131"/>
      <c r="T59" s="61"/>
      <c r="U59" s="61"/>
      <c r="V59" s="61"/>
      <c r="W59" s="61"/>
      <c r="X59" s="62"/>
      <c r="Y59" s="62"/>
    </row>
    <row r="60" spans="1:25" hidden="1" x14ac:dyDescent="0.25">
      <c r="A60" s="12" t="s">
        <v>406</v>
      </c>
    </row>
    <row r="61" spans="1:25" hidden="1" x14ac:dyDescent="0.25">
      <c r="A61" s="12" t="s">
        <v>406</v>
      </c>
      <c r="B61" s="175" t="s">
        <v>401</v>
      </c>
      <c r="C61" s="175"/>
      <c r="D61" s="175"/>
      <c r="E61" s="131" t="s">
        <v>37</v>
      </c>
      <c r="F61" s="131"/>
      <c r="H61" s="61" t="str">
        <f>IF(COUNTIF($L$74:$M$76,"Ezt kérem!")&gt;1,"Egy szerződéshez egyszerre csak egyfajta Kritikus betegség biztosítás választható.","")</f>
        <v/>
      </c>
    </row>
    <row r="62" spans="1:25" ht="12.75" hidden="1" customHeight="1" x14ac:dyDescent="0.25">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5">
      <c r="A63" s="12" t="s">
        <v>406</v>
      </c>
      <c r="C63" s="32"/>
      <c r="D63" s="33"/>
    </row>
    <row r="64" spans="1:25" ht="12.75" hidden="1" customHeight="1" x14ac:dyDescent="0.25">
      <c r="A64" s="12" t="s">
        <v>406</v>
      </c>
      <c r="B64" s="190" t="s">
        <v>421</v>
      </c>
      <c r="C64" s="191"/>
      <c r="D64" s="191"/>
      <c r="E64" s="191"/>
      <c r="F64" s="191"/>
      <c r="G64" s="191"/>
      <c r="H64" s="192"/>
      <c r="J64" s="193" t="s">
        <v>386</v>
      </c>
      <c r="K64" s="194"/>
      <c r="L64" s="194"/>
      <c r="M64" s="195"/>
      <c r="N64" s="126" t="str">
        <f ca="1">IF(COUNTIF($L$70:$M$94,"Ezt kérem!")=0,"---",'EÜ. limitek'!$J$17)</f>
        <v>Egészségi nyilatkozat</v>
      </c>
      <c r="O64" s="127"/>
      <c r="P64" s="36"/>
      <c r="Q64" s="36"/>
      <c r="R64" s="55"/>
      <c r="S64" s="36"/>
      <c r="T64" s="36"/>
    </row>
    <row r="65" spans="1:42" ht="12.75" hidden="1" customHeight="1" x14ac:dyDescent="0.25">
      <c r="A65" s="12" t="s">
        <v>406</v>
      </c>
      <c r="B65" s="178" t="str">
        <f>IF($G$5="MetMax",IF(MetMax!$B$23="","Egyéb",MetMax!$B$23),IF($G$5="MetCare",IF(MetCare!$B$23="","Egyéb",MetCare!$B$23),IF(Nelson!$B$21="","Egyéb",Nelson!$B$21)))</f>
        <v>Irodai munkatevékenység</v>
      </c>
      <c r="C65" s="179"/>
      <c r="D65" s="179"/>
      <c r="E65" s="179"/>
      <c r="F65" s="179"/>
      <c r="G65" s="179"/>
      <c r="H65" s="180"/>
      <c r="J65" s="196"/>
      <c r="K65" s="197"/>
      <c r="L65" s="197"/>
      <c r="M65" s="198"/>
      <c r="N65" s="128"/>
      <c r="O65" s="129"/>
      <c r="P65" s="36"/>
      <c r="Q65" s="36"/>
      <c r="R65" s="55"/>
      <c r="S65" s="36"/>
      <c r="T65" s="36"/>
    </row>
    <row r="66" spans="1:42" ht="12.75" hidden="1" customHeight="1" x14ac:dyDescent="0.25">
      <c r="A66" s="12" t="s">
        <v>406</v>
      </c>
    </row>
    <row r="67" spans="1:42" hidden="1" x14ac:dyDescent="0.25">
      <c r="A67" s="12" t="s">
        <v>406</v>
      </c>
      <c r="B67" s="130" t="s">
        <v>130</v>
      </c>
      <c r="C67" s="130"/>
      <c r="D67" s="130"/>
      <c r="E67" s="130"/>
      <c r="F67" s="130"/>
      <c r="G67" s="130"/>
      <c r="H67" s="130"/>
      <c r="I67" s="130"/>
      <c r="J67" s="130" t="s">
        <v>40</v>
      </c>
      <c r="K67" s="130"/>
      <c r="L67" s="130" t="s">
        <v>41</v>
      </c>
      <c r="M67" s="130"/>
      <c r="O67" s="12" t="s">
        <v>387</v>
      </c>
      <c r="P67" s="75"/>
      <c r="Q67" s="75"/>
    </row>
    <row r="68" spans="1:42" hidden="1" x14ac:dyDescent="0.25">
      <c r="A68" s="12" t="s">
        <v>406</v>
      </c>
      <c r="B68" s="130"/>
      <c r="C68" s="130"/>
      <c r="D68" s="130"/>
      <c r="E68" s="130"/>
      <c r="F68" s="130"/>
      <c r="G68" s="130"/>
      <c r="H68" s="130"/>
      <c r="I68" s="130"/>
      <c r="J68" s="130"/>
      <c r="K68" s="130"/>
      <c r="L68" s="130"/>
      <c r="M68" s="130"/>
      <c r="O68" s="16"/>
      <c r="P68" s="75"/>
      <c r="Q68" s="75">
        <f ca="1">IF($Q$99&lt;$R$68,0,HLOOKUP($Q$99,$R$68:$AP$69,2,0))</f>
        <v>25</v>
      </c>
      <c r="R68" s="59">
        <f ca="1">$E$53-1+R$69</f>
        <v>28</v>
      </c>
      <c r="S68" s="59">
        <f t="shared" ref="S68:AP68" ca="1" si="3">$E$53-1+S$69</f>
        <v>29</v>
      </c>
      <c r="T68" s="59">
        <f t="shared" ca="1" si="3"/>
        <v>30</v>
      </c>
      <c r="U68" s="59">
        <f t="shared" ca="1" si="3"/>
        <v>31</v>
      </c>
      <c r="V68" s="59">
        <f t="shared" ca="1" si="3"/>
        <v>32</v>
      </c>
      <c r="W68" s="59">
        <f t="shared" ca="1" si="3"/>
        <v>33</v>
      </c>
      <c r="X68" s="59">
        <f t="shared" ca="1" si="3"/>
        <v>34</v>
      </c>
      <c r="Y68" s="59">
        <f t="shared" ca="1" si="3"/>
        <v>35</v>
      </c>
      <c r="Z68" s="59">
        <f t="shared" ca="1" si="3"/>
        <v>36</v>
      </c>
      <c r="AA68" s="59">
        <f t="shared" ca="1" si="3"/>
        <v>37</v>
      </c>
      <c r="AB68" s="59">
        <f t="shared" ca="1" si="3"/>
        <v>38</v>
      </c>
      <c r="AC68" s="59">
        <f t="shared" ca="1" si="3"/>
        <v>39</v>
      </c>
      <c r="AD68" s="59">
        <f t="shared" ca="1" si="3"/>
        <v>40</v>
      </c>
      <c r="AE68" s="59">
        <f t="shared" ca="1" si="3"/>
        <v>41</v>
      </c>
      <c r="AF68" s="59">
        <f t="shared" ca="1" si="3"/>
        <v>42</v>
      </c>
      <c r="AG68" s="59">
        <f t="shared" ca="1" si="3"/>
        <v>43</v>
      </c>
      <c r="AH68" s="59">
        <f t="shared" ca="1" si="3"/>
        <v>44</v>
      </c>
      <c r="AI68" s="59">
        <f t="shared" ca="1" si="3"/>
        <v>45</v>
      </c>
      <c r="AJ68" s="59">
        <f t="shared" ca="1" si="3"/>
        <v>46</v>
      </c>
      <c r="AK68" s="59">
        <f t="shared" ca="1" si="3"/>
        <v>47</v>
      </c>
      <c r="AL68" s="59">
        <f t="shared" ca="1" si="3"/>
        <v>48</v>
      </c>
      <c r="AM68" s="59">
        <f t="shared" ca="1" si="3"/>
        <v>49</v>
      </c>
      <c r="AN68" s="59">
        <f t="shared" ca="1" si="3"/>
        <v>50</v>
      </c>
      <c r="AO68" s="59">
        <f t="shared" ca="1" si="3"/>
        <v>51</v>
      </c>
      <c r="AP68" s="59">
        <f t="shared" ca="1" si="3"/>
        <v>52</v>
      </c>
    </row>
    <row r="69" spans="1:42" hidden="1" x14ac:dyDescent="0.25">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5">
      <c r="A70" s="12" t="s">
        <v>406</v>
      </c>
      <c r="B70" s="175" t="s">
        <v>413</v>
      </c>
      <c r="C70" s="175"/>
      <c r="D70" s="175"/>
      <c r="E70" s="104" t="s">
        <v>0</v>
      </c>
      <c r="F70" s="104"/>
      <c r="G70" s="104"/>
      <c r="H70" s="104"/>
      <c r="I70" s="104"/>
      <c r="J70" s="188">
        <f>IF($G$5="MetMax",MetMax!$H$28,IF($G$5="MetCare",MetCare!$H$28,Nelson!$J$26))</f>
        <v>2500000</v>
      </c>
      <c r="K70" s="189"/>
      <c r="L70" s="186" t="str">
        <f>IF($G$5="MetMax",MetMax!$J$28,IF($G$5="MetCare",MetCare!$J$28,Nelson!$N$26))</f>
        <v>Ezt kérem!</v>
      </c>
      <c r="M70" s="187"/>
      <c r="N70" s="73"/>
      <c r="O70" s="16">
        <f>IF(ISBLANK($B$65),0,VLOOKUP($B$65,'Foglalkozási pótdíjak'!$A$3:$K$494,2,0))</f>
        <v>0</v>
      </c>
      <c r="Q70" s="59">
        <f ca="1">IF($L$70="Ezt kérem!",MIN($E$53+$E$55-1,74,64),"")</f>
        <v>52</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202</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212</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233</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258</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287</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322</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360</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412</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464</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516</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582</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660</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762</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882</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1018</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1176</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1354</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1562</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1805</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2084</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2381</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2691</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3000</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3312</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3635</v>
      </c>
    </row>
    <row r="71" spans="1:42" hidden="1" x14ac:dyDescent="0.25">
      <c r="A71" s="12" t="s">
        <v>406</v>
      </c>
      <c r="B71" s="175"/>
      <c r="C71" s="175"/>
      <c r="D71" s="175"/>
      <c r="E71" s="104" t="s">
        <v>1</v>
      </c>
      <c r="F71" s="104"/>
      <c r="G71" s="104"/>
      <c r="H71" s="104"/>
      <c r="I71" s="104"/>
      <c r="J71" s="188">
        <f>IF($G$5="MetMax",MetMax!$H$29,IF($G$5="MetCare",MetCare!$H$29,Nelson!$J$27))</f>
        <v>3000000</v>
      </c>
      <c r="K71" s="189"/>
      <c r="L71" s="185">
        <f>IF($G$5="MetMax",MetMax!$J$29,IF($G$5="MetCare",MetCare!$J$29,Nelson!$N$27))</f>
        <v>0</v>
      </c>
      <c r="M71" s="185"/>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490</v>
      </c>
      <c r="S71" s="60">
        <f ca="1">IF(OR(ISBLANK($E$52),S$69&gt;$E$55),"",ROUND(VLOOKUP(S$68,'MM-MC Tarifák'!$A$3:$AQ$67,HLOOKUP($E71,'MM-MC Tarifák'!$B$1:$AQ$2,2,0),0)/1000*$J$71*IF(OR(AND($E$61="Forint",$J$71&gt;=500000,$J$71&lt;=100000000),AND($E$61="Euró",$J$71&gt;=1700,$J$71&lt;=325000)),1,0)*VLOOKUP($E$58,Paraméterek!$K$1:$L$4,2,0)*IF($O$71="Kizárás",1,1+$O$71),IF($E$61="Forint",0,2)))</f>
        <v>490</v>
      </c>
      <c r="T71" s="60">
        <f ca="1">IF(OR(ISBLANK($E$52),T$69&gt;$E$55),"",ROUND(VLOOKUP(T$68,'MM-MC Tarifák'!$A$3:$AQ$67,HLOOKUP($E71,'MM-MC Tarifák'!$B$1:$AQ$2,2,0),0)/1000*$J$71*IF(OR(AND($E$61="Forint",$J$71&gt;=500000,$J$71&lt;=100000000),AND($E$61="Euró",$J$71&gt;=1700,$J$71&lt;=325000)),1,0)*VLOOKUP($E$58,Paraméterek!$K$1:$L$4,2,0)*IF($O$71="Kizárás",1,1+$O$71),IF($E$61="Forint",0,2)))</f>
        <v>490</v>
      </c>
      <c r="U71" s="60">
        <f ca="1">IF(OR(ISBLANK($E$52),U$69&gt;$E$55),"",ROUND(VLOOKUP(U$68,'MM-MC Tarifák'!$A$3:$AQ$67,HLOOKUP($E71,'MM-MC Tarifák'!$B$1:$AQ$2,2,0),0)/1000*$J$71*IF(OR(AND($E$61="Forint",$J$71&gt;=500000,$J$71&lt;=100000000),AND($E$61="Euró",$J$71&gt;=1700,$J$71&lt;=325000)),1,0)*VLOOKUP($E$58,Paraméterek!$K$1:$L$4,2,0)*IF($O$71="Kizárás",1,1+$O$71),IF($E$61="Forint",0,2)))</f>
        <v>490</v>
      </c>
      <c r="V71" s="60">
        <f ca="1">IF(OR(ISBLANK($E$52),V$69&gt;$E$55),"",ROUND(VLOOKUP(V$68,'MM-MC Tarifák'!$A$3:$AQ$67,HLOOKUP($E71,'MM-MC Tarifák'!$B$1:$AQ$2,2,0),0)/1000*$J$71*IF(OR(AND($E$61="Forint",$J$71&gt;=500000,$J$71&lt;=100000000),AND($E$61="Euró",$J$71&gt;=1700,$J$71&lt;=325000)),1,0)*VLOOKUP($E$58,Paraméterek!$K$1:$L$4,2,0)*IF($O$71="Kizárás",1,1+$O$71),IF($E$61="Forint",0,2)))</f>
        <v>490</v>
      </c>
      <c r="W71" s="60">
        <f ca="1">IF(OR(ISBLANK($E$52),W$69&gt;$E$55),"",ROUND(VLOOKUP(W$68,'MM-MC Tarifák'!$A$3:$AQ$67,HLOOKUP($E71,'MM-MC Tarifák'!$B$1:$AQ$2,2,0),0)/1000*$J$71*IF(OR(AND($E$61="Forint",$J$71&gt;=500000,$J$71&lt;=100000000),AND($E$61="Euró",$J$71&gt;=1700,$J$71&lt;=325000)),1,0)*VLOOKUP($E$58,Paraméterek!$K$1:$L$4,2,0)*IF($O$71="Kizárás",1,1+$O$71),IF($E$61="Forint",0,2)))</f>
        <v>490</v>
      </c>
      <c r="X71" s="60">
        <f ca="1">IF(OR(ISBLANK($E$52),X$69&gt;$E$55),"",ROUND(VLOOKUP(X$68,'MM-MC Tarifák'!$A$3:$AQ$67,HLOOKUP($E71,'MM-MC Tarifák'!$B$1:$AQ$2,2,0),0)/1000*$J$71*IF(OR(AND($E$61="Forint",$J$71&gt;=500000,$J$71&lt;=100000000),AND($E$61="Euró",$J$71&gt;=1700,$J$71&lt;=325000)),1,0)*VLOOKUP($E$58,Paraméterek!$K$1:$L$4,2,0)*IF($O$71="Kizárás",1,1+$O$71),IF($E$61="Forint",0,2)))</f>
        <v>490</v>
      </c>
      <c r="Y71" s="60">
        <f ca="1">IF(OR(ISBLANK($E$52),Y$69&gt;$E$55),"",ROUND(VLOOKUP(Y$68,'MM-MC Tarifák'!$A$3:$AQ$67,HLOOKUP($E71,'MM-MC Tarifák'!$B$1:$AQ$2,2,0),0)/1000*$J$71*IF(OR(AND($E$61="Forint",$J$71&gt;=500000,$J$71&lt;=100000000),AND($E$61="Euró",$J$71&gt;=1700,$J$71&lt;=325000)),1,0)*VLOOKUP($E$58,Paraméterek!$K$1:$L$4,2,0)*IF($O$71="Kizárás",1,1+$O$71),IF($E$61="Forint",0,2)))</f>
        <v>490</v>
      </c>
      <c r="Z71" s="60">
        <f ca="1">IF(OR(ISBLANK($E$52),Z$69&gt;$E$55),"",ROUND(VLOOKUP(Z$68,'MM-MC Tarifák'!$A$3:$AQ$67,HLOOKUP($E71,'MM-MC Tarifák'!$B$1:$AQ$2,2,0),0)/1000*$J$71*IF(OR(AND($E$61="Forint",$J$71&gt;=500000,$J$71&lt;=100000000),AND($E$61="Euró",$J$71&gt;=1700,$J$71&lt;=325000)),1,0)*VLOOKUP($E$58,Paraméterek!$K$1:$L$4,2,0)*IF($O$71="Kizárás",1,1+$O$71),IF($E$61="Forint",0,2)))</f>
        <v>490</v>
      </c>
      <c r="AA71" s="60">
        <f ca="1">IF(OR(ISBLANK($E$52),AA$69&gt;$E$55),"",ROUND(VLOOKUP(AA$68,'MM-MC Tarifák'!$A$3:$AQ$67,HLOOKUP($E71,'MM-MC Tarifák'!$B$1:$AQ$2,2,0),0)/1000*$J$71*IF(OR(AND($E$61="Forint",$J$71&gt;=500000,$J$71&lt;=100000000),AND($E$61="Euró",$J$71&gt;=1700,$J$71&lt;=325000)),1,0)*VLOOKUP($E$58,Paraméterek!$K$1:$L$4,2,0)*IF($O$71="Kizárás",1,1+$O$71),IF($E$61="Forint",0,2)))</f>
        <v>490</v>
      </c>
      <c r="AB71" s="60">
        <f ca="1">IF(OR(ISBLANK($E$52),AB$69&gt;$E$55),"",ROUND(VLOOKUP(AB$68,'MM-MC Tarifák'!$A$3:$AQ$67,HLOOKUP($E71,'MM-MC Tarifák'!$B$1:$AQ$2,2,0),0)/1000*$J$71*IF(OR(AND($E$61="Forint",$J$71&gt;=500000,$J$71&lt;=100000000),AND($E$61="Euró",$J$71&gt;=1700,$J$71&lt;=325000)),1,0)*VLOOKUP($E$58,Paraméterek!$K$1:$L$4,2,0)*IF($O$71="Kizárás",1,1+$O$71),IF($E$61="Forint",0,2)))</f>
        <v>490</v>
      </c>
      <c r="AC71" s="60">
        <f ca="1">IF(OR(ISBLANK($E$52),AC$69&gt;$E$55),"",ROUND(VLOOKUP(AC$68,'MM-MC Tarifák'!$A$3:$AQ$67,HLOOKUP($E71,'MM-MC Tarifák'!$B$1:$AQ$2,2,0),0)/1000*$J$71*IF(OR(AND($E$61="Forint",$J$71&gt;=500000,$J$71&lt;=100000000),AND($E$61="Euró",$J$71&gt;=1700,$J$71&lt;=325000)),1,0)*VLOOKUP($E$58,Paraméterek!$K$1:$L$4,2,0)*IF($O$71="Kizárás",1,1+$O$71),IF($E$61="Forint",0,2)))</f>
        <v>490</v>
      </c>
      <c r="AD71" s="60">
        <f ca="1">IF(OR(ISBLANK($E$52),AD$69&gt;$E$55),"",ROUND(VLOOKUP(AD$68,'MM-MC Tarifák'!$A$3:$AQ$67,HLOOKUP($E71,'MM-MC Tarifák'!$B$1:$AQ$2,2,0),0)/1000*$J$71*IF(OR(AND($E$61="Forint",$J$71&gt;=500000,$J$71&lt;=100000000),AND($E$61="Euró",$J$71&gt;=1700,$J$71&lt;=325000)),1,0)*VLOOKUP($E$58,Paraméterek!$K$1:$L$4,2,0)*IF($O$71="Kizárás",1,1+$O$71),IF($E$61="Forint",0,2)))</f>
        <v>490</v>
      </c>
      <c r="AE71" s="60">
        <f ca="1">IF(OR(ISBLANK($E$52),AE$69&gt;$E$55),"",ROUND(VLOOKUP(AE$68,'MM-MC Tarifák'!$A$3:$AQ$67,HLOOKUP($E71,'MM-MC Tarifák'!$B$1:$AQ$2,2,0),0)/1000*$J$71*IF(OR(AND($E$61="Forint",$J$71&gt;=500000,$J$71&lt;=100000000),AND($E$61="Euró",$J$71&gt;=1700,$J$71&lt;=325000)),1,0)*VLOOKUP($E$58,Paraméterek!$K$1:$L$4,2,0)*IF($O$71="Kizárás",1,1+$O$71),IF($E$61="Forint",0,2)))</f>
        <v>490</v>
      </c>
      <c r="AF71" s="60">
        <f ca="1">IF(OR(ISBLANK($E$52),AF$69&gt;$E$55),"",ROUND(VLOOKUP(AF$68,'MM-MC Tarifák'!$A$3:$AQ$67,HLOOKUP($E71,'MM-MC Tarifák'!$B$1:$AQ$2,2,0),0)/1000*$J$71*IF(OR(AND($E$61="Forint",$J$71&gt;=500000,$J$71&lt;=100000000),AND($E$61="Euró",$J$71&gt;=1700,$J$71&lt;=325000)),1,0)*VLOOKUP($E$58,Paraméterek!$K$1:$L$4,2,0)*IF($O$71="Kizárás",1,1+$O$71),IF($E$61="Forint",0,2)))</f>
        <v>490</v>
      </c>
      <c r="AG71" s="60">
        <f ca="1">IF(OR(ISBLANK($E$52),AG$69&gt;$E$55),"",ROUND(VLOOKUP(AG$68,'MM-MC Tarifák'!$A$3:$AQ$67,HLOOKUP($E71,'MM-MC Tarifák'!$B$1:$AQ$2,2,0),0)/1000*$J$71*IF(OR(AND($E$61="Forint",$J$71&gt;=500000,$J$71&lt;=100000000),AND($E$61="Euró",$J$71&gt;=1700,$J$71&lt;=325000)),1,0)*VLOOKUP($E$58,Paraméterek!$K$1:$L$4,2,0)*IF($O$71="Kizárás",1,1+$O$71),IF($E$61="Forint",0,2)))</f>
        <v>490</v>
      </c>
      <c r="AH71" s="60">
        <f ca="1">IF(OR(ISBLANK($E$52),AH$69&gt;$E$55),"",ROUND(VLOOKUP(AH$68,'MM-MC Tarifák'!$A$3:$AQ$67,HLOOKUP($E71,'MM-MC Tarifák'!$B$1:$AQ$2,2,0),0)/1000*$J$71*IF(OR(AND($E$61="Forint",$J$71&gt;=500000,$J$71&lt;=100000000),AND($E$61="Euró",$J$71&gt;=1700,$J$71&lt;=325000)),1,0)*VLOOKUP($E$58,Paraméterek!$K$1:$L$4,2,0)*IF($O$71="Kizárás",1,1+$O$71),IF($E$61="Forint",0,2)))</f>
        <v>490</v>
      </c>
      <c r="AI71" s="60">
        <f ca="1">IF(OR(ISBLANK($E$52),AI$69&gt;$E$55),"",ROUND(VLOOKUP(AI$68,'MM-MC Tarifák'!$A$3:$AQ$67,HLOOKUP($E71,'MM-MC Tarifák'!$B$1:$AQ$2,2,0),0)/1000*$J$71*IF(OR(AND($E$61="Forint",$J$71&gt;=500000,$J$71&lt;=100000000),AND($E$61="Euró",$J$71&gt;=1700,$J$71&lt;=325000)),1,0)*VLOOKUP($E$58,Paraméterek!$K$1:$L$4,2,0)*IF($O$71="Kizárás",1,1+$O$71),IF($E$61="Forint",0,2)))</f>
        <v>490</v>
      </c>
      <c r="AJ71" s="60">
        <f ca="1">IF(OR(ISBLANK($E$52),AJ$69&gt;$E$55),"",ROUND(VLOOKUP(AJ$68,'MM-MC Tarifák'!$A$3:$AQ$67,HLOOKUP($E71,'MM-MC Tarifák'!$B$1:$AQ$2,2,0),0)/1000*$J$71*IF(OR(AND($E$61="Forint",$J$71&gt;=500000,$J$71&lt;=100000000),AND($E$61="Euró",$J$71&gt;=1700,$J$71&lt;=325000)),1,0)*VLOOKUP($E$58,Paraméterek!$K$1:$L$4,2,0)*IF($O$71="Kizárás",1,1+$O$71),IF($E$61="Forint",0,2)))</f>
        <v>490</v>
      </c>
      <c r="AK71" s="60">
        <f ca="1">IF(OR(ISBLANK($E$52),AK$69&gt;$E$55),"",ROUND(VLOOKUP(AK$68,'MM-MC Tarifák'!$A$3:$AQ$67,HLOOKUP($E71,'MM-MC Tarifák'!$B$1:$AQ$2,2,0),0)/1000*$J$71*IF(OR(AND($E$61="Forint",$J$71&gt;=500000,$J$71&lt;=100000000),AND($E$61="Euró",$J$71&gt;=1700,$J$71&lt;=325000)),1,0)*VLOOKUP($E$58,Paraméterek!$K$1:$L$4,2,0)*IF($O$71="Kizárás",1,1+$O$71),IF($E$61="Forint",0,2)))</f>
        <v>490</v>
      </c>
      <c r="AL71" s="60">
        <f ca="1">IF(OR(ISBLANK($E$52),AL$69&gt;$E$55),"",ROUND(VLOOKUP(AL$68,'MM-MC Tarifák'!$A$3:$AQ$67,HLOOKUP($E71,'MM-MC Tarifák'!$B$1:$AQ$2,2,0),0)/1000*$J$71*IF(OR(AND($E$61="Forint",$J$71&gt;=500000,$J$71&lt;=100000000),AND($E$61="Euró",$J$71&gt;=1700,$J$71&lt;=325000)),1,0)*VLOOKUP($E$58,Paraméterek!$K$1:$L$4,2,0)*IF($O$71="Kizárás",1,1+$O$71),IF($E$61="Forint",0,2)))</f>
        <v>490</v>
      </c>
      <c r="AM71" s="60">
        <f ca="1">IF(OR(ISBLANK($E$52),AM$69&gt;$E$55),"",ROUND(VLOOKUP(AM$68,'MM-MC Tarifák'!$A$3:$AQ$67,HLOOKUP($E71,'MM-MC Tarifák'!$B$1:$AQ$2,2,0),0)/1000*$J$71*IF(OR(AND($E$61="Forint",$J$71&gt;=500000,$J$71&lt;=100000000),AND($E$61="Euró",$J$71&gt;=1700,$J$71&lt;=325000)),1,0)*VLOOKUP($E$58,Paraméterek!$K$1:$L$4,2,0)*IF($O$71="Kizárás",1,1+$O$71),IF($E$61="Forint",0,2)))</f>
        <v>490</v>
      </c>
      <c r="AN71" s="60">
        <f ca="1">IF(OR(ISBLANK($E$52),AN$69&gt;$E$55),"",ROUND(VLOOKUP(AN$68,'MM-MC Tarifák'!$A$3:$AQ$67,HLOOKUP($E71,'MM-MC Tarifák'!$B$1:$AQ$2,2,0),0)/1000*$J$71*IF(OR(AND($E$61="Forint",$J$71&gt;=500000,$J$71&lt;=100000000),AND($E$61="Euró",$J$71&gt;=1700,$J$71&lt;=325000)),1,0)*VLOOKUP($E$58,Paraméterek!$K$1:$L$4,2,0)*IF($O$71="Kizárás",1,1+$O$71),IF($E$61="Forint",0,2)))</f>
        <v>490</v>
      </c>
      <c r="AO71" s="60">
        <f ca="1">IF(OR(ISBLANK($E$52),AO$69&gt;$E$55),"",ROUND(VLOOKUP(AO$68,'MM-MC Tarifák'!$A$3:$AQ$67,HLOOKUP($E71,'MM-MC Tarifák'!$B$1:$AQ$2,2,0),0)/1000*$J$71*IF(OR(AND($E$61="Forint",$J$71&gt;=500000,$J$71&lt;=100000000),AND($E$61="Euró",$J$71&gt;=1700,$J$71&lt;=325000)),1,0)*VLOOKUP($E$58,Paraméterek!$K$1:$L$4,2,0)*IF($O$71="Kizárás",1,1+$O$71),IF($E$61="Forint",0,2)))</f>
        <v>490</v>
      </c>
      <c r="AP71" s="60">
        <f ca="1">IF(OR(ISBLANK($E$52),AP$69&gt;$E$55),"",ROUND(VLOOKUP(AP$68,'MM-MC Tarifák'!$A$3:$AQ$67,HLOOKUP($E71,'MM-MC Tarifák'!$B$1:$AQ$2,2,0),0)/1000*$J$71*IF(OR(AND($E$61="Forint",$J$71&gt;=500000,$J$71&lt;=100000000),AND($E$61="Euró",$J$71&gt;=1700,$J$71&lt;=325000)),1,0)*VLOOKUP($E$58,Paraméterek!$K$1:$L$4,2,0)*IF($O$71="Kizárás",1,1+$O$71),IF($E$61="Forint",0,2)))</f>
        <v>490</v>
      </c>
    </row>
    <row r="72" spans="1:42" hidden="1" x14ac:dyDescent="0.25">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5">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5">
      <c r="A74" s="12" t="s">
        <v>406</v>
      </c>
      <c r="B74" s="175" t="s">
        <v>4</v>
      </c>
      <c r="C74" s="175"/>
      <c r="D74" s="175"/>
      <c r="E74" s="104" t="s">
        <v>62</v>
      </c>
      <c r="F74" s="104"/>
      <c r="G74" s="104"/>
      <c r="H74" s="104"/>
      <c r="I74" s="104"/>
      <c r="J74" s="184">
        <f>IF($G$5="MetMax",MetMax!$H$35,IF($G$5="MetCare",MetCare!$H$35,Nelson!$J$30))</f>
        <v>10000000</v>
      </c>
      <c r="K74" s="184"/>
      <c r="L74" s="185">
        <f>IF($G$5="MetMax",MetMax!$J$35,IF($G$5="MetCare",MetCare!$J$35,Nelson!$N$30))</f>
        <v>0</v>
      </c>
      <c r="M74" s="185"/>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1231</v>
      </c>
      <c r="S74" s="60">
        <f ca="1">IF(OR(ISBLANK($E$52),S$69&gt;$E$55),"",ROUND(VLOOKUP(S$68,'MM-MC Tarifák'!$A$3:$AQ$67,HLOOKUP($E74,'MM-MC Tarifák'!$B$1:$AQ$2,2,0),0)/1000*$J$74*IF(OR(AND($E$61="Forint",$J$74&gt;=1000000,$J$74&lt;=50000000),AND($E$61="Euró",$J$74&gt;=3400,$J$74&lt;=162500)),1,0)*VLOOKUP($E$58,Paraméterek!$K$1:$L$4,2,0)*IF($O$74="Kizárás",1,1+$O$74),IF($E$61="Forint",0,2)))</f>
        <v>1333</v>
      </c>
      <c r="T74" s="60">
        <f ca="1">IF(OR(ISBLANK($E$52),T$69&gt;$E$55),"",ROUND(VLOOKUP(T$68,'MM-MC Tarifák'!$A$3:$AQ$67,HLOOKUP($E74,'MM-MC Tarifák'!$B$1:$AQ$2,2,0),0)/1000*$J$74*IF(OR(AND($E$61="Forint",$J$74&gt;=1000000,$J$74&lt;=50000000),AND($E$61="Euró",$J$74&gt;=3400,$J$74&lt;=162500)),1,0)*VLOOKUP($E$58,Paraméterek!$K$1:$L$4,2,0)*IF($O$74="Kizárás",1,1+$O$74),IF($E$61="Forint",0,2)))</f>
        <v>1436</v>
      </c>
      <c r="U74" s="60">
        <f ca="1">IF(OR(ISBLANK($E$52),U$69&gt;$E$55),"",ROUND(VLOOKUP(U$68,'MM-MC Tarifák'!$A$3:$AQ$67,HLOOKUP($E74,'MM-MC Tarifák'!$B$1:$AQ$2,2,0),0)/1000*$J$74*IF(OR(AND($E$61="Forint",$J$74&gt;=1000000,$J$74&lt;=50000000),AND($E$61="Euró",$J$74&gt;=3400,$J$74&lt;=162500)),1,0)*VLOOKUP($E$58,Paraméterek!$K$1:$L$4,2,0)*IF($O$74="Kizárás",1,1+$O$74),IF($E$61="Forint",0,2)))</f>
        <v>1667</v>
      </c>
      <c r="V74" s="60">
        <f ca="1">IF(OR(ISBLANK($E$52),V$69&gt;$E$55),"",ROUND(VLOOKUP(V$68,'MM-MC Tarifák'!$A$3:$AQ$67,HLOOKUP($E74,'MM-MC Tarifák'!$B$1:$AQ$2,2,0),0)/1000*$J$74*IF(OR(AND($E$61="Forint",$J$74&gt;=1000000,$J$74&lt;=50000000),AND($E$61="Euró",$J$74&gt;=3400,$J$74&lt;=162500)),1,0)*VLOOKUP($E$58,Paraméterek!$K$1:$L$4,2,0)*IF($O$74="Kizárás",1,1+$O$74),IF($E$61="Forint",0,2)))</f>
        <v>1897</v>
      </c>
      <c r="W74" s="60">
        <f ca="1">IF(OR(ISBLANK($E$52),W$69&gt;$E$55),"",ROUND(VLOOKUP(W$68,'MM-MC Tarifák'!$A$3:$AQ$67,HLOOKUP($E74,'MM-MC Tarifák'!$B$1:$AQ$2,2,0),0)/1000*$J$74*IF(OR(AND($E$61="Forint",$J$74&gt;=1000000,$J$74&lt;=50000000),AND($E$61="Euró",$J$74&gt;=3400,$J$74&lt;=162500)),1,0)*VLOOKUP($E$58,Paraméterek!$K$1:$L$4,2,0)*IF($O$74="Kizárás",1,1+$O$74),IF($E$61="Forint",0,2)))</f>
        <v>2128</v>
      </c>
      <c r="X74" s="60">
        <f ca="1">IF(OR(ISBLANK($E$52),X$69&gt;$E$55),"",ROUND(VLOOKUP(X$68,'MM-MC Tarifák'!$A$3:$AQ$67,HLOOKUP($E74,'MM-MC Tarifák'!$B$1:$AQ$2,2,0),0)/1000*$J$74*IF(OR(AND($E$61="Forint",$J$74&gt;=1000000,$J$74&lt;=50000000),AND($E$61="Euró",$J$74&gt;=3400,$J$74&lt;=162500)),1,0)*VLOOKUP($E$58,Paraméterek!$K$1:$L$4,2,0)*IF($O$74="Kizárás",1,1+$O$74),IF($E$61="Forint",0,2)))</f>
        <v>2359</v>
      </c>
      <c r="Y74" s="60">
        <f ca="1">IF(OR(ISBLANK($E$52),Y$69&gt;$E$55),"",ROUND(VLOOKUP(Y$68,'MM-MC Tarifák'!$A$3:$AQ$67,HLOOKUP($E74,'MM-MC Tarifák'!$B$1:$AQ$2,2,0),0)/1000*$J$74*IF(OR(AND($E$61="Forint",$J$74&gt;=1000000,$J$74&lt;=50000000),AND($E$61="Euró",$J$74&gt;=3400,$J$74&lt;=162500)),1,0)*VLOOKUP($E$58,Paraméterek!$K$1:$L$4,2,0)*IF($O$74="Kizárás",1,1+$O$74),IF($E$61="Forint",0,2)))</f>
        <v>2590</v>
      </c>
      <c r="Z74" s="60">
        <f ca="1">IF(OR(ISBLANK($E$52),Z$69&gt;$E$55),"",ROUND(VLOOKUP(Z$68,'MM-MC Tarifák'!$A$3:$AQ$67,HLOOKUP($E74,'MM-MC Tarifák'!$B$1:$AQ$2,2,0),0)/1000*$J$74*IF(OR(AND($E$61="Forint",$J$74&gt;=1000000,$J$74&lt;=50000000),AND($E$61="Euró",$J$74&gt;=3400,$J$74&lt;=162500)),1,0)*VLOOKUP($E$58,Paraméterek!$K$1:$L$4,2,0)*IF($O$74="Kizárás",1,1+$O$74),IF($E$61="Forint",0,2)))</f>
        <v>3077</v>
      </c>
      <c r="AA74" s="60">
        <f ca="1">IF(OR(ISBLANK($E$52),AA$69&gt;$E$55),"",ROUND(VLOOKUP(AA$68,'MM-MC Tarifák'!$A$3:$AQ$67,HLOOKUP($E74,'MM-MC Tarifák'!$B$1:$AQ$2,2,0),0)/1000*$J$74*IF(OR(AND($E$61="Forint",$J$74&gt;=1000000,$J$74&lt;=50000000),AND($E$61="Euró",$J$74&gt;=3400,$J$74&lt;=162500)),1,0)*VLOOKUP($E$58,Paraméterek!$K$1:$L$4,2,0)*IF($O$74="Kizárás",1,1+$O$74),IF($E$61="Forint",0,2)))</f>
        <v>3556</v>
      </c>
      <c r="AB74" s="60">
        <f ca="1">IF(OR(ISBLANK($E$52),AB$69&gt;$E$55),"",ROUND(VLOOKUP(AB$68,'MM-MC Tarifák'!$A$3:$AQ$67,HLOOKUP($E74,'MM-MC Tarifák'!$B$1:$AQ$2,2,0),0)/1000*$J$74*IF(OR(AND($E$61="Forint",$J$74&gt;=1000000,$J$74&lt;=50000000),AND($E$61="Euró",$J$74&gt;=3400,$J$74&lt;=162500)),1,0)*VLOOKUP($E$58,Paraméterek!$K$1:$L$4,2,0)*IF($O$74="Kizárás",1,1+$O$74),IF($E$61="Forint",0,2)))</f>
        <v>4034</v>
      </c>
      <c r="AC74" s="60">
        <f ca="1">IF(OR(ISBLANK($E$52),AC$69&gt;$E$55),"",ROUND(VLOOKUP(AC$68,'MM-MC Tarifák'!$A$3:$AQ$67,HLOOKUP($E74,'MM-MC Tarifák'!$B$1:$AQ$2,2,0),0)/1000*$J$74*IF(OR(AND($E$61="Forint",$J$74&gt;=1000000,$J$74&lt;=50000000),AND($E$61="Euró",$J$74&gt;=3400,$J$74&lt;=162500)),1,0)*VLOOKUP($E$58,Paraméterek!$K$1:$L$4,2,0)*IF($O$74="Kizárás",1,1+$O$74),IF($E$61="Forint",0,2)))</f>
        <v>4521</v>
      </c>
      <c r="AD74" s="60">
        <f ca="1">IF(OR(ISBLANK($E$52),AD$69&gt;$E$55),"",ROUND(VLOOKUP(AD$68,'MM-MC Tarifák'!$A$3:$AQ$67,HLOOKUP($E74,'MM-MC Tarifák'!$B$1:$AQ$2,2,0),0)/1000*$J$74*IF(OR(AND($E$61="Forint",$J$74&gt;=1000000,$J$74&lt;=50000000),AND($E$61="Euró",$J$74&gt;=3400,$J$74&lt;=162500)),1,0)*VLOOKUP($E$58,Paraméterek!$K$1:$L$4,2,0)*IF($O$74="Kizárás",1,1+$O$74),IF($E$61="Forint",0,2)))</f>
        <v>5000</v>
      </c>
      <c r="AE74" s="60">
        <f ca="1">IF(OR(ISBLANK($E$52),AE$69&gt;$E$55),"",ROUND(VLOOKUP(AE$68,'MM-MC Tarifák'!$A$3:$AQ$67,HLOOKUP($E74,'MM-MC Tarifák'!$B$1:$AQ$2,2,0),0)/1000*$J$74*IF(OR(AND($E$61="Forint",$J$74&gt;=1000000,$J$74&lt;=50000000),AND($E$61="Euró",$J$74&gt;=3400,$J$74&lt;=162500)),1,0)*VLOOKUP($E$58,Paraméterek!$K$1:$L$4,2,0)*IF($O$74="Kizárás",1,1+$O$74),IF($E$61="Forint",0,2)))</f>
        <v>5795</v>
      </c>
      <c r="AF74" s="60">
        <f ca="1">IF(OR(ISBLANK($E$52),AF$69&gt;$E$55),"",ROUND(VLOOKUP(AF$68,'MM-MC Tarifák'!$A$3:$AQ$67,HLOOKUP($E74,'MM-MC Tarifák'!$B$1:$AQ$2,2,0),0)/1000*$J$74*IF(OR(AND($E$61="Forint",$J$74&gt;=1000000,$J$74&lt;=50000000),AND($E$61="Euró",$J$74&gt;=3400,$J$74&lt;=162500)),1,0)*VLOOKUP($E$58,Paraméterek!$K$1:$L$4,2,0)*IF($O$74="Kizárás",1,1+$O$74),IF($E$61="Forint",0,2)))</f>
        <v>6573</v>
      </c>
      <c r="AG74" s="60">
        <f ca="1">IF(OR(ISBLANK($E$52),AG$69&gt;$E$55),"",ROUND(VLOOKUP(AG$68,'MM-MC Tarifák'!$A$3:$AQ$67,HLOOKUP($E74,'MM-MC Tarifák'!$B$1:$AQ$2,2,0),0)/1000*$J$74*IF(OR(AND($E$61="Forint",$J$74&gt;=1000000,$J$74&lt;=50000000),AND($E$61="Euró",$J$74&gt;=3400,$J$74&lt;=162500)),1,0)*VLOOKUP($E$58,Paraméterek!$K$1:$L$4,2,0)*IF($O$74="Kizárás",1,1+$O$74),IF($E$61="Forint",0,2)))</f>
        <v>7359</v>
      </c>
      <c r="AH74" s="60">
        <f ca="1">IF(OR(ISBLANK($E$52),AH$69&gt;$E$55),"",ROUND(VLOOKUP(AH$68,'MM-MC Tarifák'!$A$3:$AQ$67,HLOOKUP($E74,'MM-MC Tarifák'!$B$1:$AQ$2,2,0),0)/1000*$J$74*IF(OR(AND($E$61="Forint",$J$74&gt;=1000000,$J$74&lt;=50000000),AND($E$61="Euró",$J$74&gt;=3400,$J$74&lt;=162500)),1,0)*VLOOKUP($E$58,Paraméterek!$K$1:$L$4,2,0)*IF($O$74="Kizárás",1,1+$O$74),IF($E$61="Forint",0,2)))</f>
        <v>8145</v>
      </c>
      <c r="AI74" s="60">
        <f ca="1">IF(OR(ISBLANK($E$52),AI$69&gt;$E$55),"",ROUND(VLOOKUP(AI$68,'MM-MC Tarifák'!$A$3:$AQ$67,HLOOKUP($E74,'MM-MC Tarifák'!$B$1:$AQ$2,2,0),0)/1000*$J$74*IF(OR(AND($E$61="Forint",$J$74&gt;=1000000,$J$74&lt;=50000000),AND($E$61="Euró",$J$74&gt;=3400,$J$74&lt;=162500)),1,0)*VLOOKUP($E$58,Paraméterek!$K$1:$L$4,2,0)*IF($O$74="Kizárás",1,1+$O$74),IF($E$61="Forint",0,2)))</f>
        <v>8932</v>
      </c>
      <c r="AJ74" s="60">
        <f ca="1">IF(OR(ISBLANK($E$52),AJ$69&gt;$E$55),"",ROUND(VLOOKUP(AJ$68,'MM-MC Tarifák'!$A$3:$AQ$67,HLOOKUP($E74,'MM-MC Tarifák'!$B$1:$AQ$2,2,0),0)/1000*$J$74*IF(OR(AND($E$61="Forint",$J$74&gt;=1000000,$J$74&lt;=50000000),AND($E$61="Euró",$J$74&gt;=3400,$J$74&lt;=162500)),1,0)*VLOOKUP($E$58,Paraméterek!$K$1:$L$4,2,0)*IF($O$74="Kizárás",1,1+$O$74),IF($E$61="Forint",0,2)))</f>
        <v>9915</v>
      </c>
      <c r="AK74" s="60">
        <f ca="1">IF(OR(ISBLANK($E$52),AK$69&gt;$E$55),"",ROUND(VLOOKUP(AK$68,'MM-MC Tarifák'!$A$3:$AQ$67,HLOOKUP($E74,'MM-MC Tarifák'!$B$1:$AQ$2,2,0),0)/1000*$J$74*IF(OR(AND($E$61="Forint",$J$74&gt;=1000000,$J$74&lt;=50000000),AND($E$61="Euró",$J$74&gt;=3400,$J$74&lt;=162500)),1,0)*VLOOKUP($E$58,Paraméterek!$K$1:$L$4,2,0)*IF($O$74="Kizárás",1,1+$O$74),IF($E$61="Forint",0,2)))</f>
        <v>10906</v>
      </c>
      <c r="AL74" s="60">
        <f ca="1">IF(OR(ISBLANK($E$52),AL$69&gt;$E$55),"",ROUND(VLOOKUP(AL$68,'MM-MC Tarifák'!$A$3:$AQ$67,HLOOKUP($E74,'MM-MC Tarifák'!$B$1:$AQ$2,2,0),0)/1000*$J$74*IF(OR(AND($E$61="Forint",$J$74&gt;=1000000,$J$74&lt;=50000000),AND($E$61="Euró",$J$74&gt;=3400,$J$74&lt;=162500)),1,0)*VLOOKUP($E$58,Paraméterek!$K$1:$L$4,2,0)*IF($O$74="Kizárás",1,1+$O$74),IF($E$61="Forint",0,2)))</f>
        <v>11889</v>
      </c>
      <c r="AM74" s="60">
        <f ca="1">IF(OR(ISBLANK($E$52),AM$69&gt;$E$55),"",ROUND(VLOOKUP(AM$68,'MM-MC Tarifák'!$A$3:$AQ$67,HLOOKUP($E74,'MM-MC Tarifák'!$B$1:$AQ$2,2,0),0)/1000*$J$74*IF(OR(AND($E$61="Forint",$J$74&gt;=1000000,$J$74&lt;=50000000),AND($E$61="Euró",$J$74&gt;=3400,$J$74&lt;=162500)),1,0)*VLOOKUP($E$58,Paraméterek!$K$1:$L$4,2,0)*IF($O$74="Kizárás",1,1+$O$74),IF($E$61="Forint",0,2)))</f>
        <v>12863</v>
      </c>
      <c r="AN74" s="60">
        <f ca="1">IF(OR(ISBLANK($E$52),AN$69&gt;$E$55),"",ROUND(VLOOKUP(AN$68,'MM-MC Tarifák'!$A$3:$AQ$67,HLOOKUP($E74,'MM-MC Tarifák'!$B$1:$AQ$2,2,0),0)/1000*$J$74*IF(OR(AND($E$61="Forint",$J$74&gt;=1000000,$J$74&lt;=50000000),AND($E$61="Euró",$J$74&gt;=3400,$J$74&lt;=162500)),1,0)*VLOOKUP($E$58,Paraméterek!$K$1:$L$4,2,0)*IF($O$74="Kizárás",1,1+$O$74),IF($E$61="Forint",0,2)))</f>
        <v>13846</v>
      </c>
      <c r="AO74" s="60">
        <f ca="1">IF(OR(ISBLANK($E$52),AO$69&gt;$E$55),"",ROUND(VLOOKUP(AO$68,'MM-MC Tarifák'!$A$3:$AQ$67,HLOOKUP($E74,'MM-MC Tarifák'!$B$1:$AQ$2,2,0),0)/1000*$J$74*IF(OR(AND($E$61="Forint",$J$74&gt;=1000000,$J$74&lt;=50000000),AND($E$61="Euró",$J$74&gt;=3400,$J$74&lt;=162500)),1,0)*VLOOKUP($E$58,Paraméterek!$K$1:$L$4,2,0)*IF($O$74="Kizárás",1,1+$O$74),IF($E$61="Forint",0,2)))</f>
        <v>14983</v>
      </c>
      <c r="AP74" s="60">
        <f ca="1">IF(OR(ISBLANK($E$52),AP$69&gt;$E$55),"",ROUND(VLOOKUP(AP$68,'MM-MC Tarifák'!$A$3:$AQ$67,HLOOKUP($E74,'MM-MC Tarifák'!$B$1:$AQ$2,2,0),0)/1000*$J$74*IF(OR(AND($E$61="Forint",$J$74&gt;=1000000,$J$74&lt;=50000000),AND($E$61="Euró",$J$74&gt;=3400,$J$74&lt;=162500)),1,0)*VLOOKUP($E$58,Paraméterek!$K$1:$L$4,2,0)*IF($O$74="Kizárás",1,1+$O$74),IF($E$61="Forint",0,2)))</f>
        <v>16120</v>
      </c>
    </row>
    <row r="75" spans="1:42" hidden="1" x14ac:dyDescent="0.25">
      <c r="A75" s="12" t="s">
        <v>406</v>
      </c>
      <c r="B75" s="175"/>
      <c r="C75" s="175"/>
      <c r="D75" s="175"/>
      <c r="E75" s="104" t="s">
        <v>63</v>
      </c>
      <c r="F75" s="104"/>
      <c r="G75" s="104"/>
      <c r="H75" s="104"/>
      <c r="I75" s="104"/>
      <c r="J75" s="184"/>
      <c r="K75" s="184"/>
      <c r="L75" s="185">
        <f>IF($G$5="MetMax",MetMax!$J$36,IF($G$5="MetCare",MetCare!$J$36,Nelson!$N$31))</f>
        <v>0</v>
      </c>
      <c r="M75" s="185"/>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1684</v>
      </c>
      <c r="S75" s="60">
        <f ca="1">IF(OR(ISBLANK($E$52),S$69&gt;$E$55),"",ROUND(VLOOKUP(S$68,'MM-MC Tarifák'!$A$3:$AQ$67,HLOOKUP($E75,'MM-MC Tarifák'!$B$1:$AQ$2,2,0),0)/1000*$J$74*IF(OR(AND($E$61="Forint",$J$74&gt;=1000000,$J$74&lt;=50000000),AND($E$61="Euró",$J$74&gt;=3400,$J$74&lt;=162500)),1,0)*VLOOKUP($E$58,Paraméterek!$K$1:$L$4,2,0)*IF($O$75="Kizárás",1,1+$O$75),IF($E$61="Forint",0,2)))</f>
        <v>1829</v>
      </c>
      <c r="T75" s="60">
        <f ca="1">IF(OR(ISBLANK($E$52),T$69&gt;$E$55),"",ROUND(VLOOKUP(T$68,'MM-MC Tarifák'!$A$3:$AQ$67,HLOOKUP($E75,'MM-MC Tarifák'!$B$1:$AQ$2,2,0),0)/1000*$J$74*IF(OR(AND($E$61="Forint",$J$74&gt;=1000000,$J$74&lt;=50000000),AND($E$61="Euró",$J$74&gt;=3400,$J$74&lt;=162500)),1,0)*VLOOKUP($E$58,Paraméterek!$K$1:$L$4,2,0)*IF($O$75="Kizárás",1,1+$O$75),IF($E$61="Forint",0,2)))</f>
        <v>1974</v>
      </c>
      <c r="U75" s="60">
        <f ca="1">IF(OR(ISBLANK($E$52),U$69&gt;$E$55),"",ROUND(VLOOKUP(U$68,'MM-MC Tarifák'!$A$3:$AQ$67,HLOOKUP($E75,'MM-MC Tarifák'!$B$1:$AQ$2,2,0),0)/1000*$J$74*IF(OR(AND($E$61="Forint",$J$74&gt;=1000000,$J$74&lt;=50000000),AND($E$61="Euró",$J$74&gt;=3400,$J$74&lt;=162500)),1,0)*VLOOKUP($E$58,Paraméterek!$K$1:$L$4,2,0)*IF($O$75="Kizárás",1,1+$O$75),IF($E$61="Forint",0,2)))</f>
        <v>2291</v>
      </c>
      <c r="V75" s="60">
        <f ca="1">IF(OR(ISBLANK($E$52),V$69&gt;$E$55),"",ROUND(VLOOKUP(V$68,'MM-MC Tarifák'!$A$3:$AQ$67,HLOOKUP($E75,'MM-MC Tarifák'!$B$1:$AQ$2,2,0),0)/1000*$J$74*IF(OR(AND($E$61="Forint",$J$74&gt;=1000000,$J$74&lt;=50000000),AND($E$61="Euró",$J$74&gt;=3400,$J$74&lt;=162500)),1,0)*VLOOKUP($E$58,Paraméterek!$K$1:$L$4,2,0)*IF($O$75="Kizárás",1,1+$O$75),IF($E$61="Forint",0,2)))</f>
        <v>2607</v>
      </c>
      <c r="W75" s="60">
        <f ca="1">IF(OR(ISBLANK($E$52),W$69&gt;$E$55),"",ROUND(VLOOKUP(W$68,'MM-MC Tarifák'!$A$3:$AQ$67,HLOOKUP($E75,'MM-MC Tarifák'!$B$1:$AQ$2,2,0),0)/1000*$J$74*IF(OR(AND($E$61="Forint",$J$74&gt;=1000000,$J$74&lt;=50000000),AND($E$61="Euró",$J$74&gt;=3400,$J$74&lt;=162500)),1,0)*VLOOKUP($E$58,Paraméterek!$K$1:$L$4,2,0)*IF($O$75="Kizárás",1,1+$O$75),IF($E$61="Forint",0,2)))</f>
        <v>2923</v>
      </c>
      <c r="X75" s="60">
        <f ca="1">IF(OR(ISBLANK($E$52),X$69&gt;$E$55),"",ROUND(VLOOKUP(X$68,'MM-MC Tarifák'!$A$3:$AQ$67,HLOOKUP($E75,'MM-MC Tarifák'!$B$1:$AQ$2,2,0),0)/1000*$J$74*IF(OR(AND($E$61="Forint",$J$74&gt;=1000000,$J$74&lt;=50000000),AND($E$61="Euró",$J$74&gt;=3400,$J$74&lt;=162500)),1,0)*VLOOKUP($E$58,Paraméterek!$K$1:$L$4,2,0)*IF($O$75="Kizárás",1,1+$O$75),IF($E$61="Forint",0,2)))</f>
        <v>3239</v>
      </c>
      <c r="Y75" s="60">
        <f ca="1">IF(OR(ISBLANK($E$52),Y$69&gt;$E$55),"",ROUND(VLOOKUP(Y$68,'MM-MC Tarifák'!$A$3:$AQ$67,HLOOKUP($E75,'MM-MC Tarifák'!$B$1:$AQ$2,2,0),0)/1000*$J$74*IF(OR(AND($E$61="Forint",$J$74&gt;=1000000,$J$74&lt;=50000000),AND($E$61="Euró",$J$74&gt;=3400,$J$74&lt;=162500)),1,0)*VLOOKUP($E$58,Paraméterek!$K$1:$L$4,2,0)*IF($O$75="Kizárás",1,1+$O$75),IF($E$61="Forint",0,2)))</f>
        <v>3615</v>
      </c>
      <c r="Z75" s="60">
        <f ca="1">IF(OR(ISBLANK($E$52),Z$69&gt;$E$55),"",ROUND(VLOOKUP(Z$68,'MM-MC Tarifák'!$A$3:$AQ$67,HLOOKUP($E75,'MM-MC Tarifák'!$B$1:$AQ$2,2,0),0)/1000*$J$74*IF(OR(AND($E$61="Forint",$J$74&gt;=1000000,$J$74&lt;=50000000),AND($E$61="Euró",$J$74&gt;=3400,$J$74&lt;=162500)),1,0)*VLOOKUP($E$58,Paraméterek!$K$1:$L$4,2,0)*IF($O$75="Kizárás",1,1+$O$75),IF($E$61="Forint",0,2)))</f>
        <v>4291</v>
      </c>
      <c r="AA75" s="60">
        <f ca="1">IF(OR(ISBLANK($E$52),AA$69&gt;$E$55),"",ROUND(VLOOKUP(AA$68,'MM-MC Tarifák'!$A$3:$AQ$67,HLOOKUP($E75,'MM-MC Tarifák'!$B$1:$AQ$2,2,0),0)/1000*$J$74*IF(OR(AND($E$61="Forint",$J$74&gt;=1000000,$J$74&lt;=50000000),AND($E$61="Euró",$J$74&gt;=3400,$J$74&lt;=162500)),1,0)*VLOOKUP($E$58,Paraméterek!$K$1:$L$4,2,0)*IF($O$75="Kizárás",1,1+$O$75),IF($E$61="Forint",0,2)))</f>
        <v>4966</v>
      </c>
      <c r="AB75" s="60">
        <f ca="1">IF(OR(ISBLANK($E$52),AB$69&gt;$E$55),"",ROUND(VLOOKUP(AB$68,'MM-MC Tarifák'!$A$3:$AQ$67,HLOOKUP($E75,'MM-MC Tarifák'!$B$1:$AQ$2,2,0),0)/1000*$J$74*IF(OR(AND($E$61="Forint",$J$74&gt;=1000000,$J$74&lt;=50000000),AND($E$61="Euró",$J$74&gt;=3400,$J$74&lt;=162500)),1,0)*VLOOKUP($E$58,Paraméterek!$K$1:$L$4,2,0)*IF($O$75="Kizárás",1,1+$O$75),IF($E$61="Forint",0,2)))</f>
        <v>5650</v>
      </c>
      <c r="AC75" s="60">
        <f ca="1">IF(OR(ISBLANK($E$52),AC$69&gt;$E$55),"",ROUND(VLOOKUP(AC$68,'MM-MC Tarifák'!$A$3:$AQ$67,HLOOKUP($E75,'MM-MC Tarifák'!$B$1:$AQ$2,2,0),0)/1000*$J$74*IF(OR(AND($E$61="Forint",$J$74&gt;=1000000,$J$74&lt;=50000000),AND($E$61="Euró",$J$74&gt;=3400,$J$74&lt;=162500)),1,0)*VLOOKUP($E$58,Paraméterek!$K$1:$L$4,2,0)*IF($O$75="Kizárás",1,1+$O$75),IF($E$61="Forint",0,2)))</f>
        <v>6325</v>
      </c>
      <c r="AD75" s="60">
        <f ca="1">IF(OR(ISBLANK($E$52),AD$69&gt;$E$55),"",ROUND(VLOOKUP(AD$68,'MM-MC Tarifák'!$A$3:$AQ$67,HLOOKUP($E75,'MM-MC Tarifák'!$B$1:$AQ$2,2,0),0)/1000*$J$74*IF(OR(AND($E$61="Forint",$J$74&gt;=1000000,$J$74&lt;=50000000),AND($E$61="Euró",$J$74&gt;=3400,$J$74&lt;=162500)),1,0)*VLOOKUP($E$58,Paraméterek!$K$1:$L$4,2,0)*IF($O$75="Kizárás",1,1+$O$75),IF($E$61="Forint",0,2)))</f>
        <v>7154</v>
      </c>
      <c r="AE75" s="60">
        <f ca="1">IF(OR(ISBLANK($E$52),AE$69&gt;$E$55),"",ROUND(VLOOKUP(AE$68,'MM-MC Tarifák'!$A$3:$AQ$67,HLOOKUP($E75,'MM-MC Tarifák'!$B$1:$AQ$2,2,0),0)/1000*$J$74*IF(OR(AND($E$61="Forint",$J$74&gt;=1000000,$J$74&lt;=50000000),AND($E$61="Euró",$J$74&gt;=3400,$J$74&lt;=162500)),1,0)*VLOOKUP($E$58,Paraméterek!$K$1:$L$4,2,0)*IF($O$75="Kizárás",1,1+$O$75),IF($E$61="Forint",0,2)))</f>
        <v>8291</v>
      </c>
      <c r="AF75" s="60">
        <f ca="1">IF(OR(ISBLANK($E$52),AF$69&gt;$E$55),"",ROUND(VLOOKUP(AF$68,'MM-MC Tarifák'!$A$3:$AQ$67,HLOOKUP($E75,'MM-MC Tarifák'!$B$1:$AQ$2,2,0),0)/1000*$J$74*IF(OR(AND($E$61="Forint",$J$74&gt;=1000000,$J$74&lt;=50000000),AND($E$61="Euró",$J$74&gt;=3400,$J$74&lt;=162500)),1,0)*VLOOKUP($E$58,Paraméterek!$K$1:$L$4,2,0)*IF($O$75="Kizárás",1,1+$O$75),IF($E$61="Forint",0,2)))</f>
        <v>9436</v>
      </c>
      <c r="AG75" s="60">
        <f ca="1">IF(OR(ISBLANK($E$52),AG$69&gt;$E$55),"",ROUND(VLOOKUP(AG$68,'MM-MC Tarifák'!$A$3:$AQ$67,HLOOKUP($E75,'MM-MC Tarifák'!$B$1:$AQ$2,2,0),0)/1000*$J$74*IF(OR(AND($E$61="Forint",$J$74&gt;=1000000,$J$74&lt;=50000000),AND($E$61="Euró",$J$74&gt;=3400,$J$74&lt;=162500)),1,0)*VLOOKUP($E$58,Paraméterek!$K$1:$L$4,2,0)*IF($O$75="Kizárás",1,1+$O$75),IF($E$61="Forint",0,2)))</f>
        <v>10573</v>
      </c>
      <c r="AH75" s="60">
        <f ca="1">IF(OR(ISBLANK($E$52),AH$69&gt;$E$55),"",ROUND(VLOOKUP(AH$68,'MM-MC Tarifák'!$A$3:$AQ$67,HLOOKUP($E75,'MM-MC Tarifák'!$B$1:$AQ$2,2,0),0)/1000*$J$74*IF(OR(AND($E$61="Forint",$J$74&gt;=1000000,$J$74&lt;=50000000),AND($E$61="Euró",$J$74&gt;=3400,$J$74&lt;=162500)),1,0)*VLOOKUP($E$58,Paraméterek!$K$1:$L$4,2,0)*IF($O$75="Kizárás",1,1+$O$75),IF($E$61="Forint",0,2)))</f>
        <v>11709</v>
      </c>
      <c r="AI75" s="60">
        <f ca="1">IF(OR(ISBLANK($E$52),AI$69&gt;$E$55),"",ROUND(VLOOKUP(AI$68,'MM-MC Tarifák'!$A$3:$AQ$67,HLOOKUP($E75,'MM-MC Tarifák'!$B$1:$AQ$2,2,0),0)/1000*$J$74*IF(OR(AND($E$61="Forint",$J$74&gt;=1000000,$J$74&lt;=50000000),AND($E$61="Euró",$J$74&gt;=3400,$J$74&lt;=162500)),1,0)*VLOOKUP($E$58,Paraméterek!$K$1:$L$4,2,0)*IF($O$75="Kizárás",1,1+$O$75),IF($E$61="Forint",0,2)))</f>
        <v>13128</v>
      </c>
      <c r="AJ75" s="60">
        <f ca="1">IF(OR(ISBLANK($E$52),AJ$69&gt;$E$55),"",ROUND(VLOOKUP(AJ$68,'MM-MC Tarifák'!$A$3:$AQ$67,HLOOKUP($E75,'MM-MC Tarifák'!$B$1:$AQ$2,2,0),0)/1000*$J$74*IF(OR(AND($E$61="Forint",$J$74&gt;=1000000,$J$74&lt;=50000000),AND($E$61="Euró",$J$74&gt;=3400,$J$74&lt;=162500)),1,0)*VLOOKUP($E$58,Paraméterek!$K$1:$L$4,2,0)*IF($O$75="Kizárás",1,1+$O$75),IF($E$61="Forint",0,2)))</f>
        <v>14590</v>
      </c>
      <c r="AK75" s="60">
        <f ca="1">IF(OR(ISBLANK($E$52),AK$69&gt;$E$55),"",ROUND(VLOOKUP(AK$68,'MM-MC Tarifák'!$A$3:$AQ$67,HLOOKUP($E75,'MM-MC Tarifák'!$B$1:$AQ$2,2,0),0)/1000*$J$74*IF(OR(AND($E$61="Forint",$J$74&gt;=1000000,$J$74&lt;=50000000),AND($E$61="Euró",$J$74&gt;=3400,$J$74&lt;=162500)),1,0)*VLOOKUP($E$58,Paraméterek!$K$1:$L$4,2,0)*IF($O$75="Kizárás",1,1+$O$75),IF($E$61="Forint",0,2)))</f>
        <v>16060</v>
      </c>
      <c r="AL75" s="60">
        <f ca="1">IF(OR(ISBLANK($E$52),AL$69&gt;$E$55),"",ROUND(VLOOKUP(AL$68,'MM-MC Tarifák'!$A$3:$AQ$67,HLOOKUP($E75,'MM-MC Tarifák'!$B$1:$AQ$2,2,0),0)/1000*$J$74*IF(OR(AND($E$61="Forint",$J$74&gt;=1000000,$J$74&lt;=50000000),AND($E$61="Euró",$J$74&gt;=3400,$J$74&lt;=162500)),1,0)*VLOOKUP($E$58,Paraméterek!$K$1:$L$4,2,0)*IF($O$75="Kizárás",1,1+$O$75),IF($E$61="Forint",0,2)))</f>
        <v>17521</v>
      </c>
      <c r="AM75" s="60">
        <f ca="1">IF(OR(ISBLANK($E$52),AM$69&gt;$E$55),"",ROUND(VLOOKUP(AM$68,'MM-MC Tarifák'!$A$3:$AQ$67,HLOOKUP($E75,'MM-MC Tarifák'!$B$1:$AQ$2,2,0),0)/1000*$J$74*IF(OR(AND($E$61="Forint",$J$74&gt;=1000000,$J$74&lt;=50000000),AND($E$61="Euró",$J$74&gt;=3400,$J$74&lt;=162500)),1,0)*VLOOKUP($E$58,Paraméterek!$K$1:$L$4,2,0)*IF($O$75="Kizárás",1,1+$O$75),IF($E$61="Forint",0,2)))</f>
        <v>18991</v>
      </c>
      <c r="AN75" s="60">
        <f ca="1">IF(OR(ISBLANK($E$52),AN$69&gt;$E$55),"",ROUND(VLOOKUP(AN$68,'MM-MC Tarifák'!$A$3:$AQ$67,HLOOKUP($E75,'MM-MC Tarifák'!$B$1:$AQ$2,2,0),0)/1000*$J$74*IF(OR(AND($E$61="Forint",$J$74&gt;=1000000,$J$74&lt;=50000000),AND($E$61="Euró",$J$74&gt;=3400,$J$74&lt;=162500)),1,0)*VLOOKUP($E$58,Paraméterek!$K$1:$L$4,2,0)*IF($O$75="Kizárás",1,1+$O$75),IF($E$61="Forint",0,2)))</f>
        <v>21308</v>
      </c>
      <c r="AO75" s="60">
        <f ca="1">IF(OR(ISBLANK($E$52),AO$69&gt;$E$55),"",ROUND(VLOOKUP(AO$68,'MM-MC Tarifák'!$A$3:$AQ$67,HLOOKUP($E75,'MM-MC Tarifák'!$B$1:$AQ$2,2,0),0)/1000*$J$74*IF(OR(AND($E$61="Forint",$J$74&gt;=1000000,$J$74&lt;=50000000),AND($E$61="Euró",$J$74&gt;=3400,$J$74&lt;=162500)),1,0)*VLOOKUP($E$58,Paraméterek!$K$1:$L$4,2,0)*IF($O$75="Kizárás",1,1+$O$75),IF($E$61="Forint",0,2)))</f>
        <v>23094</v>
      </c>
      <c r="AP75" s="60">
        <f ca="1">IF(OR(ISBLANK($E$52),AP$69&gt;$E$55),"",ROUND(VLOOKUP(AP$68,'MM-MC Tarifák'!$A$3:$AQ$67,HLOOKUP($E75,'MM-MC Tarifák'!$B$1:$AQ$2,2,0),0)/1000*$J$74*IF(OR(AND($E$61="Forint",$J$74&gt;=1000000,$J$74&lt;=50000000),AND($E$61="Euró",$J$74&gt;=3400,$J$74&lt;=162500)),1,0)*VLOOKUP($E$58,Paraméterek!$K$1:$L$4,2,0)*IF($O$75="Kizárás",1,1+$O$75),IF($E$61="Forint",0,2)))</f>
        <v>24872</v>
      </c>
    </row>
    <row r="76" spans="1:42" hidden="1" x14ac:dyDescent="0.25">
      <c r="A76" s="12" t="s">
        <v>406</v>
      </c>
      <c r="B76" s="175"/>
      <c r="C76" s="175"/>
      <c r="D76" s="175"/>
      <c r="E76" s="104" t="s">
        <v>64</v>
      </c>
      <c r="F76" s="104"/>
      <c r="G76" s="104"/>
      <c r="H76" s="104"/>
      <c r="I76" s="104"/>
      <c r="J76" s="184"/>
      <c r="K76" s="184"/>
      <c r="L76" s="185" t="str">
        <f>IF($G$5="MetMax",MetMax!$J$37,IF($G$5="MetCare",MetCare!$J$37,Nelson!$N$32))</f>
        <v>Ezt kérem!</v>
      </c>
      <c r="M76" s="185"/>
      <c r="N76" s="63" t="str">
        <f>IF(AND($L$76="Ezt kérem!",$H$61&lt;&gt;""),"!","")</f>
        <v/>
      </c>
      <c r="O76" s="16">
        <f>IF(ISBLANK($B$65),0,VLOOKUP($B$65,'Foglalkozási pótdíjak'!$A$3:$K$494,4,0))</f>
        <v>0</v>
      </c>
      <c r="Q76" s="59">
        <f ca="1">IF($L$76="Ezt kérem!",MIN($E$53+$E$55-1,64,64),"")</f>
        <v>52</v>
      </c>
      <c r="R76" s="60">
        <f ca="1">IF(OR(ISBLANK($E$52),R$69&gt;$E$55),"",ROUND(VLOOKUP(R$68,'MM-MC Tarifák'!$A$3:$AQ$67,HLOOKUP($E76,'MM-MC Tarifák'!$B$1:$AQ$2,2,0),0)/1000*$J$74*IF(OR(AND($E$61="Forint",$J$74&gt;=1000000,$J$74&lt;=50000000),AND($E$61="Euró",$J$74&gt;=3400,$J$74&lt;=162500)),1,0)*VLOOKUP($E$58,Paraméterek!$K$1:$L$4,2,0)*IF($O$76="Kizárás",1,1+$O$76),IF($E$61="Forint",0,2)))</f>
        <v>2111</v>
      </c>
      <c r="S76" s="60">
        <f ca="1">IF(OR(ISBLANK($E$52),S$69&gt;$E$55),"",ROUND(VLOOKUP(S$68,'MM-MC Tarifák'!$A$3:$AQ$67,HLOOKUP($E76,'MM-MC Tarifák'!$B$1:$AQ$2,2,0),0)/1000*$J$74*IF(OR(AND($E$61="Forint",$J$74&gt;=1000000,$J$74&lt;=50000000),AND($E$61="Euró",$J$74&gt;=3400,$J$74&lt;=162500)),1,0)*VLOOKUP($E$58,Paraméterek!$K$1:$L$4,2,0)*IF($O$76="Kizárás",1,1+$O$76),IF($E$61="Forint",0,2)))</f>
        <v>2282</v>
      </c>
      <c r="T76" s="60">
        <f ca="1">IF(OR(ISBLANK($E$52),T$69&gt;$E$55),"",ROUND(VLOOKUP(T$68,'MM-MC Tarifák'!$A$3:$AQ$67,HLOOKUP($E76,'MM-MC Tarifák'!$B$1:$AQ$2,2,0),0)/1000*$J$74*IF(OR(AND($E$61="Forint",$J$74&gt;=1000000,$J$74&lt;=50000000),AND($E$61="Euró",$J$74&gt;=3400,$J$74&lt;=162500)),1,0)*VLOOKUP($E$58,Paraméterek!$K$1:$L$4,2,0)*IF($O$76="Kizárás",1,1+$O$76),IF($E$61="Forint",0,2)))</f>
        <v>2470</v>
      </c>
      <c r="U76" s="60">
        <f ca="1">IF(OR(ISBLANK($E$52),U$69&gt;$E$55),"",ROUND(VLOOKUP(U$68,'MM-MC Tarifák'!$A$3:$AQ$67,HLOOKUP($E76,'MM-MC Tarifák'!$B$1:$AQ$2,2,0),0)/1000*$J$74*IF(OR(AND($E$61="Forint",$J$74&gt;=1000000,$J$74&lt;=50000000),AND($E$61="Euró",$J$74&gt;=3400,$J$74&lt;=162500)),1,0)*VLOOKUP($E$58,Paraméterek!$K$1:$L$4,2,0)*IF($O$76="Kizárás",1,1+$O$76),IF($E$61="Forint",0,2)))</f>
        <v>2872</v>
      </c>
      <c r="V76" s="60">
        <f ca="1">IF(OR(ISBLANK($E$52),V$69&gt;$E$55),"",ROUND(VLOOKUP(V$68,'MM-MC Tarifák'!$A$3:$AQ$67,HLOOKUP($E76,'MM-MC Tarifák'!$B$1:$AQ$2,2,0),0)/1000*$J$74*IF(OR(AND($E$61="Forint",$J$74&gt;=1000000,$J$74&lt;=50000000),AND($E$61="Euró",$J$74&gt;=3400,$J$74&lt;=162500)),1,0)*VLOOKUP($E$58,Paraméterek!$K$1:$L$4,2,0)*IF($O$76="Kizárás",1,1+$O$76),IF($E$61="Forint",0,2)))</f>
        <v>3265</v>
      </c>
      <c r="W76" s="60">
        <f ca="1">IF(OR(ISBLANK($E$52),W$69&gt;$E$55),"",ROUND(VLOOKUP(W$68,'MM-MC Tarifák'!$A$3:$AQ$67,HLOOKUP($E76,'MM-MC Tarifák'!$B$1:$AQ$2,2,0),0)/1000*$J$74*IF(OR(AND($E$61="Forint",$J$74&gt;=1000000,$J$74&lt;=50000000),AND($E$61="Euró",$J$74&gt;=3400,$J$74&lt;=162500)),1,0)*VLOOKUP($E$58,Paraméterek!$K$1:$L$4,2,0)*IF($O$76="Kizárás",1,1+$O$76),IF($E$61="Forint",0,2)))</f>
        <v>3658</v>
      </c>
      <c r="X76" s="60">
        <f ca="1">IF(OR(ISBLANK($E$52),X$69&gt;$E$55),"",ROUND(VLOOKUP(X$68,'MM-MC Tarifák'!$A$3:$AQ$67,HLOOKUP($E76,'MM-MC Tarifák'!$B$1:$AQ$2,2,0),0)/1000*$J$74*IF(OR(AND($E$61="Forint",$J$74&gt;=1000000,$J$74&lt;=50000000),AND($E$61="Euró",$J$74&gt;=3400,$J$74&lt;=162500)),1,0)*VLOOKUP($E$58,Paraméterek!$K$1:$L$4,2,0)*IF($O$76="Kizárás",1,1+$O$76),IF($E$61="Forint",0,2)))</f>
        <v>4051</v>
      </c>
      <c r="Y76" s="60">
        <f ca="1">IF(OR(ISBLANK($E$52),Y$69&gt;$E$55),"",ROUND(VLOOKUP(Y$68,'MM-MC Tarifák'!$A$3:$AQ$67,HLOOKUP($E76,'MM-MC Tarifák'!$B$1:$AQ$2,2,0),0)/1000*$J$74*IF(OR(AND($E$61="Forint",$J$74&gt;=1000000,$J$74&lt;=50000000),AND($E$61="Euró",$J$74&gt;=3400,$J$74&lt;=162500)),1,0)*VLOOKUP($E$58,Paraméterek!$K$1:$L$4,2,0)*IF($O$76="Kizárás",1,1+$O$76),IF($E$61="Forint",0,2)))</f>
        <v>4513</v>
      </c>
      <c r="Z76" s="60">
        <f ca="1">IF(OR(ISBLANK($E$52),Z$69&gt;$E$55),"",ROUND(VLOOKUP(Z$68,'MM-MC Tarifák'!$A$3:$AQ$67,HLOOKUP($E76,'MM-MC Tarifák'!$B$1:$AQ$2,2,0),0)/1000*$J$74*IF(OR(AND($E$61="Forint",$J$74&gt;=1000000,$J$74&lt;=50000000),AND($E$61="Euró",$J$74&gt;=3400,$J$74&lt;=162500)),1,0)*VLOOKUP($E$58,Paraméterek!$K$1:$L$4,2,0)*IF($O$76="Kizárás",1,1+$O$76),IF($E$61="Forint",0,2)))</f>
        <v>5359</v>
      </c>
      <c r="AA76" s="60">
        <f ca="1">IF(OR(ISBLANK($E$52),AA$69&gt;$E$55),"",ROUND(VLOOKUP(AA$68,'MM-MC Tarifák'!$A$3:$AQ$67,HLOOKUP($E76,'MM-MC Tarifák'!$B$1:$AQ$2,2,0),0)/1000*$J$74*IF(OR(AND($E$61="Forint",$J$74&gt;=1000000,$J$74&lt;=50000000),AND($E$61="Euró",$J$74&gt;=3400,$J$74&lt;=162500)),1,0)*VLOOKUP($E$58,Paraméterek!$K$1:$L$4,2,0)*IF($O$76="Kizárás",1,1+$O$76),IF($E$61="Forint",0,2)))</f>
        <v>6205</v>
      </c>
      <c r="AB76" s="60">
        <f ca="1">IF(OR(ISBLANK($E$52),AB$69&gt;$E$55),"",ROUND(VLOOKUP(AB$68,'MM-MC Tarifák'!$A$3:$AQ$67,HLOOKUP($E76,'MM-MC Tarifák'!$B$1:$AQ$2,2,0),0)/1000*$J$74*IF(OR(AND($E$61="Forint",$J$74&gt;=1000000,$J$74&lt;=50000000),AND($E$61="Euró",$J$74&gt;=3400,$J$74&lt;=162500)),1,0)*VLOOKUP($E$58,Paraméterek!$K$1:$L$4,2,0)*IF($O$76="Kizárás",1,1+$O$76),IF($E$61="Forint",0,2)))</f>
        <v>7060</v>
      </c>
      <c r="AC76" s="60">
        <f ca="1">IF(OR(ISBLANK($E$52),AC$69&gt;$E$55),"",ROUND(VLOOKUP(AC$68,'MM-MC Tarifák'!$A$3:$AQ$67,HLOOKUP($E76,'MM-MC Tarifák'!$B$1:$AQ$2,2,0),0)/1000*$J$74*IF(OR(AND($E$61="Forint",$J$74&gt;=1000000,$J$74&lt;=50000000),AND($E$61="Euró",$J$74&gt;=3400,$J$74&lt;=162500)),1,0)*VLOOKUP($E$58,Paraméterek!$K$1:$L$4,2,0)*IF($O$76="Kizárás",1,1+$O$76),IF($E$61="Forint",0,2)))</f>
        <v>7906</v>
      </c>
      <c r="AD76" s="60">
        <f ca="1">IF(OR(ISBLANK($E$52),AD$69&gt;$E$55),"",ROUND(VLOOKUP(AD$68,'MM-MC Tarifák'!$A$3:$AQ$67,HLOOKUP($E76,'MM-MC Tarifák'!$B$1:$AQ$2,2,0),0)/1000*$J$74*IF(OR(AND($E$61="Forint",$J$74&gt;=1000000,$J$74&lt;=50000000),AND($E$61="Euró",$J$74&gt;=3400,$J$74&lt;=162500)),1,0)*VLOOKUP($E$58,Paraméterek!$K$1:$L$4,2,0)*IF($O$76="Kizárás",1,1+$O$76),IF($E$61="Forint",0,2)))</f>
        <v>8949</v>
      </c>
      <c r="AE76" s="60">
        <f ca="1">IF(OR(ISBLANK($E$52),AE$69&gt;$E$55),"",ROUND(VLOOKUP(AE$68,'MM-MC Tarifák'!$A$3:$AQ$67,HLOOKUP($E76,'MM-MC Tarifák'!$B$1:$AQ$2,2,0),0)/1000*$J$74*IF(OR(AND($E$61="Forint",$J$74&gt;=1000000,$J$74&lt;=50000000),AND($E$61="Euró",$J$74&gt;=3400,$J$74&lt;=162500)),1,0)*VLOOKUP($E$58,Paraméterek!$K$1:$L$4,2,0)*IF($O$76="Kizárás",1,1+$O$76),IF($E$61="Forint",0,2)))</f>
        <v>10368</v>
      </c>
      <c r="AF76" s="60">
        <f ca="1">IF(OR(ISBLANK($E$52),AF$69&gt;$E$55),"",ROUND(VLOOKUP(AF$68,'MM-MC Tarifák'!$A$3:$AQ$67,HLOOKUP($E76,'MM-MC Tarifák'!$B$1:$AQ$2,2,0),0)/1000*$J$74*IF(OR(AND($E$61="Forint",$J$74&gt;=1000000,$J$74&lt;=50000000),AND($E$61="Euró",$J$74&gt;=3400,$J$74&lt;=162500)),1,0)*VLOOKUP($E$58,Paraméterek!$K$1:$L$4,2,0)*IF($O$76="Kizárás",1,1+$O$76),IF($E$61="Forint",0,2)))</f>
        <v>11786</v>
      </c>
      <c r="AG76" s="60">
        <f ca="1">IF(OR(ISBLANK($E$52),AG$69&gt;$E$55),"",ROUND(VLOOKUP(AG$68,'MM-MC Tarifák'!$A$3:$AQ$67,HLOOKUP($E76,'MM-MC Tarifák'!$B$1:$AQ$2,2,0),0)/1000*$J$74*IF(OR(AND($E$61="Forint",$J$74&gt;=1000000,$J$74&lt;=50000000),AND($E$61="Euró",$J$74&gt;=3400,$J$74&lt;=162500)),1,0)*VLOOKUP($E$58,Paraméterek!$K$1:$L$4,2,0)*IF($O$76="Kizárás",1,1+$O$76),IF($E$61="Forint",0,2)))</f>
        <v>13214</v>
      </c>
      <c r="AH76" s="60">
        <f ca="1">IF(OR(ISBLANK($E$52),AH$69&gt;$E$55),"",ROUND(VLOOKUP(AH$68,'MM-MC Tarifák'!$A$3:$AQ$67,HLOOKUP($E76,'MM-MC Tarifák'!$B$1:$AQ$2,2,0),0)/1000*$J$74*IF(OR(AND($E$61="Forint",$J$74&gt;=1000000,$J$74&lt;=50000000),AND($E$61="Euró",$J$74&gt;=3400,$J$74&lt;=162500)),1,0)*VLOOKUP($E$58,Paraméterek!$K$1:$L$4,2,0)*IF($O$76="Kizárás",1,1+$O$76),IF($E$61="Forint",0,2)))</f>
        <v>14632</v>
      </c>
      <c r="AI76" s="60">
        <f ca="1">IF(OR(ISBLANK($E$52),AI$69&gt;$E$55),"",ROUND(VLOOKUP(AI$68,'MM-MC Tarifák'!$A$3:$AQ$67,HLOOKUP($E76,'MM-MC Tarifák'!$B$1:$AQ$2,2,0),0)/1000*$J$74*IF(OR(AND($E$61="Forint",$J$74&gt;=1000000,$J$74&lt;=50000000),AND($E$61="Euró",$J$74&gt;=3400,$J$74&lt;=162500)),1,0)*VLOOKUP($E$58,Paraméterek!$K$1:$L$4,2,0)*IF($O$76="Kizárás",1,1+$O$76),IF($E$61="Forint",0,2)))</f>
        <v>16410</v>
      </c>
      <c r="AJ76" s="60">
        <f ca="1">IF(OR(ISBLANK($E$52),AJ$69&gt;$E$55),"",ROUND(VLOOKUP(AJ$68,'MM-MC Tarifák'!$A$3:$AQ$67,HLOOKUP($E76,'MM-MC Tarifák'!$B$1:$AQ$2,2,0),0)/1000*$J$74*IF(OR(AND($E$61="Forint",$J$74&gt;=1000000,$J$74&lt;=50000000),AND($E$61="Euró",$J$74&gt;=3400,$J$74&lt;=162500)),1,0)*VLOOKUP($E$58,Paraméterek!$K$1:$L$4,2,0)*IF($O$76="Kizárás",1,1+$O$76),IF($E$61="Forint",0,2)))</f>
        <v>18248</v>
      </c>
      <c r="AK76" s="60">
        <f ca="1">IF(OR(ISBLANK($E$52),AK$69&gt;$E$55),"",ROUND(VLOOKUP(AK$68,'MM-MC Tarifák'!$A$3:$AQ$67,HLOOKUP($E76,'MM-MC Tarifák'!$B$1:$AQ$2,2,0),0)/1000*$J$74*IF(OR(AND($E$61="Forint",$J$74&gt;=1000000,$J$74&lt;=50000000),AND($E$61="Euró",$J$74&gt;=3400,$J$74&lt;=162500)),1,0)*VLOOKUP($E$58,Paraméterek!$K$1:$L$4,2,0)*IF($O$76="Kizárás",1,1+$O$76),IF($E$61="Forint",0,2)))</f>
        <v>20077</v>
      </c>
      <c r="AL76" s="60">
        <f ca="1">IF(OR(ISBLANK($E$52),AL$69&gt;$E$55),"",ROUND(VLOOKUP(AL$68,'MM-MC Tarifák'!$A$3:$AQ$67,HLOOKUP($E76,'MM-MC Tarifák'!$B$1:$AQ$2,2,0),0)/1000*$J$74*IF(OR(AND($E$61="Forint",$J$74&gt;=1000000,$J$74&lt;=50000000),AND($E$61="Euró",$J$74&gt;=3400,$J$74&lt;=162500)),1,0)*VLOOKUP($E$58,Paraméterek!$K$1:$L$4,2,0)*IF($O$76="Kizárás",1,1+$O$76),IF($E$61="Forint",0,2)))</f>
        <v>21906</v>
      </c>
      <c r="AM76" s="60">
        <f ca="1">IF(OR(ISBLANK($E$52),AM$69&gt;$E$55),"",ROUND(VLOOKUP(AM$68,'MM-MC Tarifák'!$A$3:$AQ$67,HLOOKUP($E76,'MM-MC Tarifák'!$B$1:$AQ$2,2,0),0)/1000*$J$74*IF(OR(AND($E$61="Forint",$J$74&gt;=1000000,$J$74&lt;=50000000),AND($E$61="Euró",$J$74&gt;=3400,$J$74&lt;=162500)),1,0)*VLOOKUP($E$58,Paraméterek!$K$1:$L$4,2,0)*IF($O$76="Kizárás",1,1+$O$76),IF($E$61="Forint",0,2)))</f>
        <v>23735</v>
      </c>
      <c r="AN76" s="60">
        <f ca="1">IF(OR(ISBLANK($E$52),AN$69&gt;$E$55),"",ROUND(VLOOKUP(AN$68,'MM-MC Tarifák'!$A$3:$AQ$67,HLOOKUP($E76,'MM-MC Tarifák'!$B$1:$AQ$2,2,0),0)/1000*$J$74*IF(OR(AND($E$61="Forint",$J$74&gt;=1000000,$J$74&lt;=50000000),AND($E$61="Euró",$J$74&gt;=3400,$J$74&lt;=162500)),1,0)*VLOOKUP($E$58,Paraméterek!$K$1:$L$4,2,0)*IF($O$76="Kizárás",1,1+$O$76),IF($E$61="Forint",0,2)))</f>
        <v>26641</v>
      </c>
      <c r="AO76" s="60">
        <f ca="1">IF(OR(ISBLANK($E$52),AO$69&gt;$E$55),"",ROUND(VLOOKUP(AO$68,'MM-MC Tarifák'!$A$3:$AQ$67,HLOOKUP($E76,'MM-MC Tarifák'!$B$1:$AQ$2,2,0),0)/1000*$J$74*IF(OR(AND($E$61="Forint",$J$74&gt;=1000000,$J$74&lt;=50000000),AND($E$61="Euró",$J$74&gt;=3400,$J$74&lt;=162500)),1,0)*VLOOKUP($E$58,Paraméterek!$K$1:$L$4,2,0)*IF($O$76="Kizárás",1,1+$O$76),IF($E$61="Forint",0,2)))</f>
        <v>28863</v>
      </c>
      <c r="AP76" s="60">
        <f ca="1">IF(OR(ISBLANK($E$52),AP$69&gt;$E$55),"",ROUND(VLOOKUP(AP$68,'MM-MC Tarifák'!$A$3:$AQ$67,HLOOKUP($E76,'MM-MC Tarifák'!$B$1:$AQ$2,2,0),0)/1000*$J$74*IF(OR(AND($E$61="Forint",$J$74&gt;=1000000,$J$74&lt;=50000000),AND($E$61="Euró",$J$74&gt;=3400,$J$74&lt;=162500)),1,0)*VLOOKUP($E$58,Paraméterek!$K$1:$L$4,2,0)*IF($O$76="Kizárás",1,1+$O$76),IF($E$61="Forint",0,2)))</f>
        <v>31085</v>
      </c>
    </row>
    <row r="77" spans="1:42" hidden="1" x14ac:dyDescent="0.25">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5">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5">
      <c r="A79" s="12" t="s">
        <v>406</v>
      </c>
      <c r="B79" s="199" t="s">
        <v>5</v>
      </c>
      <c r="C79" s="200"/>
      <c r="D79" s="201"/>
      <c r="E79" s="104" t="s">
        <v>8</v>
      </c>
      <c r="F79" s="104"/>
      <c r="G79" s="104"/>
      <c r="H79" s="104"/>
      <c r="I79" s="104"/>
      <c r="J79" s="184">
        <f>IF($G$5="MetMax",MetMax!$H$42,IF($G$5="MetCare",MetCare!$H$42,Nelson!$J$35))</f>
        <v>5000000</v>
      </c>
      <c r="K79" s="184"/>
      <c r="L79" s="185" t="str">
        <f>IF($G$5="MetMax",MetMax!$J$42,IF($G$5="MetCare",MetCare!$J$42,Nelson!$N$35))</f>
        <v>Ezt kérem!</v>
      </c>
      <c r="M79" s="185"/>
      <c r="N79" s="73"/>
      <c r="O79" s="16">
        <f>IF(ISBLANK($B$65),0,VLOOKUP($B$65,'Foglalkozási pótdíjak'!$A$3:$K$494,5,0))</f>
        <v>0</v>
      </c>
      <c r="Q79" s="59">
        <f ca="1">IF($L$79="Ezt kérem!",MIN($E$53+$E$55-1,64,64),"")</f>
        <v>52</v>
      </c>
      <c r="R79" s="60">
        <f ca="1">IF(OR(ISBLANK($E$52),R$69&gt;$E$55),"",ROUND(VLOOKUP(R$68,'MM-MC Tarifák'!$A$3:$AQ$67,HLOOKUP($E79,'MM-MC Tarifák'!$B$1:$AQ$2,2,0),0)/1000*$J$79*IF(OR(AND($E$61="Forint",$J$79&gt;=500000,$J$79&lt;=200000000),AND($E$61="Euró",$J$79&gt;=1700,$J$79&lt;=650000)),1,0)*VLOOKUP($E$58,Paraméterek!$K$1:$L$4,2,0)*IF($O$79="Kizárás",1,1+$O$79),IF($E$61="Forint",0,2)))</f>
        <v>1226</v>
      </c>
      <c r="S79" s="60">
        <f ca="1">IF(OR(ISBLANK($E$52),S$69&gt;$E$55),"",ROUND(VLOOKUP(S$68,'MM-MC Tarifák'!$A$3:$AQ$67,HLOOKUP($E79,'MM-MC Tarifák'!$B$1:$AQ$2,2,0),0)/1000*$J$79*IF(OR(AND($E$61="Forint",$J$79&gt;=500000,$J$79&lt;=200000000),AND($E$61="Euró",$J$79&gt;=1700,$J$79&lt;=650000)),1,0)*VLOOKUP($E$58,Paraméterek!$K$1:$L$4,2,0)*IF($O$79="Kizárás",1,1+$O$79),IF($E$61="Forint",0,2)))</f>
        <v>1226</v>
      </c>
      <c r="T79" s="60">
        <f ca="1">IF(OR(ISBLANK($E$52),T$69&gt;$E$55),"",ROUND(VLOOKUP(T$68,'MM-MC Tarifák'!$A$3:$AQ$67,HLOOKUP($E79,'MM-MC Tarifák'!$B$1:$AQ$2,2,0),0)/1000*$J$79*IF(OR(AND($E$61="Forint",$J$79&gt;=500000,$J$79&lt;=200000000),AND($E$61="Euró",$J$79&gt;=1700,$J$79&lt;=650000)),1,0)*VLOOKUP($E$58,Paraméterek!$K$1:$L$4,2,0)*IF($O$79="Kizárás",1,1+$O$79),IF($E$61="Forint",0,2)))</f>
        <v>1226</v>
      </c>
      <c r="U79" s="60">
        <f ca="1">IF(OR(ISBLANK($E$52),U$69&gt;$E$55),"",ROUND(VLOOKUP(U$68,'MM-MC Tarifák'!$A$3:$AQ$67,HLOOKUP($E79,'MM-MC Tarifák'!$B$1:$AQ$2,2,0),0)/1000*$J$79*IF(OR(AND($E$61="Forint",$J$79&gt;=500000,$J$79&lt;=200000000),AND($E$61="Euró",$J$79&gt;=1700,$J$79&lt;=650000)),1,0)*VLOOKUP($E$58,Paraméterek!$K$1:$L$4,2,0)*IF($O$79="Kizárás",1,1+$O$79),IF($E$61="Forint",0,2)))</f>
        <v>1226</v>
      </c>
      <c r="V79" s="60">
        <f ca="1">IF(OR(ISBLANK($E$52),V$69&gt;$E$55),"",ROUND(VLOOKUP(V$68,'MM-MC Tarifák'!$A$3:$AQ$67,HLOOKUP($E79,'MM-MC Tarifák'!$B$1:$AQ$2,2,0),0)/1000*$J$79*IF(OR(AND($E$61="Forint",$J$79&gt;=500000,$J$79&lt;=200000000),AND($E$61="Euró",$J$79&gt;=1700,$J$79&lt;=650000)),1,0)*VLOOKUP($E$58,Paraméterek!$K$1:$L$4,2,0)*IF($O$79="Kizárás",1,1+$O$79),IF($E$61="Forint",0,2)))</f>
        <v>1226</v>
      </c>
      <c r="W79" s="60">
        <f ca="1">IF(OR(ISBLANK($E$52),W$69&gt;$E$55),"",ROUND(VLOOKUP(W$68,'MM-MC Tarifák'!$A$3:$AQ$67,HLOOKUP($E79,'MM-MC Tarifák'!$B$1:$AQ$2,2,0),0)/1000*$J$79*IF(OR(AND($E$61="Forint",$J$79&gt;=500000,$J$79&lt;=200000000),AND($E$61="Euró",$J$79&gt;=1700,$J$79&lt;=650000)),1,0)*VLOOKUP($E$58,Paraméterek!$K$1:$L$4,2,0)*IF($O$79="Kizárás",1,1+$O$79),IF($E$61="Forint",0,2)))</f>
        <v>1226</v>
      </c>
      <c r="X79" s="60">
        <f ca="1">IF(OR(ISBLANK($E$52),X$69&gt;$E$55),"",ROUND(VLOOKUP(X$68,'MM-MC Tarifák'!$A$3:$AQ$67,HLOOKUP($E79,'MM-MC Tarifák'!$B$1:$AQ$2,2,0),0)/1000*$J$79*IF(OR(AND($E$61="Forint",$J$79&gt;=500000,$J$79&lt;=200000000),AND($E$61="Euró",$J$79&gt;=1700,$J$79&lt;=650000)),1,0)*VLOOKUP($E$58,Paraméterek!$K$1:$L$4,2,0)*IF($O$79="Kizárás",1,1+$O$79),IF($E$61="Forint",0,2)))</f>
        <v>1226</v>
      </c>
      <c r="Y79" s="60">
        <f ca="1">IF(OR(ISBLANK($E$52),Y$69&gt;$E$55),"",ROUND(VLOOKUP(Y$68,'MM-MC Tarifák'!$A$3:$AQ$67,HLOOKUP($E79,'MM-MC Tarifák'!$B$1:$AQ$2,2,0),0)/1000*$J$79*IF(OR(AND($E$61="Forint",$J$79&gt;=500000,$J$79&lt;=200000000),AND($E$61="Euró",$J$79&gt;=1700,$J$79&lt;=650000)),1,0)*VLOOKUP($E$58,Paraméterek!$K$1:$L$4,2,0)*IF($O$79="Kizárás",1,1+$O$79),IF($E$61="Forint",0,2)))</f>
        <v>1226</v>
      </c>
      <c r="Z79" s="60">
        <f ca="1">IF(OR(ISBLANK($E$52),Z$69&gt;$E$55),"",ROUND(VLOOKUP(Z$68,'MM-MC Tarifák'!$A$3:$AQ$67,HLOOKUP($E79,'MM-MC Tarifák'!$B$1:$AQ$2,2,0),0)/1000*$J$79*IF(OR(AND($E$61="Forint",$J$79&gt;=500000,$J$79&lt;=200000000),AND($E$61="Euró",$J$79&gt;=1700,$J$79&lt;=650000)),1,0)*VLOOKUP($E$58,Paraméterek!$K$1:$L$4,2,0)*IF($O$79="Kizárás",1,1+$O$79),IF($E$61="Forint",0,2)))</f>
        <v>1226</v>
      </c>
      <c r="AA79" s="60">
        <f ca="1">IF(OR(ISBLANK($E$52),AA$69&gt;$E$55),"",ROUND(VLOOKUP(AA$68,'MM-MC Tarifák'!$A$3:$AQ$67,HLOOKUP($E79,'MM-MC Tarifák'!$B$1:$AQ$2,2,0),0)/1000*$J$79*IF(OR(AND($E$61="Forint",$J$79&gt;=500000,$J$79&lt;=200000000),AND($E$61="Euró",$J$79&gt;=1700,$J$79&lt;=650000)),1,0)*VLOOKUP($E$58,Paraméterek!$K$1:$L$4,2,0)*IF($O$79="Kizárás",1,1+$O$79),IF($E$61="Forint",0,2)))</f>
        <v>1226</v>
      </c>
      <c r="AB79" s="60">
        <f ca="1">IF(OR(ISBLANK($E$52),AB$69&gt;$E$55),"",ROUND(VLOOKUP(AB$68,'MM-MC Tarifák'!$A$3:$AQ$67,HLOOKUP($E79,'MM-MC Tarifák'!$B$1:$AQ$2,2,0),0)/1000*$J$79*IF(OR(AND($E$61="Forint",$J$79&gt;=500000,$J$79&lt;=200000000),AND($E$61="Euró",$J$79&gt;=1700,$J$79&lt;=650000)),1,0)*VLOOKUP($E$58,Paraméterek!$K$1:$L$4,2,0)*IF($O$79="Kizárás",1,1+$O$79),IF($E$61="Forint",0,2)))</f>
        <v>1226</v>
      </c>
      <c r="AC79" s="60">
        <f ca="1">IF(OR(ISBLANK($E$52),AC$69&gt;$E$55),"",ROUND(VLOOKUP(AC$68,'MM-MC Tarifák'!$A$3:$AQ$67,HLOOKUP($E79,'MM-MC Tarifák'!$B$1:$AQ$2,2,0),0)/1000*$J$79*IF(OR(AND($E$61="Forint",$J$79&gt;=500000,$J$79&lt;=200000000),AND($E$61="Euró",$J$79&gt;=1700,$J$79&lt;=650000)),1,0)*VLOOKUP($E$58,Paraméterek!$K$1:$L$4,2,0)*IF($O$79="Kizárás",1,1+$O$79),IF($E$61="Forint",0,2)))</f>
        <v>1226</v>
      </c>
      <c r="AD79" s="60">
        <f ca="1">IF(OR(ISBLANK($E$52),AD$69&gt;$E$55),"",ROUND(VLOOKUP(AD$68,'MM-MC Tarifák'!$A$3:$AQ$67,HLOOKUP($E79,'MM-MC Tarifák'!$B$1:$AQ$2,2,0),0)/1000*$J$79*IF(OR(AND($E$61="Forint",$J$79&gt;=500000,$J$79&lt;=200000000),AND($E$61="Euró",$J$79&gt;=1700,$J$79&lt;=650000)),1,0)*VLOOKUP($E$58,Paraméterek!$K$1:$L$4,2,0)*IF($O$79="Kizárás",1,1+$O$79),IF($E$61="Forint",0,2)))</f>
        <v>1226</v>
      </c>
      <c r="AE79" s="60">
        <f ca="1">IF(OR(ISBLANK($E$52),AE$69&gt;$E$55),"",ROUND(VLOOKUP(AE$68,'MM-MC Tarifák'!$A$3:$AQ$67,HLOOKUP($E79,'MM-MC Tarifák'!$B$1:$AQ$2,2,0),0)/1000*$J$79*IF(OR(AND($E$61="Forint",$J$79&gt;=500000,$J$79&lt;=200000000),AND($E$61="Euró",$J$79&gt;=1700,$J$79&lt;=650000)),1,0)*VLOOKUP($E$58,Paraméterek!$K$1:$L$4,2,0)*IF($O$79="Kizárás",1,1+$O$79),IF($E$61="Forint",0,2)))</f>
        <v>1226</v>
      </c>
      <c r="AF79" s="60">
        <f ca="1">IF(OR(ISBLANK($E$52),AF$69&gt;$E$55),"",ROUND(VLOOKUP(AF$68,'MM-MC Tarifák'!$A$3:$AQ$67,HLOOKUP($E79,'MM-MC Tarifák'!$B$1:$AQ$2,2,0),0)/1000*$J$79*IF(OR(AND($E$61="Forint",$J$79&gt;=500000,$J$79&lt;=200000000),AND($E$61="Euró",$J$79&gt;=1700,$J$79&lt;=650000)),1,0)*VLOOKUP($E$58,Paraméterek!$K$1:$L$4,2,0)*IF($O$79="Kizárás",1,1+$O$79),IF($E$61="Forint",0,2)))</f>
        <v>1226</v>
      </c>
      <c r="AG79" s="60">
        <f ca="1">IF(OR(ISBLANK($E$52),AG$69&gt;$E$55),"",ROUND(VLOOKUP(AG$68,'MM-MC Tarifák'!$A$3:$AQ$67,HLOOKUP($E79,'MM-MC Tarifák'!$B$1:$AQ$2,2,0),0)/1000*$J$79*IF(OR(AND($E$61="Forint",$J$79&gt;=500000,$J$79&lt;=200000000),AND($E$61="Euró",$J$79&gt;=1700,$J$79&lt;=650000)),1,0)*VLOOKUP($E$58,Paraméterek!$K$1:$L$4,2,0)*IF($O$79="Kizárás",1,1+$O$79),IF($E$61="Forint",0,2)))</f>
        <v>1226</v>
      </c>
      <c r="AH79" s="60">
        <f ca="1">IF(OR(ISBLANK($E$52),AH$69&gt;$E$55),"",ROUND(VLOOKUP(AH$68,'MM-MC Tarifák'!$A$3:$AQ$67,HLOOKUP($E79,'MM-MC Tarifák'!$B$1:$AQ$2,2,0),0)/1000*$J$79*IF(OR(AND($E$61="Forint",$J$79&gt;=500000,$J$79&lt;=200000000),AND($E$61="Euró",$J$79&gt;=1700,$J$79&lt;=650000)),1,0)*VLOOKUP($E$58,Paraméterek!$K$1:$L$4,2,0)*IF($O$79="Kizárás",1,1+$O$79),IF($E$61="Forint",0,2)))</f>
        <v>1226</v>
      </c>
      <c r="AI79" s="60">
        <f ca="1">IF(OR(ISBLANK($E$52),AI$69&gt;$E$55),"",ROUND(VLOOKUP(AI$68,'MM-MC Tarifák'!$A$3:$AQ$67,HLOOKUP($E79,'MM-MC Tarifák'!$B$1:$AQ$2,2,0),0)/1000*$J$79*IF(OR(AND($E$61="Forint",$J$79&gt;=500000,$J$79&lt;=200000000),AND($E$61="Euró",$J$79&gt;=1700,$J$79&lt;=650000)),1,0)*VLOOKUP($E$58,Paraméterek!$K$1:$L$4,2,0)*IF($O$79="Kizárás",1,1+$O$79),IF($E$61="Forint",0,2)))</f>
        <v>1226</v>
      </c>
      <c r="AJ79" s="60">
        <f ca="1">IF(OR(ISBLANK($E$52),AJ$69&gt;$E$55),"",ROUND(VLOOKUP(AJ$68,'MM-MC Tarifák'!$A$3:$AQ$67,HLOOKUP($E79,'MM-MC Tarifák'!$B$1:$AQ$2,2,0),0)/1000*$J$79*IF(OR(AND($E$61="Forint",$J$79&gt;=500000,$J$79&lt;=200000000),AND($E$61="Euró",$J$79&gt;=1700,$J$79&lt;=650000)),1,0)*VLOOKUP($E$58,Paraméterek!$K$1:$L$4,2,0)*IF($O$79="Kizárás",1,1+$O$79),IF($E$61="Forint",0,2)))</f>
        <v>1226</v>
      </c>
      <c r="AK79" s="60">
        <f ca="1">IF(OR(ISBLANK($E$52),AK$69&gt;$E$55),"",ROUND(VLOOKUP(AK$68,'MM-MC Tarifák'!$A$3:$AQ$67,HLOOKUP($E79,'MM-MC Tarifák'!$B$1:$AQ$2,2,0),0)/1000*$J$79*IF(OR(AND($E$61="Forint",$J$79&gt;=500000,$J$79&lt;=200000000),AND($E$61="Euró",$J$79&gt;=1700,$J$79&lt;=650000)),1,0)*VLOOKUP($E$58,Paraméterek!$K$1:$L$4,2,0)*IF($O$79="Kizárás",1,1+$O$79),IF($E$61="Forint",0,2)))</f>
        <v>1226</v>
      </c>
      <c r="AL79" s="60">
        <f ca="1">IF(OR(ISBLANK($E$52),AL$69&gt;$E$55),"",ROUND(VLOOKUP(AL$68,'MM-MC Tarifák'!$A$3:$AQ$67,HLOOKUP($E79,'MM-MC Tarifák'!$B$1:$AQ$2,2,0),0)/1000*$J$79*IF(OR(AND($E$61="Forint",$J$79&gt;=500000,$J$79&lt;=200000000),AND($E$61="Euró",$J$79&gt;=1700,$J$79&lt;=650000)),1,0)*VLOOKUP($E$58,Paraméterek!$K$1:$L$4,2,0)*IF($O$79="Kizárás",1,1+$O$79),IF($E$61="Forint",0,2)))</f>
        <v>1226</v>
      </c>
      <c r="AM79" s="60">
        <f ca="1">IF(OR(ISBLANK($E$52),AM$69&gt;$E$55),"",ROUND(VLOOKUP(AM$68,'MM-MC Tarifák'!$A$3:$AQ$67,HLOOKUP($E79,'MM-MC Tarifák'!$B$1:$AQ$2,2,0),0)/1000*$J$79*IF(OR(AND($E$61="Forint",$J$79&gt;=500000,$J$79&lt;=200000000),AND($E$61="Euró",$J$79&gt;=1700,$J$79&lt;=650000)),1,0)*VLOOKUP($E$58,Paraméterek!$K$1:$L$4,2,0)*IF($O$79="Kizárás",1,1+$O$79),IF($E$61="Forint",0,2)))</f>
        <v>1226</v>
      </c>
      <c r="AN79" s="60">
        <f ca="1">IF(OR(ISBLANK($E$52),AN$69&gt;$E$55),"",ROUND(VLOOKUP(AN$68,'MM-MC Tarifák'!$A$3:$AQ$67,HLOOKUP($E79,'MM-MC Tarifák'!$B$1:$AQ$2,2,0),0)/1000*$J$79*IF(OR(AND($E$61="Forint",$J$79&gt;=500000,$J$79&lt;=200000000),AND($E$61="Euró",$J$79&gt;=1700,$J$79&lt;=650000)),1,0)*VLOOKUP($E$58,Paraméterek!$K$1:$L$4,2,0)*IF($O$79="Kizárás",1,1+$O$79),IF($E$61="Forint",0,2)))</f>
        <v>1226</v>
      </c>
      <c r="AO79" s="60">
        <f ca="1">IF(OR(ISBLANK($E$52),AO$69&gt;$E$55),"",ROUND(VLOOKUP(AO$68,'MM-MC Tarifák'!$A$3:$AQ$67,HLOOKUP($E79,'MM-MC Tarifák'!$B$1:$AQ$2,2,0),0)/1000*$J$79*IF(OR(AND($E$61="Forint",$J$79&gt;=500000,$J$79&lt;=200000000),AND($E$61="Euró",$J$79&gt;=1700,$J$79&lt;=650000)),1,0)*VLOOKUP($E$58,Paraméterek!$K$1:$L$4,2,0)*IF($O$79="Kizárás",1,1+$O$79),IF($E$61="Forint",0,2)))</f>
        <v>1226</v>
      </c>
      <c r="AP79" s="60">
        <f ca="1">IF(OR(ISBLANK($E$52),AP$69&gt;$E$55),"",ROUND(VLOOKUP(AP$68,'MM-MC Tarifák'!$A$3:$AQ$67,HLOOKUP($E79,'MM-MC Tarifák'!$B$1:$AQ$2,2,0),0)/1000*$J$79*IF(OR(AND($E$61="Forint",$J$79&gt;=500000,$J$79&lt;=200000000),AND($E$61="Euró",$J$79&gt;=1700,$J$79&lt;=650000)),1,0)*VLOOKUP($E$58,Paraméterek!$K$1:$L$4,2,0)*IF($O$79="Kizárás",1,1+$O$79),IF($E$61="Forint",0,2)))</f>
        <v>1226</v>
      </c>
    </row>
    <row r="80" spans="1:42" hidden="1" x14ac:dyDescent="0.25">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5">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5">
      <c r="A82" s="12" t="s">
        <v>406</v>
      </c>
      <c r="B82" s="175" t="s">
        <v>11</v>
      </c>
      <c r="C82" s="175"/>
      <c r="D82" s="175"/>
      <c r="E82" s="104" t="s">
        <v>12</v>
      </c>
      <c r="F82" s="104"/>
      <c r="G82" s="104"/>
      <c r="H82" s="104"/>
      <c r="I82" s="104"/>
      <c r="J82" s="188">
        <f>IF($G$5="MetMax",MetMax!$H$57,IF($G$5="MetCare",MetCare!$H$61,Nelson!$J$39))</f>
        <v>500000</v>
      </c>
      <c r="K82" s="189"/>
      <c r="L82" s="185">
        <f>IF($G$5="MetMax",MetMax!$J$57,IF($G$5="MetCare",MetCare!$J$61,Nelson!$N$39))</f>
        <v>0</v>
      </c>
      <c r="M82" s="185"/>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988</v>
      </c>
      <c r="S82" s="60">
        <f ca="1">IF(OR(ISBLANK($E$52),S$69&gt;$E$55),"",ROUND(VLOOKUP(S$68,'MM-MC Tarifák'!$A$3:$AQ$67,HLOOKUP($E82,'MM-MC Tarifák'!$B$1:$AQ$2,2,0),0)/1000*$J$82*IF(OR(AND($E$61="Forint",$J$82&gt;=100000,$J$82&lt;=1000000),AND($E$61="Euró",$J$82&gt;=340,$J$82&lt;=3250)),1,0)*VLOOKUP($E$58,Paraméterek!$K$1:$L$4,2,0)*IF($O$82="Kizárás",1,1+$O$82),IF($E$61="Forint",0,2)))</f>
        <v>988</v>
      </c>
      <c r="T82" s="60">
        <f ca="1">IF(OR(ISBLANK($E$52),T$69&gt;$E$55),"",ROUND(VLOOKUP(T$68,'MM-MC Tarifák'!$A$3:$AQ$67,HLOOKUP($E82,'MM-MC Tarifák'!$B$1:$AQ$2,2,0),0)/1000*$J$82*IF(OR(AND($E$61="Forint",$J$82&gt;=100000,$J$82&lt;=1000000),AND($E$61="Euró",$J$82&gt;=340,$J$82&lt;=3250)),1,0)*VLOOKUP($E$58,Paraméterek!$K$1:$L$4,2,0)*IF($O$82="Kizárás",1,1+$O$82),IF($E$61="Forint",0,2)))</f>
        <v>988</v>
      </c>
      <c r="U82" s="60">
        <f ca="1">IF(OR(ISBLANK($E$52),U$69&gt;$E$55),"",ROUND(VLOOKUP(U$68,'MM-MC Tarifák'!$A$3:$AQ$67,HLOOKUP($E82,'MM-MC Tarifák'!$B$1:$AQ$2,2,0),0)/1000*$J$82*IF(OR(AND($E$61="Forint",$J$82&gt;=100000,$J$82&lt;=1000000),AND($E$61="Euró",$J$82&gt;=340,$J$82&lt;=3250)),1,0)*VLOOKUP($E$58,Paraméterek!$K$1:$L$4,2,0)*IF($O$82="Kizárás",1,1+$O$82),IF($E$61="Forint",0,2)))</f>
        <v>988</v>
      </c>
      <c r="V82" s="60">
        <f ca="1">IF(OR(ISBLANK($E$52),V$69&gt;$E$55),"",ROUND(VLOOKUP(V$68,'MM-MC Tarifák'!$A$3:$AQ$67,HLOOKUP($E82,'MM-MC Tarifák'!$B$1:$AQ$2,2,0),0)/1000*$J$82*IF(OR(AND($E$61="Forint",$J$82&gt;=100000,$J$82&lt;=1000000),AND($E$61="Euró",$J$82&gt;=340,$J$82&lt;=3250)),1,0)*VLOOKUP($E$58,Paraméterek!$K$1:$L$4,2,0)*IF($O$82="Kizárás",1,1+$O$82),IF($E$61="Forint",0,2)))</f>
        <v>988</v>
      </c>
      <c r="W82" s="60">
        <f ca="1">IF(OR(ISBLANK($E$52),W$69&gt;$E$55),"",ROUND(VLOOKUP(W$68,'MM-MC Tarifák'!$A$3:$AQ$67,HLOOKUP($E82,'MM-MC Tarifák'!$B$1:$AQ$2,2,0),0)/1000*$J$82*IF(OR(AND($E$61="Forint",$J$82&gt;=100000,$J$82&lt;=1000000),AND($E$61="Euró",$J$82&gt;=340,$J$82&lt;=3250)),1,0)*VLOOKUP($E$58,Paraméterek!$K$1:$L$4,2,0)*IF($O$82="Kizárás",1,1+$O$82),IF($E$61="Forint",0,2)))</f>
        <v>988</v>
      </c>
      <c r="X82" s="60">
        <f ca="1">IF(OR(ISBLANK($E$52),X$69&gt;$E$55),"",ROUND(VLOOKUP(X$68,'MM-MC Tarifák'!$A$3:$AQ$67,HLOOKUP($E82,'MM-MC Tarifák'!$B$1:$AQ$2,2,0),0)/1000*$J$82*IF(OR(AND($E$61="Forint",$J$82&gt;=100000,$J$82&lt;=1000000),AND($E$61="Euró",$J$82&gt;=340,$J$82&lt;=3250)),1,0)*VLOOKUP($E$58,Paraméterek!$K$1:$L$4,2,0)*IF($O$82="Kizárás",1,1+$O$82),IF($E$61="Forint",0,2)))</f>
        <v>988</v>
      </c>
      <c r="Y82" s="60">
        <f ca="1">IF(OR(ISBLANK($E$52),Y$69&gt;$E$55),"",ROUND(VLOOKUP(Y$68,'MM-MC Tarifák'!$A$3:$AQ$67,HLOOKUP($E82,'MM-MC Tarifák'!$B$1:$AQ$2,2,0),0)/1000*$J$82*IF(OR(AND($E$61="Forint",$J$82&gt;=100000,$J$82&lt;=1000000),AND($E$61="Euró",$J$82&gt;=340,$J$82&lt;=3250)),1,0)*VLOOKUP($E$58,Paraméterek!$K$1:$L$4,2,0)*IF($O$82="Kizárás",1,1+$O$82),IF($E$61="Forint",0,2)))</f>
        <v>988</v>
      </c>
      <c r="Z82" s="60">
        <f ca="1">IF(OR(ISBLANK($E$52),Z$69&gt;$E$55),"",ROUND(VLOOKUP(Z$68,'MM-MC Tarifák'!$A$3:$AQ$67,HLOOKUP($E82,'MM-MC Tarifák'!$B$1:$AQ$2,2,0),0)/1000*$J$82*IF(OR(AND($E$61="Forint",$J$82&gt;=100000,$J$82&lt;=1000000),AND($E$61="Euró",$J$82&gt;=340,$J$82&lt;=3250)),1,0)*VLOOKUP($E$58,Paraméterek!$K$1:$L$4,2,0)*IF($O$82="Kizárás",1,1+$O$82),IF($E$61="Forint",0,2)))</f>
        <v>988</v>
      </c>
      <c r="AA82" s="60">
        <f ca="1">IF(OR(ISBLANK($E$52),AA$69&gt;$E$55),"",ROUND(VLOOKUP(AA$68,'MM-MC Tarifák'!$A$3:$AQ$67,HLOOKUP($E82,'MM-MC Tarifák'!$B$1:$AQ$2,2,0),0)/1000*$J$82*IF(OR(AND($E$61="Forint",$J$82&gt;=100000,$J$82&lt;=1000000),AND($E$61="Euró",$J$82&gt;=340,$J$82&lt;=3250)),1,0)*VLOOKUP($E$58,Paraméterek!$K$1:$L$4,2,0)*IF($O$82="Kizárás",1,1+$O$82),IF($E$61="Forint",0,2)))</f>
        <v>988</v>
      </c>
      <c r="AB82" s="60">
        <f ca="1">IF(OR(ISBLANK($E$52),AB$69&gt;$E$55),"",ROUND(VLOOKUP(AB$68,'MM-MC Tarifák'!$A$3:$AQ$67,HLOOKUP($E82,'MM-MC Tarifák'!$B$1:$AQ$2,2,0),0)/1000*$J$82*IF(OR(AND($E$61="Forint",$J$82&gt;=100000,$J$82&lt;=1000000),AND($E$61="Euró",$J$82&gt;=340,$J$82&lt;=3250)),1,0)*VLOOKUP($E$58,Paraméterek!$K$1:$L$4,2,0)*IF($O$82="Kizárás",1,1+$O$82),IF($E$61="Forint",0,2)))</f>
        <v>988</v>
      </c>
      <c r="AC82" s="60">
        <f ca="1">IF(OR(ISBLANK($E$52),AC$69&gt;$E$55),"",ROUND(VLOOKUP(AC$68,'MM-MC Tarifák'!$A$3:$AQ$67,HLOOKUP($E82,'MM-MC Tarifák'!$B$1:$AQ$2,2,0),0)/1000*$J$82*IF(OR(AND($E$61="Forint",$J$82&gt;=100000,$J$82&lt;=1000000),AND($E$61="Euró",$J$82&gt;=340,$J$82&lt;=3250)),1,0)*VLOOKUP($E$58,Paraméterek!$K$1:$L$4,2,0)*IF($O$82="Kizárás",1,1+$O$82),IF($E$61="Forint",0,2)))</f>
        <v>988</v>
      </c>
      <c r="AD82" s="60">
        <f ca="1">IF(OR(ISBLANK($E$52),AD$69&gt;$E$55),"",ROUND(VLOOKUP(AD$68,'MM-MC Tarifák'!$A$3:$AQ$67,HLOOKUP($E82,'MM-MC Tarifák'!$B$1:$AQ$2,2,0),0)/1000*$J$82*IF(OR(AND($E$61="Forint",$J$82&gt;=100000,$J$82&lt;=1000000),AND($E$61="Euró",$J$82&gt;=340,$J$82&lt;=3250)),1,0)*VLOOKUP($E$58,Paraméterek!$K$1:$L$4,2,0)*IF($O$82="Kizárás",1,1+$O$82),IF($E$61="Forint",0,2)))</f>
        <v>988</v>
      </c>
      <c r="AE82" s="60">
        <f ca="1">IF(OR(ISBLANK($E$52),AE$69&gt;$E$55),"",ROUND(VLOOKUP(AE$68,'MM-MC Tarifák'!$A$3:$AQ$67,HLOOKUP($E82,'MM-MC Tarifák'!$B$1:$AQ$2,2,0),0)/1000*$J$82*IF(OR(AND($E$61="Forint",$J$82&gt;=100000,$J$82&lt;=1000000),AND($E$61="Euró",$J$82&gt;=340,$J$82&lt;=3250)),1,0)*VLOOKUP($E$58,Paraméterek!$K$1:$L$4,2,0)*IF($O$82="Kizárás",1,1+$O$82),IF($E$61="Forint",0,2)))</f>
        <v>988</v>
      </c>
      <c r="AF82" s="60">
        <f ca="1">IF(OR(ISBLANK($E$52),AF$69&gt;$E$55),"",ROUND(VLOOKUP(AF$68,'MM-MC Tarifák'!$A$3:$AQ$67,HLOOKUP($E82,'MM-MC Tarifák'!$B$1:$AQ$2,2,0),0)/1000*$J$82*IF(OR(AND($E$61="Forint",$J$82&gt;=100000,$J$82&lt;=1000000),AND($E$61="Euró",$J$82&gt;=340,$J$82&lt;=3250)),1,0)*VLOOKUP($E$58,Paraméterek!$K$1:$L$4,2,0)*IF($O$82="Kizárás",1,1+$O$82),IF($E$61="Forint",0,2)))</f>
        <v>988</v>
      </c>
      <c r="AG82" s="60">
        <f ca="1">IF(OR(ISBLANK($E$52),AG$69&gt;$E$55),"",ROUND(VLOOKUP(AG$68,'MM-MC Tarifák'!$A$3:$AQ$67,HLOOKUP($E82,'MM-MC Tarifák'!$B$1:$AQ$2,2,0),0)/1000*$J$82*IF(OR(AND($E$61="Forint",$J$82&gt;=100000,$J$82&lt;=1000000),AND($E$61="Euró",$J$82&gt;=340,$J$82&lt;=3250)),1,0)*VLOOKUP($E$58,Paraméterek!$K$1:$L$4,2,0)*IF($O$82="Kizárás",1,1+$O$82),IF($E$61="Forint",0,2)))</f>
        <v>988</v>
      </c>
      <c r="AH82" s="60">
        <f ca="1">IF(OR(ISBLANK($E$52),AH$69&gt;$E$55),"",ROUND(VLOOKUP(AH$68,'MM-MC Tarifák'!$A$3:$AQ$67,HLOOKUP($E82,'MM-MC Tarifák'!$B$1:$AQ$2,2,0),0)/1000*$J$82*IF(OR(AND($E$61="Forint",$J$82&gt;=100000,$J$82&lt;=1000000),AND($E$61="Euró",$J$82&gt;=340,$J$82&lt;=3250)),1,0)*VLOOKUP($E$58,Paraméterek!$K$1:$L$4,2,0)*IF($O$82="Kizárás",1,1+$O$82),IF($E$61="Forint",0,2)))</f>
        <v>988</v>
      </c>
      <c r="AI82" s="60">
        <f ca="1">IF(OR(ISBLANK($E$52),AI$69&gt;$E$55),"",ROUND(VLOOKUP(AI$68,'MM-MC Tarifák'!$A$3:$AQ$67,HLOOKUP($E82,'MM-MC Tarifák'!$B$1:$AQ$2,2,0),0)/1000*$J$82*IF(OR(AND($E$61="Forint",$J$82&gt;=100000,$J$82&lt;=1000000),AND($E$61="Euró",$J$82&gt;=340,$J$82&lt;=3250)),1,0)*VLOOKUP($E$58,Paraméterek!$K$1:$L$4,2,0)*IF($O$82="Kizárás",1,1+$O$82),IF($E$61="Forint",0,2)))</f>
        <v>988</v>
      </c>
      <c r="AJ82" s="60">
        <f ca="1">IF(OR(ISBLANK($E$52),AJ$69&gt;$E$55),"",ROUND(VLOOKUP(AJ$68,'MM-MC Tarifák'!$A$3:$AQ$67,HLOOKUP($E82,'MM-MC Tarifák'!$B$1:$AQ$2,2,0),0)/1000*$J$82*IF(OR(AND($E$61="Forint",$J$82&gt;=100000,$J$82&lt;=1000000),AND($E$61="Euró",$J$82&gt;=340,$J$82&lt;=3250)),1,0)*VLOOKUP($E$58,Paraméterek!$K$1:$L$4,2,0)*IF($O$82="Kizárás",1,1+$O$82),IF($E$61="Forint",0,2)))</f>
        <v>988</v>
      </c>
      <c r="AK82" s="60">
        <f ca="1">IF(OR(ISBLANK($E$52),AK$69&gt;$E$55),"",ROUND(VLOOKUP(AK$68,'MM-MC Tarifák'!$A$3:$AQ$67,HLOOKUP($E82,'MM-MC Tarifák'!$B$1:$AQ$2,2,0),0)/1000*$J$82*IF(OR(AND($E$61="Forint",$J$82&gt;=100000,$J$82&lt;=1000000),AND($E$61="Euró",$J$82&gt;=340,$J$82&lt;=3250)),1,0)*VLOOKUP($E$58,Paraméterek!$K$1:$L$4,2,0)*IF($O$82="Kizárás",1,1+$O$82),IF($E$61="Forint",0,2)))</f>
        <v>988</v>
      </c>
      <c r="AL82" s="60">
        <f ca="1">IF(OR(ISBLANK($E$52),AL$69&gt;$E$55),"",ROUND(VLOOKUP(AL$68,'MM-MC Tarifák'!$A$3:$AQ$67,HLOOKUP($E82,'MM-MC Tarifák'!$B$1:$AQ$2,2,0),0)/1000*$J$82*IF(OR(AND($E$61="Forint",$J$82&gt;=100000,$J$82&lt;=1000000),AND($E$61="Euró",$J$82&gt;=340,$J$82&lt;=3250)),1,0)*VLOOKUP($E$58,Paraméterek!$K$1:$L$4,2,0)*IF($O$82="Kizárás",1,1+$O$82),IF($E$61="Forint",0,2)))</f>
        <v>988</v>
      </c>
      <c r="AM82" s="60">
        <f ca="1">IF(OR(ISBLANK($E$52),AM$69&gt;$E$55),"",ROUND(VLOOKUP(AM$68,'MM-MC Tarifák'!$A$3:$AQ$67,HLOOKUP($E82,'MM-MC Tarifák'!$B$1:$AQ$2,2,0),0)/1000*$J$82*IF(OR(AND($E$61="Forint",$J$82&gt;=100000,$J$82&lt;=1000000),AND($E$61="Euró",$J$82&gt;=340,$J$82&lt;=3250)),1,0)*VLOOKUP($E$58,Paraméterek!$K$1:$L$4,2,0)*IF($O$82="Kizárás",1,1+$O$82),IF($E$61="Forint",0,2)))</f>
        <v>988</v>
      </c>
      <c r="AN82" s="60">
        <f ca="1">IF(OR(ISBLANK($E$52),AN$69&gt;$E$55),"",ROUND(VLOOKUP(AN$68,'MM-MC Tarifák'!$A$3:$AQ$67,HLOOKUP($E82,'MM-MC Tarifák'!$B$1:$AQ$2,2,0),0)/1000*$J$82*IF(OR(AND($E$61="Forint",$J$82&gt;=100000,$J$82&lt;=1000000),AND($E$61="Euró",$J$82&gt;=340,$J$82&lt;=3250)),1,0)*VLOOKUP($E$58,Paraméterek!$K$1:$L$4,2,0)*IF($O$82="Kizárás",1,1+$O$82),IF($E$61="Forint",0,2)))</f>
        <v>988</v>
      </c>
      <c r="AO82" s="60">
        <f ca="1">IF(OR(ISBLANK($E$52),AO$69&gt;$E$55),"",ROUND(VLOOKUP(AO$68,'MM-MC Tarifák'!$A$3:$AQ$67,HLOOKUP($E82,'MM-MC Tarifák'!$B$1:$AQ$2,2,0),0)/1000*$J$82*IF(OR(AND($E$61="Forint",$J$82&gt;=100000,$J$82&lt;=1000000),AND($E$61="Euró",$J$82&gt;=340,$J$82&lt;=3250)),1,0)*VLOOKUP($E$58,Paraméterek!$K$1:$L$4,2,0)*IF($O$82="Kizárás",1,1+$O$82),IF($E$61="Forint",0,2)))</f>
        <v>988</v>
      </c>
      <c r="AP82" s="60">
        <f ca="1">IF(OR(ISBLANK($E$52),AP$69&gt;$E$55),"",ROUND(VLOOKUP(AP$68,'MM-MC Tarifák'!$A$3:$AQ$67,HLOOKUP($E82,'MM-MC Tarifák'!$B$1:$AQ$2,2,0),0)/1000*$J$82*IF(OR(AND($E$61="Forint",$J$82&gt;=100000,$J$82&lt;=1000000),AND($E$61="Euró",$J$82&gt;=340,$J$82&lt;=3250)),1,0)*VLOOKUP($E$58,Paraméterek!$K$1:$L$4,2,0)*IF($O$82="Kizárás",1,1+$O$82),IF($E$61="Forint",0,2)))</f>
        <v>988</v>
      </c>
    </row>
    <row r="83" spans="1:42" hidden="1" x14ac:dyDescent="0.25">
      <c r="A83" s="12" t="s">
        <v>406</v>
      </c>
      <c r="B83" s="175"/>
      <c r="C83" s="175"/>
      <c r="D83" s="175"/>
      <c r="E83" s="104" t="s">
        <v>25</v>
      </c>
      <c r="F83" s="104"/>
      <c r="G83" s="104"/>
      <c r="H83" s="104"/>
      <c r="I83" s="104"/>
      <c r="J83" s="188">
        <f>IF($G$5="MetMax",MetMax!$H$59,IF($G$5="MetCare",MetCare!$H$63,Nelson!$J$40))</f>
        <v>150000</v>
      </c>
      <c r="K83" s="189"/>
      <c r="L83" s="185" t="str">
        <f>IF($G$5="MetMax",MetMax!$J$59,IF($G$5="MetCare",MetCare!$J$63,Nelson!$N$40))</f>
        <v>Ezt kérem!</v>
      </c>
      <c r="M83" s="185"/>
      <c r="N83" s="73"/>
      <c r="O83" s="16">
        <f>IF(ISBLANK($B$65),0,VLOOKUP($B$65,'Foglalkozási pótdíjak'!$A$3:$K$494,9,0))</f>
        <v>0</v>
      </c>
      <c r="Q83" s="59">
        <f ca="1">IF($L$83="Ezt kérem!",MIN($E$53+$E$55-1,59,64),"")</f>
        <v>52</v>
      </c>
      <c r="R83" s="60">
        <f ca="1">IF(OR(ISBLANK($E$52),R$69&gt;$E$55),"",ROUND(VLOOKUP(R$68,'MM-MC Tarifák'!$A$3:$AQ$67,HLOOKUP($E83,'MM-MC Tarifák'!$B$1:$AQ$2,2,0),0)/1000*$J$83*IF(OR(AND($E$61="Forint",$J$83&gt;=100000,$J$83&lt;=1000000),AND($E$61="Euró",$J$83&gt;=340,$J$83&lt;=3250)),1,0)*VLOOKUP($E$58,Paraméterek!$K$1:$L$4,2,0)*IF($O$83="Kizárás",1,1+$O$83),IF($E$61="Forint",0,2)))</f>
        <v>784</v>
      </c>
      <c r="S83" s="60">
        <f ca="1">IF(OR(ISBLANK($E$52),S$69&gt;$E$55),"",IF(S$68&gt;64,0,$R$83))</f>
        <v>784</v>
      </c>
      <c r="T83" s="60">
        <f t="shared" ref="T83:AP83" ca="1" si="4">IF(OR(ISBLANK($E$52),T$69&gt;$E$55),"",IF(T$68&gt;64,0,$R$83))</f>
        <v>784</v>
      </c>
      <c r="U83" s="60">
        <f t="shared" ca="1" si="4"/>
        <v>784</v>
      </c>
      <c r="V83" s="60">
        <f t="shared" ca="1" si="4"/>
        <v>784</v>
      </c>
      <c r="W83" s="60">
        <f t="shared" ca="1" si="4"/>
        <v>784</v>
      </c>
      <c r="X83" s="60">
        <f t="shared" ca="1" si="4"/>
        <v>784</v>
      </c>
      <c r="Y83" s="60">
        <f t="shared" ca="1" si="4"/>
        <v>784</v>
      </c>
      <c r="Z83" s="60">
        <f t="shared" ca="1" si="4"/>
        <v>784</v>
      </c>
      <c r="AA83" s="60">
        <f t="shared" ca="1" si="4"/>
        <v>784</v>
      </c>
      <c r="AB83" s="60">
        <f t="shared" ca="1" si="4"/>
        <v>784</v>
      </c>
      <c r="AC83" s="60">
        <f t="shared" ca="1" si="4"/>
        <v>784</v>
      </c>
      <c r="AD83" s="60">
        <f t="shared" ca="1" si="4"/>
        <v>784</v>
      </c>
      <c r="AE83" s="60">
        <f t="shared" ca="1" si="4"/>
        <v>784</v>
      </c>
      <c r="AF83" s="60">
        <f t="shared" ca="1" si="4"/>
        <v>784</v>
      </c>
      <c r="AG83" s="60">
        <f t="shared" ca="1" si="4"/>
        <v>784</v>
      </c>
      <c r="AH83" s="60">
        <f t="shared" ca="1" si="4"/>
        <v>784</v>
      </c>
      <c r="AI83" s="60">
        <f t="shared" ca="1" si="4"/>
        <v>784</v>
      </c>
      <c r="AJ83" s="60">
        <f t="shared" ca="1" si="4"/>
        <v>784</v>
      </c>
      <c r="AK83" s="60">
        <f t="shared" ca="1" si="4"/>
        <v>784</v>
      </c>
      <c r="AL83" s="60">
        <f t="shared" ca="1" si="4"/>
        <v>784</v>
      </c>
      <c r="AM83" s="60">
        <f t="shared" ca="1" si="4"/>
        <v>784</v>
      </c>
      <c r="AN83" s="60">
        <f t="shared" ca="1" si="4"/>
        <v>784</v>
      </c>
      <c r="AO83" s="60">
        <f t="shared" ca="1" si="4"/>
        <v>784</v>
      </c>
      <c r="AP83" s="60">
        <f t="shared" ca="1" si="4"/>
        <v>784</v>
      </c>
    </row>
    <row r="84" spans="1:42" hidden="1" x14ac:dyDescent="0.25">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5">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5">
      <c r="A86" s="12" t="s">
        <v>406</v>
      </c>
      <c r="B86" s="175" t="s">
        <v>13</v>
      </c>
      <c r="C86" s="175"/>
      <c r="D86" s="175"/>
      <c r="E86" s="104" t="s">
        <v>14</v>
      </c>
      <c r="F86" s="104"/>
      <c r="G86" s="104"/>
      <c r="H86" s="104"/>
      <c r="I86" s="104"/>
      <c r="J86" s="188">
        <f>IF($G$5="MetMax",MetMax!$H$63,IF($G$5="MetCare",MetCare!$H$67,Nelson!$J$43))</f>
        <v>5000</v>
      </c>
      <c r="K86" s="189"/>
      <c r="L86" s="185">
        <f>IF($G$5="MetMax",MetMax!$J$63,IF($G$5="MetCare",MetCare!$J$67,Nelson!$N$43))</f>
        <v>0</v>
      </c>
      <c r="M86" s="185"/>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271</v>
      </c>
      <c r="S86" s="60">
        <f ca="1">IF(OR(ISBLANK($E$52),S$69&gt;$E$55),"",ROUND(VLOOKUP(S$68,'MM-MC Tarifák'!$A$3:$AQ$67,HLOOKUP($E86,'MM-MC Tarifák'!$B$1:$AQ$2,2,0),0)/1000*$J$86*IF(OR(AND($E$61="Forint",$J$86&gt;=2000,$J$86&lt;=40000),AND($E$61="Euró",$J$86&gt;=7,$J$86&lt;=130)),1,0)*VLOOKUP($E$58,Paraméterek!$K$1:$L$4,2,0)*IF($O$86="Kizárás",1,1+$O$86),IF($E$61="Forint",0,2)))</f>
        <v>271</v>
      </c>
      <c r="T86" s="60">
        <f ca="1">IF(OR(ISBLANK($E$52),T$69&gt;$E$55),"",ROUND(VLOOKUP(T$68,'MM-MC Tarifák'!$A$3:$AQ$67,HLOOKUP($E86,'MM-MC Tarifák'!$B$1:$AQ$2,2,0),0)/1000*$J$86*IF(OR(AND($E$61="Forint",$J$86&gt;=2000,$J$86&lt;=40000),AND($E$61="Euró",$J$86&gt;=7,$J$86&lt;=130)),1,0)*VLOOKUP($E$58,Paraméterek!$K$1:$L$4,2,0)*IF($O$86="Kizárás",1,1+$O$86),IF($E$61="Forint",0,2)))</f>
        <v>271</v>
      </c>
      <c r="U86" s="60">
        <f ca="1">IF(OR(ISBLANK($E$52),U$69&gt;$E$55),"",ROUND(VLOOKUP(U$68,'MM-MC Tarifák'!$A$3:$AQ$67,HLOOKUP($E86,'MM-MC Tarifák'!$B$1:$AQ$2,2,0),0)/1000*$J$86*IF(OR(AND($E$61="Forint",$J$86&gt;=2000,$J$86&lt;=40000),AND($E$61="Euró",$J$86&gt;=7,$J$86&lt;=130)),1,0)*VLOOKUP($E$58,Paraméterek!$K$1:$L$4,2,0)*IF($O$86="Kizárás",1,1+$O$86),IF($E$61="Forint",0,2)))</f>
        <v>271</v>
      </c>
      <c r="V86" s="60">
        <f ca="1">IF(OR(ISBLANK($E$52),V$69&gt;$E$55),"",ROUND(VLOOKUP(V$68,'MM-MC Tarifák'!$A$3:$AQ$67,HLOOKUP($E86,'MM-MC Tarifák'!$B$1:$AQ$2,2,0),0)/1000*$J$86*IF(OR(AND($E$61="Forint",$J$86&gt;=2000,$J$86&lt;=40000),AND($E$61="Euró",$J$86&gt;=7,$J$86&lt;=130)),1,0)*VLOOKUP($E$58,Paraméterek!$K$1:$L$4,2,0)*IF($O$86="Kizárás",1,1+$O$86),IF($E$61="Forint",0,2)))</f>
        <v>271</v>
      </c>
      <c r="W86" s="60">
        <f ca="1">IF(OR(ISBLANK($E$52),W$69&gt;$E$55),"",ROUND(VLOOKUP(W$68,'MM-MC Tarifák'!$A$3:$AQ$67,HLOOKUP($E86,'MM-MC Tarifák'!$B$1:$AQ$2,2,0),0)/1000*$J$86*IF(OR(AND($E$61="Forint",$J$86&gt;=2000,$J$86&lt;=40000),AND($E$61="Euró",$J$86&gt;=7,$J$86&lt;=130)),1,0)*VLOOKUP($E$58,Paraméterek!$K$1:$L$4,2,0)*IF($O$86="Kizárás",1,1+$O$86),IF($E$61="Forint",0,2)))</f>
        <v>271</v>
      </c>
      <c r="X86" s="60">
        <f ca="1">IF(OR(ISBLANK($E$52),X$69&gt;$E$55),"",ROUND(VLOOKUP(X$68,'MM-MC Tarifák'!$A$3:$AQ$67,HLOOKUP($E86,'MM-MC Tarifák'!$B$1:$AQ$2,2,0),0)/1000*$J$86*IF(OR(AND($E$61="Forint",$J$86&gt;=2000,$J$86&lt;=40000),AND($E$61="Euró",$J$86&gt;=7,$J$86&lt;=130)),1,0)*VLOOKUP($E$58,Paraméterek!$K$1:$L$4,2,0)*IF($O$86="Kizárás",1,1+$O$86),IF($E$61="Forint",0,2)))</f>
        <v>271</v>
      </c>
      <c r="Y86" s="60">
        <f ca="1">IF(OR(ISBLANK($E$52),Y$69&gt;$E$55),"",ROUND(VLOOKUP(Y$68,'MM-MC Tarifák'!$A$3:$AQ$67,HLOOKUP($E86,'MM-MC Tarifák'!$B$1:$AQ$2,2,0),0)/1000*$J$86*IF(OR(AND($E$61="Forint",$J$86&gt;=2000,$J$86&lt;=40000),AND($E$61="Euró",$J$86&gt;=7,$J$86&lt;=130)),1,0)*VLOOKUP($E$58,Paraméterek!$K$1:$L$4,2,0)*IF($O$86="Kizárás",1,1+$O$86),IF($E$61="Forint",0,2)))</f>
        <v>271</v>
      </c>
      <c r="Z86" s="60">
        <f ca="1">IF(OR(ISBLANK($E$52),Z$69&gt;$E$55),"",ROUND(VLOOKUP(Z$68,'MM-MC Tarifák'!$A$3:$AQ$67,HLOOKUP($E86,'MM-MC Tarifák'!$B$1:$AQ$2,2,0),0)/1000*$J$86*IF(OR(AND($E$61="Forint",$J$86&gt;=2000,$J$86&lt;=40000),AND($E$61="Euró",$J$86&gt;=7,$J$86&lt;=130)),1,0)*VLOOKUP($E$58,Paraméterek!$K$1:$L$4,2,0)*IF($O$86="Kizárás",1,1+$O$86),IF($E$61="Forint",0,2)))</f>
        <v>271</v>
      </c>
      <c r="AA86" s="60">
        <f ca="1">IF(OR(ISBLANK($E$52),AA$69&gt;$E$55),"",ROUND(VLOOKUP(AA$68,'MM-MC Tarifák'!$A$3:$AQ$67,HLOOKUP($E86,'MM-MC Tarifák'!$B$1:$AQ$2,2,0),0)/1000*$J$86*IF(OR(AND($E$61="Forint",$J$86&gt;=2000,$J$86&lt;=40000),AND($E$61="Euró",$J$86&gt;=7,$J$86&lt;=130)),1,0)*VLOOKUP($E$58,Paraméterek!$K$1:$L$4,2,0)*IF($O$86="Kizárás",1,1+$O$86),IF($E$61="Forint",0,2)))</f>
        <v>271</v>
      </c>
      <c r="AB86" s="60">
        <f ca="1">IF(OR(ISBLANK($E$52),AB$69&gt;$E$55),"",ROUND(VLOOKUP(AB$68,'MM-MC Tarifák'!$A$3:$AQ$67,HLOOKUP($E86,'MM-MC Tarifák'!$B$1:$AQ$2,2,0),0)/1000*$J$86*IF(OR(AND($E$61="Forint",$J$86&gt;=2000,$J$86&lt;=40000),AND($E$61="Euró",$J$86&gt;=7,$J$86&lt;=130)),1,0)*VLOOKUP($E$58,Paraméterek!$K$1:$L$4,2,0)*IF($O$86="Kizárás",1,1+$O$86),IF($E$61="Forint",0,2)))</f>
        <v>271</v>
      </c>
      <c r="AC86" s="60">
        <f ca="1">IF(OR(ISBLANK($E$52),AC$69&gt;$E$55),"",ROUND(VLOOKUP(AC$68,'MM-MC Tarifák'!$A$3:$AQ$67,HLOOKUP($E86,'MM-MC Tarifák'!$B$1:$AQ$2,2,0),0)/1000*$J$86*IF(OR(AND($E$61="Forint",$J$86&gt;=2000,$J$86&lt;=40000),AND($E$61="Euró",$J$86&gt;=7,$J$86&lt;=130)),1,0)*VLOOKUP($E$58,Paraméterek!$K$1:$L$4,2,0)*IF($O$86="Kizárás",1,1+$O$86),IF($E$61="Forint",0,2)))</f>
        <v>271</v>
      </c>
      <c r="AD86" s="60">
        <f ca="1">IF(OR(ISBLANK($E$52),AD$69&gt;$E$55),"",ROUND(VLOOKUP(AD$68,'MM-MC Tarifák'!$A$3:$AQ$67,HLOOKUP($E86,'MM-MC Tarifák'!$B$1:$AQ$2,2,0),0)/1000*$J$86*IF(OR(AND($E$61="Forint",$J$86&gt;=2000,$J$86&lt;=40000),AND($E$61="Euró",$J$86&gt;=7,$J$86&lt;=130)),1,0)*VLOOKUP($E$58,Paraméterek!$K$1:$L$4,2,0)*IF($O$86="Kizárás",1,1+$O$86),IF($E$61="Forint",0,2)))</f>
        <v>271</v>
      </c>
      <c r="AE86" s="60">
        <f ca="1">IF(OR(ISBLANK($E$52),AE$69&gt;$E$55),"",ROUND(VLOOKUP(AE$68,'MM-MC Tarifák'!$A$3:$AQ$67,HLOOKUP($E86,'MM-MC Tarifák'!$B$1:$AQ$2,2,0),0)/1000*$J$86*IF(OR(AND($E$61="Forint",$J$86&gt;=2000,$J$86&lt;=40000),AND($E$61="Euró",$J$86&gt;=7,$J$86&lt;=130)),1,0)*VLOOKUP($E$58,Paraméterek!$K$1:$L$4,2,0)*IF($O$86="Kizárás",1,1+$O$86),IF($E$61="Forint",0,2)))</f>
        <v>271</v>
      </c>
      <c r="AF86" s="60">
        <f ca="1">IF(OR(ISBLANK($E$52),AF$69&gt;$E$55),"",ROUND(VLOOKUP(AF$68,'MM-MC Tarifák'!$A$3:$AQ$67,HLOOKUP($E86,'MM-MC Tarifák'!$B$1:$AQ$2,2,0),0)/1000*$J$86*IF(OR(AND($E$61="Forint",$J$86&gt;=2000,$J$86&lt;=40000),AND($E$61="Euró",$J$86&gt;=7,$J$86&lt;=130)),1,0)*VLOOKUP($E$58,Paraméterek!$K$1:$L$4,2,0)*IF($O$86="Kizárás",1,1+$O$86),IF($E$61="Forint",0,2)))</f>
        <v>271</v>
      </c>
      <c r="AG86" s="60">
        <f ca="1">IF(OR(ISBLANK($E$52),AG$69&gt;$E$55),"",ROUND(VLOOKUP(AG$68,'MM-MC Tarifák'!$A$3:$AQ$67,HLOOKUP($E86,'MM-MC Tarifák'!$B$1:$AQ$2,2,0),0)/1000*$J$86*IF(OR(AND($E$61="Forint",$J$86&gt;=2000,$J$86&lt;=40000),AND($E$61="Euró",$J$86&gt;=7,$J$86&lt;=130)),1,0)*VLOOKUP($E$58,Paraméterek!$K$1:$L$4,2,0)*IF($O$86="Kizárás",1,1+$O$86),IF($E$61="Forint",0,2)))</f>
        <v>271</v>
      </c>
      <c r="AH86" s="60">
        <f ca="1">IF(OR(ISBLANK($E$52),AH$69&gt;$E$55),"",ROUND(VLOOKUP(AH$68,'MM-MC Tarifák'!$A$3:$AQ$67,HLOOKUP($E86,'MM-MC Tarifák'!$B$1:$AQ$2,2,0),0)/1000*$J$86*IF(OR(AND($E$61="Forint",$J$86&gt;=2000,$J$86&lt;=40000),AND($E$61="Euró",$J$86&gt;=7,$J$86&lt;=130)),1,0)*VLOOKUP($E$58,Paraméterek!$K$1:$L$4,2,0)*IF($O$86="Kizárás",1,1+$O$86),IF($E$61="Forint",0,2)))</f>
        <v>271</v>
      </c>
      <c r="AI86" s="60">
        <f ca="1">IF(OR(ISBLANK($E$52),AI$69&gt;$E$55),"",ROUND(VLOOKUP(AI$68,'MM-MC Tarifák'!$A$3:$AQ$67,HLOOKUP($E86,'MM-MC Tarifák'!$B$1:$AQ$2,2,0),0)/1000*$J$86*IF(OR(AND($E$61="Forint",$J$86&gt;=2000,$J$86&lt;=40000),AND($E$61="Euró",$J$86&gt;=7,$J$86&lt;=130)),1,0)*VLOOKUP($E$58,Paraméterek!$K$1:$L$4,2,0)*IF($O$86="Kizárás",1,1+$O$86),IF($E$61="Forint",0,2)))</f>
        <v>271</v>
      </c>
      <c r="AJ86" s="60">
        <f ca="1">IF(OR(ISBLANK($E$52),AJ$69&gt;$E$55),"",ROUND(VLOOKUP(AJ$68,'MM-MC Tarifák'!$A$3:$AQ$67,HLOOKUP($E86,'MM-MC Tarifák'!$B$1:$AQ$2,2,0),0)/1000*$J$86*IF(OR(AND($E$61="Forint",$J$86&gt;=2000,$J$86&lt;=40000),AND($E$61="Euró",$J$86&gt;=7,$J$86&lt;=130)),1,0)*VLOOKUP($E$58,Paraméterek!$K$1:$L$4,2,0)*IF($O$86="Kizárás",1,1+$O$86),IF($E$61="Forint",0,2)))</f>
        <v>271</v>
      </c>
      <c r="AK86" s="60">
        <f ca="1">IF(OR(ISBLANK($E$52),AK$69&gt;$E$55),"",ROUND(VLOOKUP(AK$68,'MM-MC Tarifák'!$A$3:$AQ$67,HLOOKUP($E86,'MM-MC Tarifák'!$B$1:$AQ$2,2,0),0)/1000*$J$86*IF(OR(AND($E$61="Forint",$J$86&gt;=2000,$J$86&lt;=40000),AND($E$61="Euró",$J$86&gt;=7,$J$86&lt;=130)),1,0)*VLOOKUP($E$58,Paraméterek!$K$1:$L$4,2,0)*IF($O$86="Kizárás",1,1+$O$86),IF($E$61="Forint",0,2)))</f>
        <v>271</v>
      </c>
      <c r="AL86" s="60">
        <f ca="1">IF(OR(ISBLANK($E$52),AL$69&gt;$E$55),"",ROUND(VLOOKUP(AL$68,'MM-MC Tarifák'!$A$3:$AQ$67,HLOOKUP($E86,'MM-MC Tarifák'!$B$1:$AQ$2,2,0),0)/1000*$J$86*IF(OR(AND($E$61="Forint",$J$86&gt;=2000,$J$86&lt;=40000),AND($E$61="Euró",$J$86&gt;=7,$J$86&lt;=130)),1,0)*VLOOKUP($E$58,Paraméterek!$K$1:$L$4,2,0)*IF($O$86="Kizárás",1,1+$O$86),IF($E$61="Forint",0,2)))</f>
        <v>271</v>
      </c>
      <c r="AM86" s="60">
        <f ca="1">IF(OR(ISBLANK($E$52),AM$69&gt;$E$55),"",ROUND(VLOOKUP(AM$68,'MM-MC Tarifák'!$A$3:$AQ$67,HLOOKUP($E86,'MM-MC Tarifák'!$B$1:$AQ$2,2,0),0)/1000*$J$86*IF(OR(AND($E$61="Forint",$J$86&gt;=2000,$J$86&lt;=40000),AND($E$61="Euró",$J$86&gt;=7,$J$86&lt;=130)),1,0)*VLOOKUP($E$58,Paraméterek!$K$1:$L$4,2,0)*IF($O$86="Kizárás",1,1+$O$86),IF($E$61="Forint",0,2)))</f>
        <v>271</v>
      </c>
      <c r="AN86" s="60">
        <f ca="1">IF(OR(ISBLANK($E$52),AN$69&gt;$E$55),"",ROUND(VLOOKUP(AN$68,'MM-MC Tarifák'!$A$3:$AQ$67,HLOOKUP($E86,'MM-MC Tarifák'!$B$1:$AQ$2,2,0),0)/1000*$J$86*IF(OR(AND($E$61="Forint",$J$86&gt;=2000,$J$86&lt;=40000),AND($E$61="Euró",$J$86&gt;=7,$J$86&lt;=130)),1,0)*VLOOKUP($E$58,Paraméterek!$K$1:$L$4,2,0)*IF($O$86="Kizárás",1,1+$O$86),IF($E$61="Forint",0,2)))</f>
        <v>271</v>
      </c>
      <c r="AO86" s="60">
        <f ca="1">IF(OR(ISBLANK($E$52),AO$69&gt;$E$55),"",ROUND(VLOOKUP(AO$68,'MM-MC Tarifák'!$A$3:$AQ$67,HLOOKUP($E86,'MM-MC Tarifák'!$B$1:$AQ$2,2,0),0)/1000*$J$86*IF(OR(AND($E$61="Forint",$J$86&gt;=2000,$J$86&lt;=40000),AND($E$61="Euró",$J$86&gt;=7,$J$86&lt;=130)),1,0)*VLOOKUP($E$58,Paraméterek!$K$1:$L$4,2,0)*IF($O$86="Kizárás",1,1+$O$86),IF($E$61="Forint",0,2)))</f>
        <v>271</v>
      </c>
      <c r="AP86" s="60">
        <f ca="1">IF(OR(ISBLANK($E$52),AP$69&gt;$E$55),"",ROUND(VLOOKUP(AP$68,'MM-MC Tarifák'!$A$3:$AQ$67,HLOOKUP($E86,'MM-MC Tarifák'!$B$1:$AQ$2,2,0),0)/1000*$J$86*IF(OR(AND($E$61="Forint",$J$86&gt;=2000,$J$86&lt;=40000),AND($E$61="Euró",$J$86&gt;=7,$J$86&lt;=130)),1,0)*VLOOKUP($E$58,Paraméterek!$K$1:$L$4,2,0)*IF($O$86="Kizárás",1,1+$O$86),IF($E$61="Forint",0,2)))</f>
        <v>271</v>
      </c>
    </row>
    <row r="87" spans="1:42" hidden="1" x14ac:dyDescent="0.25">
      <c r="A87" s="12" t="s">
        <v>406</v>
      </c>
      <c r="B87" s="175"/>
      <c r="C87" s="175"/>
      <c r="D87" s="175"/>
      <c r="E87" s="104" t="s">
        <v>16</v>
      </c>
      <c r="F87" s="104"/>
      <c r="G87" s="104"/>
      <c r="H87" s="104"/>
      <c r="I87" s="104"/>
      <c r="J87" s="188">
        <f>IF($G$5="MetMax",MetMax!$H$67,IF($G$5="MetCare",MetCare!$H$71,Nelson!$J$44))</f>
        <v>2000</v>
      </c>
      <c r="K87" s="189"/>
      <c r="L87" s="185" t="str">
        <f>IF($G$5="MetMax",MetMax!$J$67,IF($G$5="MetCare",MetCare!$J$71,Nelson!$N$44))</f>
        <v>Ezt kérem!</v>
      </c>
      <c r="M87" s="185"/>
      <c r="N87" s="73"/>
      <c r="O87" s="16">
        <f>IF(ISBLANK($B$65),0,VLOOKUP($B$65,'Foglalkozási pótdíjak'!$A$3:$K$494,11,0))</f>
        <v>0</v>
      </c>
      <c r="Q87" s="59">
        <f ca="1">IF($L$87="Ezt kérem!",MIN($E$53+$E$55-1,59,64),"")</f>
        <v>52</v>
      </c>
      <c r="R87" s="60">
        <f ca="1">IF(OR(ISBLANK($E$52),R$69&gt;$E$55),"",ROUND(VLOOKUP(R$68,'MM-MC Tarifák'!$A$3:$AQ$67,HLOOKUP($E87,'MM-MC Tarifák'!$B$1:$AQ$2,2,0),0)/1000*$J$87*IF(OR(AND($E$61="Forint",$J$87&gt;=2000,$J$87&lt;=40000),AND($E$61="Euró",$J$87&gt;=7,$J$87&lt;=130)),1,0)*VLOOKUP($E$58,Paraméterek!$K$1:$L$4,2,0)*IF($O$87="Kizárás",1,1+$O$87),IF($E$61="Forint",0,2)))</f>
        <v>517</v>
      </c>
      <c r="S87" s="60">
        <f ca="1">IF(OR(ISBLANK($E$52),S$69&gt;$E$55),"",IF(S$68&gt;64,0,$R$87))</f>
        <v>517</v>
      </c>
      <c r="T87" s="60">
        <f t="shared" ref="T87:AP87" ca="1" si="5">IF(OR(ISBLANK($E$52),T$69&gt;$E$55),"",IF(T$68&gt;64,0,$R$87))</f>
        <v>517</v>
      </c>
      <c r="U87" s="60">
        <f t="shared" ca="1" si="5"/>
        <v>517</v>
      </c>
      <c r="V87" s="60">
        <f t="shared" ca="1" si="5"/>
        <v>517</v>
      </c>
      <c r="W87" s="60">
        <f t="shared" ca="1" si="5"/>
        <v>517</v>
      </c>
      <c r="X87" s="60">
        <f t="shared" ca="1" si="5"/>
        <v>517</v>
      </c>
      <c r="Y87" s="60">
        <f t="shared" ca="1" si="5"/>
        <v>517</v>
      </c>
      <c r="Z87" s="60">
        <f t="shared" ca="1" si="5"/>
        <v>517</v>
      </c>
      <c r="AA87" s="60">
        <f t="shared" ca="1" si="5"/>
        <v>517</v>
      </c>
      <c r="AB87" s="60">
        <f t="shared" ca="1" si="5"/>
        <v>517</v>
      </c>
      <c r="AC87" s="60">
        <f t="shared" ca="1" si="5"/>
        <v>517</v>
      </c>
      <c r="AD87" s="60">
        <f t="shared" ca="1" si="5"/>
        <v>517</v>
      </c>
      <c r="AE87" s="60">
        <f t="shared" ca="1" si="5"/>
        <v>517</v>
      </c>
      <c r="AF87" s="60">
        <f t="shared" ca="1" si="5"/>
        <v>517</v>
      </c>
      <c r="AG87" s="60">
        <f t="shared" ca="1" si="5"/>
        <v>517</v>
      </c>
      <c r="AH87" s="60">
        <f t="shared" ca="1" si="5"/>
        <v>517</v>
      </c>
      <c r="AI87" s="60">
        <f t="shared" ca="1" si="5"/>
        <v>517</v>
      </c>
      <c r="AJ87" s="60">
        <f t="shared" ca="1" si="5"/>
        <v>517</v>
      </c>
      <c r="AK87" s="60">
        <f t="shared" ca="1" si="5"/>
        <v>517</v>
      </c>
      <c r="AL87" s="60">
        <f t="shared" ca="1" si="5"/>
        <v>517</v>
      </c>
      <c r="AM87" s="60">
        <f t="shared" ca="1" si="5"/>
        <v>517</v>
      </c>
      <c r="AN87" s="60">
        <f t="shared" ca="1" si="5"/>
        <v>517</v>
      </c>
      <c r="AO87" s="60">
        <f t="shared" ca="1" si="5"/>
        <v>517</v>
      </c>
      <c r="AP87" s="60">
        <f t="shared" ca="1" si="5"/>
        <v>517</v>
      </c>
    </row>
    <row r="88" spans="1:42" hidden="1" x14ac:dyDescent="0.25">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5">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5">
      <c r="A90" s="12" t="s">
        <v>406</v>
      </c>
      <c r="B90" s="175" t="s">
        <v>20</v>
      </c>
      <c r="C90" s="175"/>
      <c r="D90" s="175"/>
      <c r="E90" s="104" t="s">
        <v>21</v>
      </c>
      <c r="F90" s="104"/>
      <c r="G90" s="104"/>
      <c r="H90" s="104"/>
      <c r="I90" s="104"/>
      <c r="J90" s="184">
        <f>IF($G$5="MetMax",MetMax!$H$76,IF($G$5="MetCare",MetCare!$H$80,Nelson!$J$47))</f>
        <v>1000000</v>
      </c>
      <c r="K90" s="184"/>
      <c r="L90" s="185" t="str">
        <f>IF($G$5="MetMax",MetMax!$J$76,IF($G$5="MetCare",MetCare!$J$80,Nelson!$N$47))</f>
        <v>Ezt kérem!</v>
      </c>
      <c r="M90" s="185"/>
      <c r="N90" s="73"/>
      <c r="O90" s="16">
        <f>IF(ISBLANK($B$65),0,VLOOKUP($B$65,'Foglalkozási pótdíjak'!$A$3:$K$494,7,0))</f>
        <v>0</v>
      </c>
      <c r="Q90" s="59">
        <f ca="1">IF($L$90="Ezt kérem!",MIN($E$53+$E$55-1,64,64),"")</f>
        <v>52</v>
      </c>
      <c r="R90" s="60">
        <f ca="1">IF(OR(ISBLANK($E$52),R$69&gt;$E$55),"",ROUND(VLOOKUP(R$68,'MM-MC Tarifák'!$A$3:$AQ$67,HLOOKUP($E90,'MM-MC Tarifák'!$B$1:$AQ$2,2,0),0)/1000*$J$90*IF(OR(AND($E$61="Forint",$J$90&gt;=100000,$J$90&lt;=1000000),AND($E$61="Euró",$J$90&gt;=340,$J$90&lt;=3250)),1,0)*VLOOKUP($E$58,Paraméterek!$K$1:$L$4,2,0)*IF($O$90="Kizárás",1,1+$O$90),IF($E$61="Forint",0,2)))</f>
        <v>1538</v>
      </c>
      <c r="S90" s="60">
        <f ca="1">IF(OR(ISBLANK($E$52),S$69&gt;$E$55),"",ROUND(VLOOKUP(S$68,'MM-MC Tarifák'!$A$3:$AQ$67,HLOOKUP($E90,'MM-MC Tarifák'!$B$1:$AQ$2,2,0),0)/1000*$J$90*IF(OR(AND($E$61="Forint",$J$90&gt;=100000,$J$90&lt;=1000000),AND($E$61="Euró",$J$90&gt;=340,$J$90&lt;=3250)),1,0)*VLOOKUP($E$58,Paraméterek!$K$1:$L$4,2,0)*IF($O$90="Kizárás",1,1+$O$90),IF($E$61="Forint",0,2)))</f>
        <v>1538</v>
      </c>
      <c r="T90" s="60">
        <f ca="1">IF(OR(ISBLANK($E$52),T$69&gt;$E$55),"",ROUND(VLOOKUP(T$68,'MM-MC Tarifák'!$A$3:$AQ$67,HLOOKUP($E90,'MM-MC Tarifák'!$B$1:$AQ$2,2,0),0)/1000*$J$90*IF(OR(AND($E$61="Forint",$J$90&gt;=100000,$J$90&lt;=1000000),AND($E$61="Euró",$J$90&gt;=340,$J$90&lt;=3250)),1,0)*VLOOKUP($E$58,Paraméterek!$K$1:$L$4,2,0)*IF($O$90="Kizárás",1,1+$O$90),IF($E$61="Forint",0,2)))</f>
        <v>1538</v>
      </c>
      <c r="U90" s="60">
        <f ca="1">IF(OR(ISBLANK($E$52),U$69&gt;$E$55),"",ROUND(VLOOKUP(U$68,'MM-MC Tarifák'!$A$3:$AQ$67,HLOOKUP($E90,'MM-MC Tarifák'!$B$1:$AQ$2,2,0),0)/1000*$J$90*IF(OR(AND($E$61="Forint",$J$90&gt;=100000,$J$90&lt;=1000000),AND($E$61="Euró",$J$90&gt;=340,$J$90&lt;=3250)),1,0)*VLOOKUP($E$58,Paraméterek!$K$1:$L$4,2,0)*IF($O$90="Kizárás",1,1+$O$90),IF($E$61="Forint",0,2)))</f>
        <v>1538</v>
      </c>
      <c r="V90" s="60">
        <f ca="1">IF(OR(ISBLANK($E$52),V$69&gt;$E$55),"",ROUND(VLOOKUP(V$68,'MM-MC Tarifák'!$A$3:$AQ$67,HLOOKUP($E90,'MM-MC Tarifák'!$B$1:$AQ$2,2,0),0)/1000*$J$90*IF(OR(AND($E$61="Forint",$J$90&gt;=100000,$J$90&lt;=1000000),AND($E$61="Euró",$J$90&gt;=340,$J$90&lt;=3250)),1,0)*VLOOKUP($E$58,Paraméterek!$K$1:$L$4,2,0)*IF($O$90="Kizárás",1,1+$O$90),IF($E$61="Forint",0,2)))</f>
        <v>1538</v>
      </c>
      <c r="W90" s="60">
        <f ca="1">IF(OR(ISBLANK($E$52),W$69&gt;$E$55),"",ROUND(VLOOKUP(W$68,'MM-MC Tarifák'!$A$3:$AQ$67,HLOOKUP($E90,'MM-MC Tarifák'!$B$1:$AQ$2,2,0),0)/1000*$J$90*IF(OR(AND($E$61="Forint",$J$90&gt;=100000,$J$90&lt;=1000000),AND($E$61="Euró",$J$90&gt;=340,$J$90&lt;=3250)),1,0)*VLOOKUP($E$58,Paraméterek!$K$1:$L$4,2,0)*IF($O$90="Kizárás",1,1+$O$90),IF($E$61="Forint",0,2)))</f>
        <v>1538</v>
      </c>
      <c r="X90" s="60">
        <f ca="1">IF(OR(ISBLANK($E$52),X$69&gt;$E$55),"",ROUND(VLOOKUP(X$68,'MM-MC Tarifák'!$A$3:$AQ$67,HLOOKUP($E90,'MM-MC Tarifák'!$B$1:$AQ$2,2,0),0)/1000*$J$90*IF(OR(AND($E$61="Forint",$J$90&gt;=100000,$J$90&lt;=1000000),AND($E$61="Euró",$J$90&gt;=340,$J$90&lt;=3250)),1,0)*VLOOKUP($E$58,Paraméterek!$K$1:$L$4,2,0)*IF($O$90="Kizárás",1,1+$O$90),IF($E$61="Forint",0,2)))</f>
        <v>1538</v>
      </c>
      <c r="Y90" s="60">
        <f ca="1">IF(OR(ISBLANK($E$52),Y$69&gt;$E$55),"",ROUND(VLOOKUP(Y$68,'MM-MC Tarifák'!$A$3:$AQ$67,HLOOKUP($E90,'MM-MC Tarifák'!$B$1:$AQ$2,2,0),0)/1000*$J$90*IF(OR(AND($E$61="Forint",$J$90&gt;=100000,$J$90&lt;=1000000),AND($E$61="Euró",$J$90&gt;=340,$J$90&lt;=3250)),1,0)*VLOOKUP($E$58,Paraméterek!$K$1:$L$4,2,0)*IF($O$90="Kizárás",1,1+$O$90),IF($E$61="Forint",0,2)))</f>
        <v>1538</v>
      </c>
      <c r="Z90" s="60">
        <f ca="1">IF(OR(ISBLANK($E$52),Z$69&gt;$E$55),"",ROUND(VLOOKUP(Z$68,'MM-MC Tarifák'!$A$3:$AQ$67,HLOOKUP($E90,'MM-MC Tarifák'!$B$1:$AQ$2,2,0),0)/1000*$J$90*IF(OR(AND($E$61="Forint",$J$90&gt;=100000,$J$90&lt;=1000000),AND($E$61="Euró",$J$90&gt;=340,$J$90&lt;=3250)),1,0)*VLOOKUP($E$58,Paraméterek!$K$1:$L$4,2,0)*IF($O$90="Kizárás",1,1+$O$90),IF($E$61="Forint",0,2)))</f>
        <v>1538</v>
      </c>
      <c r="AA90" s="60">
        <f ca="1">IF(OR(ISBLANK($E$52),AA$69&gt;$E$55),"",ROUND(VLOOKUP(AA$68,'MM-MC Tarifák'!$A$3:$AQ$67,HLOOKUP($E90,'MM-MC Tarifák'!$B$1:$AQ$2,2,0),0)/1000*$J$90*IF(OR(AND($E$61="Forint",$J$90&gt;=100000,$J$90&lt;=1000000),AND($E$61="Euró",$J$90&gt;=340,$J$90&lt;=3250)),1,0)*VLOOKUP($E$58,Paraméterek!$K$1:$L$4,2,0)*IF($O$90="Kizárás",1,1+$O$90),IF($E$61="Forint",0,2)))</f>
        <v>1538</v>
      </c>
      <c r="AB90" s="60">
        <f ca="1">IF(OR(ISBLANK($E$52),AB$69&gt;$E$55),"",ROUND(VLOOKUP(AB$68,'MM-MC Tarifák'!$A$3:$AQ$67,HLOOKUP($E90,'MM-MC Tarifák'!$B$1:$AQ$2,2,0),0)/1000*$J$90*IF(OR(AND($E$61="Forint",$J$90&gt;=100000,$J$90&lt;=1000000),AND($E$61="Euró",$J$90&gt;=340,$J$90&lt;=3250)),1,0)*VLOOKUP($E$58,Paraméterek!$K$1:$L$4,2,0)*IF($O$90="Kizárás",1,1+$O$90),IF($E$61="Forint",0,2)))</f>
        <v>1538</v>
      </c>
      <c r="AC90" s="60">
        <f ca="1">IF(OR(ISBLANK($E$52),AC$69&gt;$E$55),"",ROUND(VLOOKUP(AC$68,'MM-MC Tarifák'!$A$3:$AQ$67,HLOOKUP($E90,'MM-MC Tarifák'!$B$1:$AQ$2,2,0),0)/1000*$J$90*IF(OR(AND($E$61="Forint",$J$90&gt;=100000,$J$90&lt;=1000000),AND($E$61="Euró",$J$90&gt;=340,$J$90&lt;=3250)),1,0)*VLOOKUP($E$58,Paraméterek!$K$1:$L$4,2,0)*IF($O$90="Kizárás",1,1+$O$90),IF($E$61="Forint",0,2)))</f>
        <v>1538</v>
      </c>
      <c r="AD90" s="60">
        <f ca="1">IF(OR(ISBLANK($E$52),AD$69&gt;$E$55),"",ROUND(VLOOKUP(AD$68,'MM-MC Tarifák'!$A$3:$AQ$67,HLOOKUP($E90,'MM-MC Tarifák'!$B$1:$AQ$2,2,0),0)/1000*$J$90*IF(OR(AND($E$61="Forint",$J$90&gt;=100000,$J$90&lt;=1000000),AND($E$61="Euró",$J$90&gt;=340,$J$90&lt;=3250)),1,0)*VLOOKUP($E$58,Paraméterek!$K$1:$L$4,2,0)*IF($O$90="Kizárás",1,1+$O$90),IF($E$61="Forint",0,2)))</f>
        <v>1538</v>
      </c>
      <c r="AE90" s="60">
        <f ca="1">IF(OR(ISBLANK($E$52),AE$69&gt;$E$55),"",ROUND(VLOOKUP(AE$68,'MM-MC Tarifák'!$A$3:$AQ$67,HLOOKUP($E90,'MM-MC Tarifák'!$B$1:$AQ$2,2,0),0)/1000*$J$90*IF(OR(AND($E$61="Forint",$J$90&gt;=100000,$J$90&lt;=1000000),AND($E$61="Euró",$J$90&gt;=340,$J$90&lt;=3250)),1,0)*VLOOKUP($E$58,Paraméterek!$K$1:$L$4,2,0)*IF($O$90="Kizárás",1,1+$O$90),IF($E$61="Forint",0,2)))</f>
        <v>1538</v>
      </c>
      <c r="AF90" s="60">
        <f ca="1">IF(OR(ISBLANK($E$52),AF$69&gt;$E$55),"",ROUND(VLOOKUP(AF$68,'MM-MC Tarifák'!$A$3:$AQ$67,HLOOKUP($E90,'MM-MC Tarifák'!$B$1:$AQ$2,2,0),0)/1000*$J$90*IF(OR(AND($E$61="Forint",$J$90&gt;=100000,$J$90&lt;=1000000),AND($E$61="Euró",$J$90&gt;=340,$J$90&lt;=3250)),1,0)*VLOOKUP($E$58,Paraméterek!$K$1:$L$4,2,0)*IF($O$90="Kizárás",1,1+$O$90),IF($E$61="Forint",0,2)))</f>
        <v>1538</v>
      </c>
      <c r="AG90" s="60">
        <f ca="1">IF(OR(ISBLANK($E$52),AG$69&gt;$E$55),"",ROUND(VLOOKUP(AG$68,'MM-MC Tarifák'!$A$3:$AQ$67,HLOOKUP($E90,'MM-MC Tarifák'!$B$1:$AQ$2,2,0),0)/1000*$J$90*IF(OR(AND($E$61="Forint",$J$90&gt;=100000,$J$90&lt;=1000000),AND($E$61="Euró",$J$90&gt;=340,$J$90&lt;=3250)),1,0)*VLOOKUP($E$58,Paraméterek!$K$1:$L$4,2,0)*IF($O$90="Kizárás",1,1+$O$90),IF($E$61="Forint",0,2)))</f>
        <v>1538</v>
      </c>
      <c r="AH90" s="60">
        <f ca="1">IF(OR(ISBLANK($E$52),AH$69&gt;$E$55),"",ROUND(VLOOKUP(AH$68,'MM-MC Tarifák'!$A$3:$AQ$67,HLOOKUP($E90,'MM-MC Tarifák'!$B$1:$AQ$2,2,0),0)/1000*$J$90*IF(OR(AND($E$61="Forint",$J$90&gt;=100000,$J$90&lt;=1000000),AND($E$61="Euró",$J$90&gt;=340,$J$90&lt;=3250)),1,0)*VLOOKUP($E$58,Paraméterek!$K$1:$L$4,2,0)*IF($O$90="Kizárás",1,1+$O$90),IF($E$61="Forint",0,2)))</f>
        <v>1538</v>
      </c>
      <c r="AI90" s="60">
        <f ca="1">IF(OR(ISBLANK($E$52),AI$69&gt;$E$55),"",ROUND(VLOOKUP(AI$68,'MM-MC Tarifák'!$A$3:$AQ$67,HLOOKUP($E90,'MM-MC Tarifák'!$B$1:$AQ$2,2,0),0)/1000*$J$90*IF(OR(AND($E$61="Forint",$J$90&gt;=100000,$J$90&lt;=1000000),AND($E$61="Euró",$J$90&gt;=340,$J$90&lt;=3250)),1,0)*VLOOKUP($E$58,Paraméterek!$K$1:$L$4,2,0)*IF($O$90="Kizárás",1,1+$O$90),IF($E$61="Forint",0,2)))</f>
        <v>1538</v>
      </c>
      <c r="AJ90" s="60">
        <f ca="1">IF(OR(ISBLANK($E$52),AJ$69&gt;$E$55),"",ROUND(VLOOKUP(AJ$68,'MM-MC Tarifák'!$A$3:$AQ$67,HLOOKUP($E90,'MM-MC Tarifák'!$B$1:$AQ$2,2,0),0)/1000*$J$90*IF(OR(AND($E$61="Forint",$J$90&gt;=100000,$J$90&lt;=1000000),AND($E$61="Euró",$J$90&gt;=340,$J$90&lt;=3250)),1,0)*VLOOKUP($E$58,Paraméterek!$K$1:$L$4,2,0)*IF($O$90="Kizárás",1,1+$O$90),IF($E$61="Forint",0,2)))</f>
        <v>1538</v>
      </c>
      <c r="AK90" s="60">
        <f ca="1">IF(OR(ISBLANK($E$52),AK$69&gt;$E$55),"",ROUND(VLOOKUP(AK$68,'MM-MC Tarifák'!$A$3:$AQ$67,HLOOKUP($E90,'MM-MC Tarifák'!$B$1:$AQ$2,2,0),0)/1000*$J$90*IF(OR(AND($E$61="Forint",$J$90&gt;=100000,$J$90&lt;=1000000),AND($E$61="Euró",$J$90&gt;=340,$J$90&lt;=3250)),1,0)*VLOOKUP($E$58,Paraméterek!$K$1:$L$4,2,0)*IF($O$90="Kizárás",1,1+$O$90),IF($E$61="Forint",0,2)))</f>
        <v>1538</v>
      </c>
      <c r="AL90" s="60">
        <f ca="1">IF(OR(ISBLANK($E$52),AL$69&gt;$E$55),"",ROUND(VLOOKUP(AL$68,'MM-MC Tarifák'!$A$3:$AQ$67,HLOOKUP($E90,'MM-MC Tarifák'!$B$1:$AQ$2,2,0),0)/1000*$J$90*IF(OR(AND($E$61="Forint",$J$90&gt;=100000,$J$90&lt;=1000000),AND($E$61="Euró",$J$90&gt;=340,$J$90&lt;=3250)),1,0)*VLOOKUP($E$58,Paraméterek!$K$1:$L$4,2,0)*IF($O$90="Kizárás",1,1+$O$90),IF($E$61="Forint",0,2)))</f>
        <v>1538</v>
      </c>
      <c r="AM90" s="60">
        <f ca="1">IF(OR(ISBLANK($E$52),AM$69&gt;$E$55),"",ROUND(VLOOKUP(AM$68,'MM-MC Tarifák'!$A$3:$AQ$67,HLOOKUP($E90,'MM-MC Tarifák'!$B$1:$AQ$2,2,0),0)/1000*$J$90*IF(OR(AND($E$61="Forint",$J$90&gt;=100000,$J$90&lt;=1000000),AND($E$61="Euró",$J$90&gt;=340,$J$90&lt;=3250)),1,0)*VLOOKUP($E$58,Paraméterek!$K$1:$L$4,2,0)*IF($O$90="Kizárás",1,1+$O$90),IF($E$61="Forint",0,2)))</f>
        <v>1538</v>
      </c>
      <c r="AN90" s="60">
        <f ca="1">IF(OR(ISBLANK($E$52),AN$69&gt;$E$55),"",ROUND(VLOOKUP(AN$68,'MM-MC Tarifák'!$A$3:$AQ$67,HLOOKUP($E90,'MM-MC Tarifák'!$B$1:$AQ$2,2,0),0)/1000*$J$90*IF(OR(AND($E$61="Forint",$J$90&gt;=100000,$J$90&lt;=1000000),AND($E$61="Euró",$J$90&gt;=340,$J$90&lt;=3250)),1,0)*VLOOKUP($E$58,Paraméterek!$K$1:$L$4,2,0)*IF($O$90="Kizárás",1,1+$O$90),IF($E$61="Forint",0,2)))</f>
        <v>1538</v>
      </c>
      <c r="AO90" s="60">
        <f ca="1">IF(OR(ISBLANK($E$52),AO$69&gt;$E$55),"",ROUND(VLOOKUP(AO$68,'MM-MC Tarifák'!$A$3:$AQ$67,HLOOKUP($E90,'MM-MC Tarifák'!$B$1:$AQ$2,2,0),0)/1000*$J$90*IF(OR(AND($E$61="Forint",$J$90&gt;=100000,$J$90&lt;=1000000),AND($E$61="Euró",$J$90&gt;=340,$J$90&lt;=3250)),1,0)*VLOOKUP($E$58,Paraméterek!$K$1:$L$4,2,0)*IF($O$90="Kizárás",1,1+$O$90),IF($E$61="Forint",0,2)))</f>
        <v>1538</v>
      </c>
      <c r="AP90" s="60">
        <f ca="1">IF(OR(ISBLANK($E$52),AP$69&gt;$E$55),"",ROUND(VLOOKUP(AP$68,'MM-MC Tarifák'!$A$3:$AQ$67,HLOOKUP($E90,'MM-MC Tarifák'!$B$1:$AQ$2,2,0),0)/1000*$J$90*IF(OR(AND($E$61="Forint",$J$90&gt;=100000,$J$90&lt;=1000000),AND($E$61="Euró",$J$90&gt;=340,$J$90&lt;=3250)),1,0)*VLOOKUP($E$58,Paraméterek!$K$1:$L$4,2,0)*IF($O$90="Kizárás",1,1+$O$90),IF($E$61="Forint",0,2)))</f>
        <v>1538</v>
      </c>
    </row>
    <row r="91" spans="1:42" hidden="1" x14ac:dyDescent="0.25">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5">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5">
      <c r="A93" s="12" t="s">
        <v>406</v>
      </c>
      <c r="B93" s="202" t="s">
        <v>22</v>
      </c>
      <c r="C93" s="202"/>
      <c r="D93" s="202"/>
      <c r="E93" s="138" t="s">
        <v>79</v>
      </c>
      <c r="F93" s="139"/>
      <c r="G93" s="139"/>
      <c r="H93" s="139"/>
      <c r="I93" s="139"/>
      <c r="J93" s="139"/>
      <c r="K93" s="140"/>
      <c r="L93" s="185">
        <f>IF($G$5="MetMax",MetMax!$J$79,IF($G$5="MetCare",MetCare!$J$83,Nelson!$N$50))</f>
        <v>0</v>
      </c>
      <c r="M93" s="185"/>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5">
      <c r="A94" s="12" t="s">
        <v>406</v>
      </c>
      <c r="B94" s="202"/>
      <c r="C94" s="202"/>
      <c r="D94" s="202"/>
      <c r="E94" s="138" t="s">
        <v>23</v>
      </c>
      <c r="F94" s="139"/>
      <c r="G94" s="139"/>
      <c r="H94" s="139"/>
      <c r="I94" s="139"/>
      <c r="J94" s="139"/>
      <c r="K94" s="140"/>
      <c r="L94" s="185">
        <f>IF($G$5="MetMax",MetMax!$J$80,IF($G$5="MetCare",MetCare!$J$84,Nelson!$N$51))</f>
        <v>0</v>
      </c>
      <c r="M94" s="185"/>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5">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5">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5">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5">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5">
      <c r="A99" s="12" t="s">
        <v>406</v>
      </c>
      <c r="Q99" s="59">
        <f ca="1">MIN($Q$70:$Q$94)</f>
        <v>52</v>
      </c>
      <c r="R99" s="60">
        <f ca="1">IF(SUMIF($L$70:$M$94,"Ezt kérem!",R$70:R$94)-SUMIF($N$70:$N$94,"!",R$70:R$94)&lt;IF($E$61="Forint",VLOOKUP($E$58,Paraméterek!$K$1:$Q$4,4,0),IF($E$59="Postai",SUMIF($L$70:$M$94,"Ezt kérem!",R$70:R$94)-SUMIF($N$70:$N$94,"!",R$70:R$94)+1,VLOOKUP($E$58,Paraméterek!$K$1:$Q$4,7,0))),0,SUMIF($L$70:$M$94,"Ezt kérem!",R$70:R$94)-SUMIF($N$70:$N$94,"!",R$70:R$94))</f>
        <v>6378</v>
      </c>
      <c r="S99" s="60">
        <f ca="1">IF(SUMIF($L$70:$M$94,"Ezt kérem!",S$70:S$94)-SUMIF($N$70:$N$94,"!",S$70:S$94)&lt;IF($E$61="Forint",VLOOKUP($E$58,Paraméterek!$K$1:$Q$4,4,0),IF($E$59="Postai",SUMIF($L$70:$M$94,"Ezt kérem!",S$70:S$94)-SUMIF($N$70:$N$94,"!",S$70:S$94)+1,VLOOKUP($E$58,Paraméterek!$K$1:$Q$4,7,0))),0,SUMIF($L$70:$M$94,"Ezt kérem!",S$70:S$94)-SUMIF($N$70:$N$94,"!",S$70:S$94))</f>
        <v>6559</v>
      </c>
      <c r="T99" s="60">
        <f ca="1">IF(SUMIF($L$70:$M$94,"Ezt kérem!",T$70:T$94)-SUMIF($N$70:$N$94,"!",T$70:T$94)&lt;IF($E$61="Forint",VLOOKUP($E$58,Paraméterek!$K$1:$Q$4,4,0),IF($E$59="Postai",SUMIF($L$70:$M$94,"Ezt kérem!",T$70:T$94)-SUMIF($N$70:$N$94,"!",T$70:T$94)+1,VLOOKUP($E$58,Paraméterek!$K$1:$Q$4,7,0))),0,SUMIF($L$70:$M$94,"Ezt kérem!",T$70:T$94)-SUMIF($N$70:$N$94,"!",T$70:T$94))</f>
        <v>6768</v>
      </c>
      <c r="U99" s="60">
        <f ca="1">IF(SUMIF($L$70:$M$94,"Ezt kérem!",U$70:U$94)-SUMIF($N$70:$N$94,"!",U$70:U$94)&lt;IF($E$61="Forint",VLOOKUP($E$58,Paraméterek!$K$1:$Q$4,4,0),IF($E$59="Postai",SUMIF($L$70:$M$94,"Ezt kérem!",U$70:U$94)-SUMIF($N$70:$N$94,"!",U$70:U$94)+1,VLOOKUP($E$58,Paraméterek!$K$1:$Q$4,7,0))),0,SUMIF($L$70:$M$94,"Ezt kérem!",U$70:U$94)-SUMIF($N$70:$N$94,"!",U$70:U$94))</f>
        <v>7195</v>
      </c>
      <c r="V99" s="60">
        <f ca="1">IF(SUMIF($L$70:$M$94,"Ezt kérem!",V$70:V$94)-SUMIF($N$70:$N$94,"!",V$70:V$94)&lt;IF($E$61="Forint",VLOOKUP($E$58,Paraméterek!$K$1:$Q$4,4,0),IF($E$59="Postai",SUMIF($L$70:$M$94,"Ezt kérem!",V$70:V$94)-SUMIF($N$70:$N$94,"!",V$70:V$94)+1,VLOOKUP($E$58,Paraméterek!$K$1:$Q$4,7,0))),0,SUMIF($L$70:$M$94,"Ezt kérem!",V$70:V$94)-SUMIF($N$70:$N$94,"!",V$70:V$94))</f>
        <v>7617</v>
      </c>
      <c r="W99" s="60">
        <f ca="1">IF(SUMIF($L$70:$M$94,"Ezt kérem!",W$70:W$94)-SUMIF($N$70:$N$94,"!",W$70:W$94)&lt;IF($E$61="Forint",VLOOKUP($E$58,Paraméterek!$K$1:$Q$4,4,0),IF($E$59="Postai",SUMIF($L$70:$M$94,"Ezt kérem!",W$70:W$94)-SUMIF($N$70:$N$94,"!",W$70:W$94)+1,VLOOKUP($E$58,Paraméterek!$K$1:$Q$4,7,0))),0,SUMIF($L$70:$M$94,"Ezt kérem!",W$70:W$94)-SUMIF($N$70:$N$94,"!",W$70:W$94))</f>
        <v>8045</v>
      </c>
      <c r="X99" s="60">
        <f ca="1">IF(SUMIF($L$70:$M$94,"Ezt kérem!",X$70:X$94)-SUMIF($N$70:$N$94,"!",X$70:X$94)&lt;IF($E$61="Forint",VLOOKUP($E$58,Paraméterek!$K$1:$Q$4,4,0),IF($E$59="Postai",SUMIF($L$70:$M$94,"Ezt kérem!",X$70:X$94)-SUMIF($N$70:$N$94,"!",X$70:X$94)+1,VLOOKUP($E$58,Paraméterek!$K$1:$Q$4,7,0))),0,SUMIF($L$70:$M$94,"Ezt kérem!",X$70:X$94)-SUMIF($N$70:$N$94,"!",X$70:X$94))</f>
        <v>8476</v>
      </c>
      <c r="Y99" s="60">
        <f ca="1">IF(SUMIF($L$70:$M$94,"Ezt kérem!",Y$70:Y$94)-SUMIF($N$70:$N$94,"!",Y$70:Y$94)&lt;IF($E$61="Forint",VLOOKUP($E$58,Paraméterek!$K$1:$Q$4,4,0),IF($E$59="Postai",SUMIF($L$70:$M$94,"Ezt kérem!",Y$70:Y$94)-SUMIF($N$70:$N$94,"!",Y$70:Y$94)+1,VLOOKUP($E$58,Paraméterek!$K$1:$Q$4,7,0))),0,SUMIF($L$70:$M$94,"Ezt kérem!",Y$70:Y$94)-SUMIF($N$70:$N$94,"!",Y$70:Y$94))</f>
        <v>8990</v>
      </c>
      <c r="Z99" s="60">
        <f ca="1">IF(SUMIF($L$70:$M$94,"Ezt kérem!",Z$70:Z$94)-SUMIF($N$70:$N$94,"!",Z$70:Z$94)&lt;IF($E$61="Forint",VLOOKUP($E$58,Paraméterek!$K$1:$Q$4,4,0),IF($E$59="Postai",SUMIF($L$70:$M$94,"Ezt kérem!",Z$70:Z$94)-SUMIF($N$70:$N$94,"!",Z$70:Z$94)+1,VLOOKUP($E$58,Paraméterek!$K$1:$Q$4,7,0))),0,SUMIF($L$70:$M$94,"Ezt kérem!",Z$70:Z$94)-SUMIF($N$70:$N$94,"!",Z$70:Z$94))</f>
        <v>9888</v>
      </c>
      <c r="AA99" s="60">
        <f ca="1">IF(SUMIF($L$70:$M$94,"Ezt kérem!",AA$70:AA$94)-SUMIF($N$70:$N$94,"!",AA$70:AA$94)&lt;IF($E$61="Forint",VLOOKUP($E$58,Paraméterek!$K$1:$Q$4,4,0),IF($E$59="Postai",SUMIF($L$70:$M$94,"Ezt kérem!",AA$70:AA$94)-SUMIF($N$70:$N$94,"!",AA$70:AA$94)+1,VLOOKUP($E$58,Paraméterek!$K$1:$Q$4,7,0))),0,SUMIF($L$70:$M$94,"Ezt kérem!",AA$70:AA$94)-SUMIF($N$70:$N$94,"!",AA$70:AA$94))</f>
        <v>10786</v>
      </c>
      <c r="AB99" s="60">
        <f ca="1">IF(SUMIF($L$70:$M$94,"Ezt kérem!",AB$70:AB$94)-SUMIF($N$70:$N$94,"!",AB$70:AB$94)&lt;IF($E$61="Forint",VLOOKUP($E$58,Paraméterek!$K$1:$Q$4,4,0),IF($E$59="Postai",SUMIF($L$70:$M$94,"Ezt kérem!",AB$70:AB$94)-SUMIF($N$70:$N$94,"!",AB$70:AB$94)+1,VLOOKUP($E$58,Paraméterek!$K$1:$Q$4,7,0))),0,SUMIF($L$70:$M$94,"Ezt kérem!",AB$70:AB$94)-SUMIF($N$70:$N$94,"!",AB$70:AB$94))</f>
        <v>11707</v>
      </c>
      <c r="AC99" s="60">
        <f ca="1">IF(SUMIF($L$70:$M$94,"Ezt kérem!",AC$70:AC$94)-SUMIF($N$70:$N$94,"!",AC$70:AC$94)&lt;IF($E$61="Forint",VLOOKUP($E$58,Paraméterek!$K$1:$Q$4,4,0),IF($E$59="Postai",SUMIF($L$70:$M$94,"Ezt kérem!",AC$70:AC$94)-SUMIF($N$70:$N$94,"!",AC$70:AC$94)+1,VLOOKUP($E$58,Paraméterek!$K$1:$Q$4,7,0))),0,SUMIF($L$70:$M$94,"Ezt kérem!",AC$70:AC$94)-SUMIF($N$70:$N$94,"!",AC$70:AC$94))</f>
        <v>12631</v>
      </c>
      <c r="AD99" s="60">
        <f ca="1">IF(SUMIF($L$70:$M$94,"Ezt kérem!",AD$70:AD$94)-SUMIF($N$70:$N$94,"!",AD$70:AD$94)&lt;IF($E$61="Forint",VLOOKUP($E$58,Paraméterek!$K$1:$Q$4,4,0),IF($E$59="Postai",SUMIF($L$70:$M$94,"Ezt kérem!",AD$70:AD$94)-SUMIF($N$70:$N$94,"!",AD$70:AD$94)+1,VLOOKUP($E$58,Paraméterek!$K$1:$Q$4,7,0))),0,SUMIF($L$70:$M$94,"Ezt kérem!",AD$70:AD$94)-SUMIF($N$70:$N$94,"!",AD$70:AD$94))</f>
        <v>13776</v>
      </c>
      <c r="AE99" s="60">
        <f ca="1">IF(SUMIF($L$70:$M$94,"Ezt kérem!",AE$70:AE$94)-SUMIF($N$70:$N$94,"!",AE$70:AE$94)&lt;IF($E$61="Forint",VLOOKUP($E$58,Paraméterek!$K$1:$Q$4,4,0),IF($E$59="Postai",SUMIF($L$70:$M$94,"Ezt kérem!",AE$70:AE$94)-SUMIF($N$70:$N$94,"!",AE$70:AE$94)+1,VLOOKUP($E$58,Paraméterek!$K$1:$Q$4,7,0))),0,SUMIF($L$70:$M$94,"Ezt kérem!",AE$70:AE$94)-SUMIF($N$70:$N$94,"!",AE$70:AE$94))</f>
        <v>15315</v>
      </c>
      <c r="AF99" s="60">
        <f ca="1">IF(SUMIF($L$70:$M$94,"Ezt kérem!",AF$70:AF$94)-SUMIF($N$70:$N$94,"!",AF$70:AF$94)&lt;IF($E$61="Forint",VLOOKUP($E$58,Paraméterek!$K$1:$Q$4,4,0),IF($E$59="Postai",SUMIF($L$70:$M$94,"Ezt kérem!",AF$70:AF$94)-SUMIF($N$70:$N$94,"!",AF$70:AF$94)+1,VLOOKUP($E$58,Paraméterek!$K$1:$Q$4,7,0))),0,SUMIF($L$70:$M$94,"Ezt kérem!",AF$70:AF$94)-SUMIF($N$70:$N$94,"!",AF$70:AF$94))</f>
        <v>16869</v>
      </c>
      <c r="AG99" s="60">
        <f ca="1">IF(SUMIF($L$70:$M$94,"Ezt kérem!",AG$70:AG$94)-SUMIF($N$70:$N$94,"!",AG$70:AG$94)&lt;IF($E$61="Forint",VLOOKUP($E$58,Paraméterek!$K$1:$Q$4,4,0),IF($E$59="Postai",SUMIF($L$70:$M$94,"Ezt kérem!",AG$70:AG$94)-SUMIF($N$70:$N$94,"!",AG$70:AG$94)+1,VLOOKUP($E$58,Paraméterek!$K$1:$Q$4,7,0))),0,SUMIF($L$70:$M$94,"Ezt kérem!",AG$70:AG$94)-SUMIF($N$70:$N$94,"!",AG$70:AG$94))</f>
        <v>18455</v>
      </c>
      <c r="AH99" s="60">
        <f ca="1">IF(SUMIF($L$70:$M$94,"Ezt kérem!",AH$70:AH$94)-SUMIF($N$70:$N$94,"!",AH$70:AH$94)&lt;IF($E$61="Forint",VLOOKUP($E$58,Paraméterek!$K$1:$Q$4,4,0),IF($E$59="Postai",SUMIF($L$70:$M$94,"Ezt kérem!",AH$70:AH$94)-SUMIF($N$70:$N$94,"!",AH$70:AH$94)+1,VLOOKUP($E$58,Paraméterek!$K$1:$Q$4,7,0))),0,SUMIF($L$70:$M$94,"Ezt kérem!",AH$70:AH$94)-SUMIF($N$70:$N$94,"!",AH$70:AH$94))</f>
        <v>20051</v>
      </c>
      <c r="AI99" s="60">
        <f ca="1">IF(SUMIF($L$70:$M$94,"Ezt kérem!",AI$70:AI$94)-SUMIF($N$70:$N$94,"!",AI$70:AI$94)&lt;IF($E$61="Forint",VLOOKUP($E$58,Paraméterek!$K$1:$Q$4,4,0),IF($E$59="Postai",SUMIF($L$70:$M$94,"Ezt kérem!",AI$70:AI$94)-SUMIF($N$70:$N$94,"!",AI$70:AI$94)+1,VLOOKUP($E$58,Paraméterek!$K$1:$Q$4,7,0))),0,SUMIF($L$70:$M$94,"Ezt kérem!",AI$70:AI$94)-SUMIF($N$70:$N$94,"!",AI$70:AI$94))</f>
        <v>22037</v>
      </c>
      <c r="AJ99" s="60">
        <f ca="1">IF(SUMIF($L$70:$M$94,"Ezt kérem!",AJ$70:AJ$94)-SUMIF($N$70:$N$94,"!",AJ$70:AJ$94)&lt;IF($E$61="Forint",VLOOKUP($E$58,Paraméterek!$K$1:$Q$4,4,0),IF($E$59="Postai",SUMIF($L$70:$M$94,"Ezt kérem!",AJ$70:AJ$94)-SUMIF($N$70:$N$94,"!",AJ$70:AJ$94)+1,VLOOKUP($E$58,Paraméterek!$K$1:$Q$4,7,0))),0,SUMIF($L$70:$M$94,"Ezt kérem!",AJ$70:AJ$94)-SUMIF($N$70:$N$94,"!",AJ$70:AJ$94))</f>
        <v>24118</v>
      </c>
      <c r="AK99" s="60">
        <f ca="1">IF(SUMIF($L$70:$M$94,"Ezt kérem!",AK$70:AK$94)-SUMIF($N$70:$N$94,"!",AK$70:AK$94)&lt;IF($E$61="Forint",VLOOKUP($E$58,Paraméterek!$K$1:$Q$4,4,0),IF($E$59="Postai",SUMIF($L$70:$M$94,"Ezt kérem!",AK$70:AK$94)-SUMIF($N$70:$N$94,"!",AK$70:AK$94)+1,VLOOKUP($E$58,Paraméterek!$K$1:$Q$4,7,0))),0,SUMIF($L$70:$M$94,"Ezt kérem!",AK$70:AK$94)-SUMIF($N$70:$N$94,"!",AK$70:AK$94))</f>
        <v>26226</v>
      </c>
      <c r="AL99" s="60">
        <f ca="1">IF(SUMIF($L$70:$M$94,"Ezt kérem!",AL$70:AL$94)-SUMIF($N$70:$N$94,"!",AL$70:AL$94)&lt;IF($E$61="Forint",VLOOKUP($E$58,Paraméterek!$K$1:$Q$4,4,0),IF($E$59="Postai",SUMIF($L$70:$M$94,"Ezt kérem!",AL$70:AL$94)-SUMIF($N$70:$N$94,"!",AL$70:AL$94)+1,VLOOKUP($E$58,Paraméterek!$K$1:$Q$4,7,0))),0,SUMIF($L$70:$M$94,"Ezt kérem!",AL$70:AL$94)-SUMIF($N$70:$N$94,"!",AL$70:AL$94))</f>
        <v>28352</v>
      </c>
      <c r="AM99" s="60">
        <f ca="1">IF(SUMIF($L$70:$M$94,"Ezt kérem!",AM$70:AM$94)-SUMIF($N$70:$N$94,"!",AM$70:AM$94)&lt;IF($E$61="Forint",VLOOKUP($E$58,Paraméterek!$K$1:$Q$4,4,0),IF($E$59="Postai",SUMIF($L$70:$M$94,"Ezt kérem!",AM$70:AM$94)-SUMIF($N$70:$N$94,"!",AM$70:AM$94)+1,VLOOKUP($E$58,Paraméterek!$K$1:$Q$4,7,0))),0,SUMIF($L$70:$M$94,"Ezt kérem!",AM$70:AM$94)-SUMIF($N$70:$N$94,"!",AM$70:AM$94))</f>
        <v>30491</v>
      </c>
      <c r="AN99" s="60">
        <f ca="1">IF(SUMIF($L$70:$M$94,"Ezt kérem!",AN$70:AN$94)-SUMIF($N$70:$N$94,"!",AN$70:AN$94)&lt;IF($E$61="Forint",VLOOKUP($E$58,Paraméterek!$K$1:$Q$4,4,0),IF($E$59="Postai",SUMIF($L$70:$M$94,"Ezt kérem!",AN$70:AN$94)-SUMIF($N$70:$N$94,"!",AN$70:AN$94)+1,VLOOKUP($E$58,Paraméterek!$K$1:$Q$4,7,0))),0,SUMIF($L$70:$M$94,"Ezt kérem!",AN$70:AN$94)-SUMIF($N$70:$N$94,"!",AN$70:AN$94))</f>
        <v>33706</v>
      </c>
      <c r="AO99" s="60">
        <f ca="1">IF(SUMIF($L$70:$M$94,"Ezt kérem!",AO$70:AO$94)-SUMIF($N$70:$N$94,"!",AO$70:AO$94)&lt;IF($E$61="Forint",VLOOKUP($E$58,Paraméterek!$K$1:$Q$4,4,0),IF($E$59="Postai",SUMIF($L$70:$M$94,"Ezt kérem!",AO$70:AO$94)-SUMIF($N$70:$N$94,"!",AO$70:AO$94)+1,VLOOKUP($E$58,Paraméterek!$K$1:$Q$4,7,0))),0,SUMIF($L$70:$M$94,"Ezt kérem!",AO$70:AO$94)-SUMIF($N$70:$N$94,"!",AO$70:AO$94))</f>
        <v>36240</v>
      </c>
      <c r="AP99" s="60">
        <f ca="1">IF(SUMIF($L$70:$M$94,"Ezt kérem!",AP$70:AP$94)-SUMIF($N$70:$N$94,"!",AP$70:AP$94)&lt;IF($E$61="Forint",VLOOKUP($E$58,Paraméterek!$K$1:$Q$4,4,0),IF($E$59="Postai",SUMIF($L$70:$M$94,"Ezt kérem!",AP$70:AP$94)-SUMIF($N$70:$N$94,"!",AP$70:AP$94)+1,VLOOKUP($E$58,Paraméterek!$K$1:$Q$4,7,0))),0,SUMIF($L$70:$M$94,"Ezt kérem!",AP$70:AP$94)-SUMIF($N$70:$N$94,"!",AP$70:AP$94))</f>
        <v>38785</v>
      </c>
    </row>
    <row r="100" spans="1:42" hidden="1" x14ac:dyDescent="0.25">
      <c r="A100" s="12" t="s">
        <v>406</v>
      </c>
      <c r="P100" s="74"/>
      <c r="Q100" s="74"/>
      <c r="R100" s="57"/>
    </row>
    <row r="101" spans="1:42" hidden="1" x14ac:dyDescent="0.25">
      <c r="A101" s="12" t="s">
        <v>406</v>
      </c>
    </row>
    <row r="102" spans="1:42" hidden="1" x14ac:dyDescent="0.25">
      <c r="A102" s="12" t="s">
        <v>406</v>
      </c>
      <c r="P102" s="74"/>
      <c r="Q102" s="74"/>
      <c r="R102" s="57"/>
    </row>
    <row r="103" spans="1:42" hidden="1" x14ac:dyDescent="0.25">
      <c r="A103" s="12" t="s">
        <v>406</v>
      </c>
      <c r="S103" s="75"/>
    </row>
    <row r="104" spans="1:42" hidden="1" x14ac:dyDescent="0.25">
      <c r="A104" s="12" t="s">
        <v>406</v>
      </c>
      <c r="N104" s="74"/>
      <c r="O104" s="74"/>
      <c r="R104" s="62">
        <f ca="1">IF(OR(ISBLANK($E$52),ISBLANK($E$55)),"",ROUND($J$70/'TR Tarifák'!$B$1*(INDEX('TR Tarifák'!$C$3:$W$80,$E$53-18+1,$E$55-5+1)+IF($O$70="Ezrelékes",100,0)),0))</f>
        <v>15825</v>
      </c>
      <c r="S104" s="62">
        <f ca="1">$R$104</f>
        <v>15825</v>
      </c>
      <c r="T104" s="62">
        <f t="shared" ref="T104:AP104" ca="1" si="6">$R$104</f>
        <v>15825</v>
      </c>
      <c r="U104" s="62">
        <f t="shared" ca="1" si="6"/>
        <v>15825</v>
      </c>
      <c r="V104" s="62">
        <f t="shared" ca="1" si="6"/>
        <v>15825</v>
      </c>
      <c r="W104" s="62">
        <f t="shared" ca="1" si="6"/>
        <v>15825</v>
      </c>
      <c r="X104" s="62">
        <f t="shared" ca="1" si="6"/>
        <v>15825</v>
      </c>
      <c r="Y104" s="62">
        <f t="shared" ca="1" si="6"/>
        <v>15825</v>
      </c>
      <c r="Z104" s="62">
        <f t="shared" ca="1" si="6"/>
        <v>15825</v>
      </c>
      <c r="AA104" s="62">
        <f t="shared" ca="1" si="6"/>
        <v>15825</v>
      </c>
      <c r="AB104" s="62">
        <f t="shared" ca="1" si="6"/>
        <v>15825</v>
      </c>
      <c r="AC104" s="62">
        <f t="shared" ca="1" si="6"/>
        <v>15825</v>
      </c>
      <c r="AD104" s="62">
        <f t="shared" ca="1" si="6"/>
        <v>15825</v>
      </c>
      <c r="AE104" s="62">
        <f t="shared" ca="1" si="6"/>
        <v>15825</v>
      </c>
      <c r="AF104" s="62">
        <f t="shared" ca="1" si="6"/>
        <v>15825</v>
      </c>
      <c r="AG104" s="62">
        <f t="shared" ca="1" si="6"/>
        <v>15825</v>
      </c>
      <c r="AH104" s="62">
        <f t="shared" ca="1" si="6"/>
        <v>15825</v>
      </c>
      <c r="AI104" s="62">
        <f t="shared" ca="1" si="6"/>
        <v>15825</v>
      </c>
      <c r="AJ104" s="62">
        <f t="shared" ca="1" si="6"/>
        <v>15825</v>
      </c>
      <c r="AK104" s="62">
        <f t="shared" ca="1" si="6"/>
        <v>15825</v>
      </c>
      <c r="AL104" s="62">
        <f t="shared" ca="1" si="6"/>
        <v>15825</v>
      </c>
      <c r="AM104" s="62">
        <f t="shared" ca="1" si="6"/>
        <v>15825</v>
      </c>
      <c r="AN104" s="62">
        <f t="shared" ca="1" si="6"/>
        <v>15825</v>
      </c>
      <c r="AO104" s="62">
        <f t="shared" ca="1" si="6"/>
        <v>15825</v>
      </c>
      <c r="AP104" s="62">
        <f t="shared" ca="1" si="6"/>
        <v>15825</v>
      </c>
    </row>
    <row r="105" spans="1:42" hidden="1" x14ac:dyDescent="0.25">
      <c r="A105" s="12" t="s">
        <v>406</v>
      </c>
      <c r="R105" s="62">
        <f ca="1">IF(OR(ISBLANK($E$52),ISBLANK($E$55),$E$53&gt;64),"",ROUND($J$71/HLOOKUP($E$71,'TR Tarifák'!$C$153:$N$155,3,0)*IF(AND($E$61="Forint",$J$71&gt;=500000,$J$71&lt;=100000000),1,0)*VLOOKUP($E$53,'TR Tarifák'!$B$156:$N$255,HLOOKUP($E$71,'TR Tarifák'!$C$153:$N$155,2,0),0)*IF($O$71="Kizárás",1,1+$O$71),0))</f>
        <v>10200</v>
      </c>
      <c r="S105" s="62">
        <f t="shared" ref="S105:AP105" ca="1" si="7">IF(S$68&gt;64,0,$R$105)</f>
        <v>10200</v>
      </c>
      <c r="T105" s="62">
        <f t="shared" ca="1" si="7"/>
        <v>10200</v>
      </c>
      <c r="U105" s="62">
        <f t="shared" ca="1" si="7"/>
        <v>10200</v>
      </c>
      <c r="V105" s="62">
        <f t="shared" ca="1" si="7"/>
        <v>10200</v>
      </c>
      <c r="W105" s="62">
        <f t="shared" ca="1" si="7"/>
        <v>10200</v>
      </c>
      <c r="X105" s="62">
        <f t="shared" ca="1" si="7"/>
        <v>10200</v>
      </c>
      <c r="Y105" s="62">
        <f t="shared" ca="1" si="7"/>
        <v>10200</v>
      </c>
      <c r="Z105" s="62">
        <f t="shared" ca="1" si="7"/>
        <v>10200</v>
      </c>
      <c r="AA105" s="62">
        <f t="shared" ca="1" si="7"/>
        <v>10200</v>
      </c>
      <c r="AB105" s="62">
        <f t="shared" ca="1" si="7"/>
        <v>10200</v>
      </c>
      <c r="AC105" s="62">
        <f t="shared" ca="1" si="7"/>
        <v>10200</v>
      </c>
      <c r="AD105" s="62">
        <f t="shared" ca="1" si="7"/>
        <v>10200</v>
      </c>
      <c r="AE105" s="62">
        <f t="shared" ca="1" si="7"/>
        <v>10200</v>
      </c>
      <c r="AF105" s="62">
        <f t="shared" ca="1" si="7"/>
        <v>10200</v>
      </c>
      <c r="AG105" s="62">
        <f t="shared" ca="1" si="7"/>
        <v>10200</v>
      </c>
      <c r="AH105" s="62">
        <f t="shared" ca="1" si="7"/>
        <v>10200</v>
      </c>
      <c r="AI105" s="62">
        <f t="shared" ca="1" si="7"/>
        <v>10200</v>
      </c>
      <c r="AJ105" s="62">
        <f t="shared" ca="1" si="7"/>
        <v>10200</v>
      </c>
      <c r="AK105" s="62">
        <f t="shared" ca="1" si="7"/>
        <v>10200</v>
      </c>
      <c r="AL105" s="62">
        <f t="shared" ca="1" si="7"/>
        <v>10200</v>
      </c>
      <c r="AM105" s="62">
        <f t="shared" ca="1" si="7"/>
        <v>10200</v>
      </c>
      <c r="AN105" s="62">
        <f t="shared" ca="1" si="7"/>
        <v>10200</v>
      </c>
      <c r="AO105" s="62">
        <f t="shared" ca="1" si="7"/>
        <v>10200</v>
      </c>
      <c r="AP105" s="62">
        <f t="shared" ca="1" si="7"/>
        <v>10200</v>
      </c>
    </row>
    <row r="106" spans="1:42" hidden="1" x14ac:dyDescent="0.25">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5">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5">
      <c r="A108" s="12" t="s">
        <v>406</v>
      </c>
      <c r="R108" s="62">
        <f ca="1">IF(OR(ISBLANK($E$52),ISBLANK($E$55),$E$53&gt;64),"",ROUND($J$74/HLOOKUP($E$74,'TR Tarifák'!$C$153:$N$155,3,0)*VLOOKUP($E$53,'TR Tarifák'!$B$156:$N$255,HLOOKUP($E$74,'TR Tarifák'!$C$153:$N$155,2,0),0)*IF($O$74="Kizárás",1,1+$O$74),0))</f>
        <v>23000</v>
      </c>
      <c r="S108" s="62">
        <f t="shared" ref="S108:AP108" ca="1" si="8">IF(S$68&gt;64,0,$R$108)</f>
        <v>23000</v>
      </c>
      <c r="T108" s="62">
        <f t="shared" ca="1" si="8"/>
        <v>23000</v>
      </c>
      <c r="U108" s="62">
        <f t="shared" ca="1" si="8"/>
        <v>23000</v>
      </c>
      <c r="V108" s="62">
        <f t="shared" ca="1" si="8"/>
        <v>23000</v>
      </c>
      <c r="W108" s="62">
        <f t="shared" ca="1" si="8"/>
        <v>23000</v>
      </c>
      <c r="X108" s="62">
        <f t="shared" ca="1" si="8"/>
        <v>23000</v>
      </c>
      <c r="Y108" s="62">
        <f t="shared" ca="1" si="8"/>
        <v>23000</v>
      </c>
      <c r="Z108" s="62">
        <f t="shared" ca="1" si="8"/>
        <v>23000</v>
      </c>
      <c r="AA108" s="62">
        <f t="shared" ca="1" si="8"/>
        <v>23000</v>
      </c>
      <c r="AB108" s="62">
        <f t="shared" ca="1" si="8"/>
        <v>23000</v>
      </c>
      <c r="AC108" s="62">
        <f t="shared" ca="1" si="8"/>
        <v>23000</v>
      </c>
      <c r="AD108" s="62">
        <f t="shared" ca="1" si="8"/>
        <v>23000</v>
      </c>
      <c r="AE108" s="62">
        <f t="shared" ca="1" si="8"/>
        <v>23000</v>
      </c>
      <c r="AF108" s="62">
        <f t="shared" ca="1" si="8"/>
        <v>23000</v>
      </c>
      <c r="AG108" s="62">
        <f t="shared" ca="1" si="8"/>
        <v>23000</v>
      </c>
      <c r="AH108" s="62">
        <f t="shared" ca="1" si="8"/>
        <v>23000</v>
      </c>
      <c r="AI108" s="62">
        <f t="shared" ca="1" si="8"/>
        <v>23000</v>
      </c>
      <c r="AJ108" s="62">
        <f t="shared" ca="1" si="8"/>
        <v>23000</v>
      </c>
      <c r="AK108" s="62">
        <f t="shared" ca="1" si="8"/>
        <v>23000</v>
      </c>
      <c r="AL108" s="62">
        <f t="shared" ca="1" si="8"/>
        <v>23000</v>
      </c>
      <c r="AM108" s="62">
        <f t="shared" ca="1" si="8"/>
        <v>23000</v>
      </c>
      <c r="AN108" s="62">
        <f t="shared" ca="1" si="8"/>
        <v>23000</v>
      </c>
      <c r="AO108" s="62">
        <f t="shared" ca="1" si="8"/>
        <v>23000</v>
      </c>
      <c r="AP108" s="62">
        <f t="shared" ca="1" si="8"/>
        <v>23000</v>
      </c>
    </row>
    <row r="109" spans="1:42" hidden="1" x14ac:dyDescent="0.25">
      <c r="A109" s="12" t="s">
        <v>406</v>
      </c>
      <c r="R109" s="62">
        <f ca="1">IF(OR(ISBLANK($E$52),ISBLANK($E$55),$E$53&gt;64),"",ROUND($J$74/HLOOKUP($E$75,'TR Tarifák'!$C$153:$N$155,3,0)*VLOOKUP($E$53,'TR Tarifák'!$B$156:$N$255,HLOOKUP($E$75,'TR Tarifák'!$C$153:$N$155,2,0),0)*IF($O$75="Kizárás",1,1+$O$75),0))</f>
        <v>32000</v>
      </c>
      <c r="S109" s="62">
        <f t="shared" ref="S109:AP109" ca="1" si="9">IF(S$68&gt;64,0,$R$109)</f>
        <v>32000</v>
      </c>
      <c r="T109" s="62">
        <f t="shared" ca="1" si="9"/>
        <v>32000</v>
      </c>
      <c r="U109" s="62">
        <f t="shared" ca="1" si="9"/>
        <v>32000</v>
      </c>
      <c r="V109" s="62">
        <f t="shared" ca="1" si="9"/>
        <v>32000</v>
      </c>
      <c r="W109" s="62">
        <f t="shared" ca="1" si="9"/>
        <v>32000</v>
      </c>
      <c r="X109" s="62">
        <f t="shared" ca="1" si="9"/>
        <v>32000</v>
      </c>
      <c r="Y109" s="62">
        <f t="shared" ca="1" si="9"/>
        <v>32000</v>
      </c>
      <c r="Z109" s="62">
        <f t="shared" ca="1" si="9"/>
        <v>32000</v>
      </c>
      <c r="AA109" s="62">
        <f t="shared" ca="1" si="9"/>
        <v>32000</v>
      </c>
      <c r="AB109" s="62">
        <f t="shared" ca="1" si="9"/>
        <v>32000</v>
      </c>
      <c r="AC109" s="62">
        <f t="shared" ca="1" si="9"/>
        <v>32000</v>
      </c>
      <c r="AD109" s="62">
        <f t="shared" ca="1" si="9"/>
        <v>32000</v>
      </c>
      <c r="AE109" s="62">
        <f t="shared" ca="1" si="9"/>
        <v>32000</v>
      </c>
      <c r="AF109" s="62">
        <f t="shared" ca="1" si="9"/>
        <v>32000</v>
      </c>
      <c r="AG109" s="62">
        <f t="shared" ca="1" si="9"/>
        <v>32000</v>
      </c>
      <c r="AH109" s="62">
        <f t="shared" ca="1" si="9"/>
        <v>32000</v>
      </c>
      <c r="AI109" s="62">
        <f t="shared" ca="1" si="9"/>
        <v>32000</v>
      </c>
      <c r="AJ109" s="62">
        <f t="shared" ca="1" si="9"/>
        <v>32000</v>
      </c>
      <c r="AK109" s="62">
        <f t="shared" ca="1" si="9"/>
        <v>32000</v>
      </c>
      <c r="AL109" s="62">
        <f t="shared" ca="1" si="9"/>
        <v>32000</v>
      </c>
      <c r="AM109" s="62">
        <f t="shared" ca="1" si="9"/>
        <v>32000</v>
      </c>
      <c r="AN109" s="62">
        <f t="shared" ca="1" si="9"/>
        <v>32000</v>
      </c>
      <c r="AO109" s="62">
        <f t="shared" ca="1" si="9"/>
        <v>32000</v>
      </c>
      <c r="AP109" s="62">
        <f t="shared" ca="1" si="9"/>
        <v>32000</v>
      </c>
    </row>
    <row r="110" spans="1:42" hidden="1" x14ac:dyDescent="0.25">
      <c r="A110" s="12" t="s">
        <v>406</v>
      </c>
      <c r="R110" s="62">
        <f ca="1">IF(OR(ISBLANK($E$52),ISBLANK($E$55),$E$53&gt;64),"",ROUND($J$74/HLOOKUP($E$76,'TR Tarifák'!$C$153:$N$155,3,0)*VLOOKUP($E$53,'TR Tarifák'!$B$156:$N$255,HLOOKUP($E$76,'TR Tarifák'!$C$153:$N$155,2,0),0)*IF($O$76="Kizárás",1,1+$O$76),0))</f>
        <v>39000</v>
      </c>
      <c r="S110" s="62">
        <f t="shared" ref="S110:AP110" ca="1" si="10">IF(S$68&gt;64,0,$R$110)</f>
        <v>39000</v>
      </c>
      <c r="T110" s="62">
        <f t="shared" ca="1" si="10"/>
        <v>39000</v>
      </c>
      <c r="U110" s="62">
        <f t="shared" ca="1" si="10"/>
        <v>39000</v>
      </c>
      <c r="V110" s="62">
        <f t="shared" ca="1" si="10"/>
        <v>39000</v>
      </c>
      <c r="W110" s="62">
        <f t="shared" ca="1" si="10"/>
        <v>39000</v>
      </c>
      <c r="X110" s="62">
        <f t="shared" ca="1" si="10"/>
        <v>39000</v>
      </c>
      <c r="Y110" s="62">
        <f t="shared" ca="1" si="10"/>
        <v>39000</v>
      </c>
      <c r="Z110" s="62">
        <f t="shared" ca="1" si="10"/>
        <v>39000</v>
      </c>
      <c r="AA110" s="62">
        <f t="shared" ca="1" si="10"/>
        <v>39000</v>
      </c>
      <c r="AB110" s="62">
        <f t="shared" ca="1" si="10"/>
        <v>39000</v>
      </c>
      <c r="AC110" s="62">
        <f t="shared" ca="1" si="10"/>
        <v>39000</v>
      </c>
      <c r="AD110" s="62">
        <f t="shared" ca="1" si="10"/>
        <v>39000</v>
      </c>
      <c r="AE110" s="62">
        <f t="shared" ca="1" si="10"/>
        <v>39000</v>
      </c>
      <c r="AF110" s="62">
        <f t="shared" ca="1" si="10"/>
        <v>39000</v>
      </c>
      <c r="AG110" s="62">
        <f t="shared" ca="1" si="10"/>
        <v>39000</v>
      </c>
      <c r="AH110" s="62">
        <f t="shared" ca="1" si="10"/>
        <v>39000</v>
      </c>
      <c r="AI110" s="62">
        <f t="shared" ca="1" si="10"/>
        <v>39000</v>
      </c>
      <c r="AJ110" s="62">
        <f t="shared" ca="1" si="10"/>
        <v>39000</v>
      </c>
      <c r="AK110" s="62">
        <f t="shared" ca="1" si="10"/>
        <v>39000</v>
      </c>
      <c r="AL110" s="62">
        <f t="shared" ca="1" si="10"/>
        <v>39000</v>
      </c>
      <c r="AM110" s="62">
        <f t="shared" ca="1" si="10"/>
        <v>39000</v>
      </c>
      <c r="AN110" s="62">
        <f t="shared" ca="1" si="10"/>
        <v>39000</v>
      </c>
      <c r="AO110" s="62">
        <f t="shared" ca="1" si="10"/>
        <v>39000</v>
      </c>
      <c r="AP110" s="62">
        <f t="shared" ca="1" si="10"/>
        <v>39000</v>
      </c>
    </row>
    <row r="111" spans="1:42" hidden="1" x14ac:dyDescent="0.25">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5">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5">
      <c r="A113" s="12" t="s">
        <v>406</v>
      </c>
      <c r="R113" s="62">
        <f ca="1">IF(OR(ISBLANK($E$52),ISBLANK($E$55),$E$53&gt;64),"",ROUND($J$79/HLOOKUP($E$79,'TR Tarifák'!$C$153:$N$155,3,0)*VLOOKUP($E$53,'TR Tarifák'!$B$156:$N$255,HLOOKUP($E$79,'TR Tarifák'!$C$153:$N$155,2,0),0)*IF($O$79="Kizárás",1,1+$O$79),0))</f>
        <v>19000</v>
      </c>
      <c r="S113" s="62">
        <f t="shared" ref="S113:AP113" ca="1" si="11">IF(S$68&gt;64,0,$R$113)</f>
        <v>19000</v>
      </c>
      <c r="T113" s="62">
        <f t="shared" ca="1" si="11"/>
        <v>19000</v>
      </c>
      <c r="U113" s="62">
        <f t="shared" ca="1" si="11"/>
        <v>19000</v>
      </c>
      <c r="V113" s="62">
        <f t="shared" ca="1" si="11"/>
        <v>19000</v>
      </c>
      <c r="W113" s="62">
        <f t="shared" ca="1" si="11"/>
        <v>19000</v>
      </c>
      <c r="X113" s="62">
        <f t="shared" ca="1" si="11"/>
        <v>19000</v>
      </c>
      <c r="Y113" s="62">
        <f t="shared" ca="1" si="11"/>
        <v>19000</v>
      </c>
      <c r="Z113" s="62">
        <f t="shared" ca="1" si="11"/>
        <v>19000</v>
      </c>
      <c r="AA113" s="62">
        <f t="shared" ca="1" si="11"/>
        <v>19000</v>
      </c>
      <c r="AB113" s="62">
        <f t="shared" ca="1" si="11"/>
        <v>19000</v>
      </c>
      <c r="AC113" s="62">
        <f t="shared" ca="1" si="11"/>
        <v>19000</v>
      </c>
      <c r="AD113" s="62">
        <f t="shared" ca="1" si="11"/>
        <v>19000</v>
      </c>
      <c r="AE113" s="62">
        <f t="shared" ca="1" si="11"/>
        <v>19000</v>
      </c>
      <c r="AF113" s="62">
        <f t="shared" ca="1" si="11"/>
        <v>19000</v>
      </c>
      <c r="AG113" s="62">
        <f t="shared" ca="1" si="11"/>
        <v>19000</v>
      </c>
      <c r="AH113" s="62">
        <f t="shared" ca="1" si="11"/>
        <v>19000</v>
      </c>
      <c r="AI113" s="62">
        <f t="shared" ca="1" si="11"/>
        <v>19000</v>
      </c>
      <c r="AJ113" s="62">
        <f t="shared" ca="1" si="11"/>
        <v>19000</v>
      </c>
      <c r="AK113" s="62">
        <f t="shared" ca="1" si="11"/>
        <v>19000</v>
      </c>
      <c r="AL113" s="62">
        <f t="shared" ca="1" si="11"/>
        <v>19000</v>
      </c>
      <c r="AM113" s="62">
        <f t="shared" ca="1" si="11"/>
        <v>19000</v>
      </c>
      <c r="AN113" s="62">
        <f t="shared" ca="1" si="11"/>
        <v>19000</v>
      </c>
      <c r="AO113" s="62">
        <f t="shared" ca="1" si="11"/>
        <v>19000</v>
      </c>
      <c r="AP113" s="62">
        <f t="shared" ca="1" si="11"/>
        <v>19000</v>
      </c>
    </row>
    <row r="114" spans="1:42" hidden="1" x14ac:dyDescent="0.25">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5">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5">
      <c r="A116" s="12" t="s">
        <v>406</v>
      </c>
      <c r="R116" s="62">
        <f ca="1">IF(OR(ISBLANK($E$52),ISBLANK($E$55),$E$53&gt;59),"",ROUND($J$82/HLOOKUP($E$82,'TR Tarifák'!$C$153:$N$155,3,0)*VLOOKUP($E$53,'TR Tarifák'!$B$156:$N$255,HLOOKUP($E$82,'TR Tarifák'!$C$153:$N$155,2,0),0)*IF($O$82="Kizárás",1,1+$O$82),0))</f>
        <v>30500</v>
      </c>
      <c r="S116" s="62">
        <f ca="1">IF(S$68&gt;59,0,$R$116)</f>
        <v>30500</v>
      </c>
      <c r="T116" s="62">
        <f t="shared" ref="T116:AP116" ca="1" si="12">IF(T$68&gt;59,0,$R$116)</f>
        <v>30500</v>
      </c>
      <c r="U116" s="62">
        <f t="shared" ca="1" si="12"/>
        <v>30500</v>
      </c>
      <c r="V116" s="62">
        <f t="shared" ca="1" si="12"/>
        <v>30500</v>
      </c>
      <c r="W116" s="62">
        <f t="shared" ca="1" si="12"/>
        <v>30500</v>
      </c>
      <c r="X116" s="62">
        <f t="shared" ca="1" si="12"/>
        <v>30500</v>
      </c>
      <c r="Y116" s="62">
        <f t="shared" ca="1" si="12"/>
        <v>30500</v>
      </c>
      <c r="Z116" s="62">
        <f t="shared" ca="1" si="12"/>
        <v>30500</v>
      </c>
      <c r="AA116" s="62">
        <f t="shared" ca="1" si="12"/>
        <v>30500</v>
      </c>
      <c r="AB116" s="62">
        <f t="shared" ca="1" si="12"/>
        <v>30500</v>
      </c>
      <c r="AC116" s="62">
        <f t="shared" ca="1" si="12"/>
        <v>30500</v>
      </c>
      <c r="AD116" s="62">
        <f t="shared" ca="1" si="12"/>
        <v>30500</v>
      </c>
      <c r="AE116" s="62">
        <f t="shared" ca="1" si="12"/>
        <v>30500</v>
      </c>
      <c r="AF116" s="62">
        <f t="shared" ca="1" si="12"/>
        <v>30500</v>
      </c>
      <c r="AG116" s="62">
        <f t="shared" ca="1" si="12"/>
        <v>30500</v>
      </c>
      <c r="AH116" s="62">
        <f t="shared" ca="1" si="12"/>
        <v>30500</v>
      </c>
      <c r="AI116" s="62">
        <f t="shared" ca="1" si="12"/>
        <v>30500</v>
      </c>
      <c r="AJ116" s="62">
        <f t="shared" ca="1" si="12"/>
        <v>30500</v>
      </c>
      <c r="AK116" s="62">
        <f t="shared" ca="1" si="12"/>
        <v>30500</v>
      </c>
      <c r="AL116" s="62">
        <f t="shared" ca="1" si="12"/>
        <v>30500</v>
      </c>
      <c r="AM116" s="62">
        <f t="shared" ca="1" si="12"/>
        <v>30500</v>
      </c>
      <c r="AN116" s="62">
        <f t="shared" ca="1" si="12"/>
        <v>30500</v>
      </c>
      <c r="AO116" s="62">
        <f t="shared" ca="1" si="12"/>
        <v>30500</v>
      </c>
      <c r="AP116" s="62">
        <f t="shared" ca="1" si="12"/>
        <v>30500</v>
      </c>
    </row>
    <row r="117" spans="1:42" hidden="1" x14ac:dyDescent="0.25">
      <c r="A117" s="12" t="s">
        <v>406</v>
      </c>
      <c r="R117" s="62">
        <f ca="1">IF(OR(ISBLANK($E$52),ISBLANK($E$55),$E$53&gt;59),"",ROUND($J$83/HLOOKUP($E$83,'TR Tarifák'!$C$153:$N$155,3,0)*VLOOKUP($E$53,'TR Tarifák'!$B$156:$N$255,HLOOKUP($E$83,'TR Tarifák'!$C$153:$N$155,2,0),0)*IF($O$83="Kizárás",1,1+$O$83),0))</f>
        <v>13440</v>
      </c>
      <c r="S117" s="62">
        <f ca="1">IF(S$68&gt;59,0,$R$117)</f>
        <v>13440</v>
      </c>
      <c r="T117" s="62">
        <f t="shared" ref="T117:AP117" ca="1" si="13">IF(T$68&gt;59,0,$R$117)</f>
        <v>13440</v>
      </c>
      <c r="U117" s="62">
        <f t="shared" ca="1" si="13"/>
        <v>13440</v>
      </c>
      <c r="V117" s="62">
        <f t="shared" ca="1" si="13"/>
        <v>13440</v>
      </c>
      <c r="W117" s="62">
        <f t="shared" ca="1" si="13"/>
        <v>13440</v>
      </c>
      <c r="X117" s="62">
        <f t="shared" ca="1" si="13"/>
        <v>13440</v>
      </c>
      <c r="Y117" s="62">
        <f t="shared" ca="1" si="13"/>
        <v>13440</v>
      </c>
      <c r="Z117" s="62">
        <f t="shared" ca="1" si="13"/>
        <v>13440</v>
      </c>
      <c r="AA117" s="62">
        <f t="shared" ca="1" si="13"/>
        <v>13440</v>
      </c>
      <c r="AB117" s="62">
        <f t="shared" ca="1" si="13"/>
        <v>13440</v>
      </c>
      <c r="AC117" s="62">
        <f t="shared" ca="1" si="13"/>
        <v>13440</v>
      </c>
      <c r="AD117" s="62">
        <f t="shared" ca="1" si="13"/>
        <v>13440</v>
      </c>
      <c r="AE117" s="62">
        <f t="shared" ca="1" si="13"/>
        <v>13440</v>
      </c>
      <c r="AF117" s="62">
        <f t="shared" ca="1" si="13"/>
        <v>13440</v>
      </c>
      <c r="AG117" s="62">
        <f t="shared" ca="1" si="13"/>
        <v>13440</v>
      </c>
      <c r="AH117" s="62">
        <f t="shared" ca="1" si="13"/>
        <v>13440</v>
      </c>
      <c r="AI117" s="62">
        <f t="shared" ca="1" si="13"/>
        <v>13440</v>
      </c>
      <c r="AJ117" s="62">
        <f t="shared" ca="1" si="13"/>
        <v>13440</v>
      </c>
      <c r="AK117" s="62">
        <f t="shared" ca="1" si="13"/>
        <v>13440</v>
      </c>
      <c r="AL117" s="62">
        <f t="shared" ca="1" si="13"/>
        <v>13440</v>
      </c>
      <c r="AM117" s="62">
        <f t="shared" ca="1" si="13"/>
        <v>13440</v>
      </c>
      <c r="AN117" s="62">
        <f t="shared" ca="1" si="13"/>
        <v>13440</v>
      </c>
      <c r="AO117" s="62">
        <f t="shared" ca="1" si="13"/>
        <v>13440</v>
      </c>
      <c r="AP117" s="62">
        <f t="shared" ca="1" si="13"/>
        <v>13440</v>
      </c>
    </row>
    <row r="118" spans="1:42" hidden="1" x14ac:dyDescent="0.25">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5">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5">
      <c r="A120" s="12" t="s">
        <v>406</v>
      </c>
      <c r="R120" s="62">
        <f ca="1">IF(OR(ISBLANK($E$52),ISBLANK($E$55),$E$53&gt;59),"",ROUND($J$86/HLOOKUP($E$86,'TR Tarifák'!$C$153:$N$155,3,0)*VLOOKUP($E$53,'TR Tarifák'!$B$156:$N$255,HLOOKUP($E$86,'TR Tarifák'!$C$153:$N$155,2,0),0)*IF($O$86="Kizárás",1,1+$O$86),0))</f>
        <v>12240</v>
      </c>
      <c r="S120" s="62">
        <f ca="1">IF(S$68&gt;59,0,$R$120)</f>
        <v>12240</v>
      </c>
      <c r="T120" s="62">
        <f t="shared" ref="T120:AP120" ca="1" si="14">IF(T$68&gt;59,0,$R$120)</f>
        <v>12240</v>
      </c>
      <c r="U120" s="62">
        <f t="shared" ca="1" si="14"/>
        <v>12240</v>
      </c>
      <c r="V120" s="62">
        <f t="shared" ca="1" si="14"/>
        <v>12240</v>
      </c>
      <c r="W120" s="62">
        <f t="shared" ca="1" si="14"/>
        <v>12240</v>
      </c>
      <c r="X120" s="62">
        <f t="shared" ca="1" si="14"/>
        <v>12240</v>
      </c>
      <c r="Y120" s="62">
        <f t="shared" ca="1" si="14"/>
        <v>12240</v>
      </c>
      <c r="Z120" s="62">
        <f t="shared" ca="1" si="14"/>
        <v>12240</v>
      </c>
      <c r="AA120" s="62">
        <f t="shared" ca="1" si="14"/>
        <v>12240</v>
      </c>
      <c r="AB120" s="62">
        <f t="shared" ca="1" si="14"/>
        <v>12240</v>
      </c>
      <c r="AC120" s="62">
        <f t="shared" ca="1" si="14"/>
        <v>12240</v>
      </c>
      <c r="AD120" s="62">
        <f t="shared" ca="1" si="14"/>
        <v>12240</v>
      </c>
      <c r="AE120" s="62">
        <f t="shared" ca="1" si="14"/>
        <v>12240</v>
      </c>
      <c r="AF120" s="62">
        <f t="shared" ca="1" si="14"/>
        <v>12240</v>
      </c>
      <c r="AG120" s="62">
        <f t="shared" ca="1" si="14"/>
        <v>12240</v>
      </c>
      <c r="AH120" s="62">
        <f t="shared" ca="1" si="14"/>
        <v>12240</v>
      </c>
      <c r="AI120" s="62">
        <f t="shared" ca="1" si="14"/>
        <v>12240</v>
      </c>
      <c r="AJ120" s="62">
        <f t="shared" ca="1" si="14"/>
        <v>12240</v>
      </c>
      <c r="AK120" s="62">
        <f t="shared" ca="1" si="14"/>
        <v>12240</v>
      </c>
      <c r="AL120" s="62">
        <f t="shared" ca="1" si="14"/>
        <v>12240</v>
      </c>
      <c r="AM120" s="62">
        <f t="shared" ca="1" si="14"/>
        <v>12240</v>
      </c>
      <c r="AN120" s="62">
        <f t="shared" ca="1" si="14"/>
        <v>12240</v>
      </c>
      <c r="AO120" s="62">
        <f t="shared" ca="1" si="14"/>
        <v>12240</v>
      </c>
      <c r="AP120" s="62">
        <f t="shared" ca="1" si="14"/>
        <v>12240</v>
      </c>
    </row>
    <row r="121" spans="1:42" hidden="1" x14ac:dyDescent="0.25">
      <c r="A121" s="12" t="s">
        <v>406</v>
      </c>
      <c r="R121" s="62">
        <f ca="1">IF(OR(ISBLANK($E$52),ISBLANK($E$55),$E$53&gt;59),"",ROUND($J$87/HLOOKUP($E$87,'TR Tarifák'!$C$153:$N$155,3,0)*VLOOKUP($E$53,'TR Tarifák'!$B$156:$N$255,HLOOKUP($E$87,'TR Tarifák'!$C$153:$N$155,2,0),0)*IF($O$87="Kizárás",1,1+$O$87),0))</f>
        <v>7456</v>
      </c>
      <c r="S121" s="62">
        <f ca="1">IF(S$68&gt;59,0,$R$121)</f>
        <v>7456</v>
      </c>
      <c r="T121" s="62">
        <f t="shared" ref="T121:AP121" ca="1" si="15">IF(T$68&gt;59,0,$R$121)</f>
        <v>7456</v>
      </c>
      <c r="U121" s="62">
        <f t="shared" ca="1" si="15"/>
        <v>7456</v>
      </c>
      <c r="V121" s="62">
        <f t="shared" ca="1" si="15"/>
        <v>7456</v>
      </c>
      <c r="W121" s="62">
        <f t="shared" ca="1" si="15"/>
        <v>7456</v>
      </c>
      <c r="X121" s="62">
        <f t="shared" ca="1" si="15"/>
        <v>7456</v>
      </c>
      <c r="Y121" s="62">
        <f t="shared" ca="1" si="15"/>
        <v>7456</v>
      </c>
      <c r="Z121" s="62">
        <f t="shared" ca="1" si="15"/>
        <v>7456</v>
      </c>
      <c r="AA121" s="62">
        <f t="shared" ca="1" si="15"/>
        <v>7456</v>
      </c>
      <c r="AB121" s="62">
        <f t="shared" ca="1" si="15"/>
        <v>7456</v>
      </c>
      <c r="AC121" s="62">
        <f t="shared" ca="1" si="15"/>
        <v>7456</v>
      </c>
      <c r="AD121" s="62">
        <f t="shared" ca="1" si="15"/>
        <v>7456</v>
      </c>
      <c r="AE121" s="62">
        <f t="shared" ca="1" si="15"/>
        <v>7456</v>
      </c>
      <c r="AF121" s="62">
        <f t="shared" ca="1" si="15"/>
        <v>7456</v>
      </c>
      <c r="AG121" s="62">
        <f t="shared" ca="1" si="15"/>
        <v>7456</v>
      </c>
      <c r="AH121" s="62">
        <f t="shared" ca="1" si="15"/>
        <v>7456</v>
      </c>
      <c r="AI121" s="62">
        <f t="shared" ca="1" si="15"/>
        <v>7456</v>
      </c>
      <c r="AJ121" s="62">
        <f t="shared" ca="1" si="15"/>
        <v>7456</v>
      </c>
      <c r="AK121" s="62">
        <f t="shared" ca="1" si="15"/>
        <v>7456</v>
      </c>
      <c r="AL121" s="62">
        <f t="shared" ca="1" si="15"/>
        <v>7456</v>
      </c>
      <c r="AM121" s="62">
        <f t="shared" ca="1" si="15"/>
        <v>7456</v>
      </c>
      <c r="AN121" s="62">
        <f t="shared" ca="1" si="15"/>
        <v>7456</v>
      </c>
      <c r="AO121" s="62">
        <f t="shared" ca="1" si="15"/>
        <v>7456</v>
      </c>
      <c r="AP121" s="62">
        <f t="shared" ca="1" si="15"/>
        <v>7456</v>
      </c>
    </row>
    <row r="122" spans="1:42" hidden="1" x14ac:dyDescent="0.25">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5">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5">
      <c r="A124" s="12" t="s">
        <v>406</v>
      </c>
      <c r="R124" s="62">
        <f ca="1">IF(OR(ISBLANK($E$52),ISBLANK($E$55),$E$53&gt;64),"",ROUND($J$90/HLOOKUP($E$90,'TR Tarifák'!$C$153:$N$155,3,0)*VLOOKUP($E$53,'TR Tarifák'!$B$156:$N$255,HLOOKUP($E$90,'TR Tarifák'!$C$153:$N$155,2,0),0)*IF($O$90="Kizárás",1,1+$O$90),0))</f>
        <v>28800</v>
      </c>
      <c r="S124" s="62">
        <f ca="1">IF(S$68&gt;64,0,$R$124)</f>
        <v>28800</v>
      </c>
      <c r="T124" s="62">
        <f t="shared" ref="T124:AP124" ca="1" si="16">IF(T$68&gt;64,0,$R$124)</f>
        <v>28800</v>
      </c>
      <c r="U124" s="62">
        <f t="shared" ca="1" si="16"/>
        <v>28800</v>
      </c>
      <c r="V124" s="62">
        <f t="shared" ca="1" si="16"/>
        <v>28800</v>
      </c>
      <c r="W124" s="62">
        <f t="shared" ca="1" si="16"/>
        <v>28800</v>
      </c>
      <c r="X124" s="62">
        <f t="shared" ca="1" si="16"/>
        <v>28800</v>
      </c>
      <c r="Y124" s="62">
        <f t="shared" ca="1" si="16"/>
        <v>28800</v>
      </c>
      <c r="Z124" s="62">
        <f t="shared" ca="1" si="16"/>
        <v>28800</v>
      </c>
      <c r="AA124" s="62">
        <f t="shared" ca="1" si="16"/>
        <v>28800</v>
      </c>
      <c r="AB124" s="62">
        <f t="shared" ca="1" si="16"/>
        <v>28800</v>
      </c>
      <c r="AC124" s="62">
        <f t="shared" ca="1" si="16"/>
        <v>28800</v>
      </c>
      <c r="AD124" s="62">
        <f t="shared" ca="1" si="16"/>
        <v>28800</v>
      </c>
      <c r="AE124" s="62">
        <f t="shared" ca="1" si="16"/>
        <v>28800</v>
      </c>
      <c r="AF124" s="62">
        <f t="shared" ca="1" si="16"/>
        <v>28800</v>
      </c>
      <c r="AG124" s="62">
        <f t="shared" ca="1" si="16"/>
        <v>28800</v>
      </c>
      <c r="AH124" s="62">
        <f t="shared" ca="1" si="16"/>
        <v>28800</v>
      </c>
      <c r="AI124" s="62">
        <f t="shared" ca="1" si="16"/>
        <v>28800</v>
      </c>
      <c r="AJ124" s="62">
        <f t="shared" ca="1" si="16"/>
        <v>28800</v>
      </c>
      <c r="AK124" s="62">
        <f t="shared" ca="1" si="16"/>
        <v>28800</v>
      </c>
      <c r="AL124" s="62">
        <f t="shared" ca="1" si="16"/>
        <v>28800</v>
      </c>
      <c r="AM124" s="62">
        <f t="shared" ca="1" si="16"/>
        <v>28800</v>
      </c>
      <c r="AN124" s="62">
        <f t="shared" ca="1" si="16"/>
        <v>28800</v>
      </c>
      <c r="AO124" s="62">
        <f t="shared" ca="1" si="16"/>
        <v>28800</v>
      </c>
      <c r="AP124" s="62">
        <f t="shared" ca="1" si="16"/>
        <v>28800</v>
      </c>
    </row>
    <row r="125" spans="1:42" hidden="1" x14ac:dyDescent="0.25">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5">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5">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5">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5">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5">
      <c r="A130" s="12" t="s">
        <v>406</v>
      </c>
      <c r="Q130" s="61" t="s">
        <v>87</v>
      </c>
      <c r="R130" s="62">
        <f ca="1">IF(OR(ISBLANK($E$52),ISBLANK($E$55)),"",SUMIF($L$70:$M$94,"Ezt kérem!",R$104:R$128)-SUMIF($N$70:$N$94,"!",R$104:R$128))</f>
        <v>123521</v>
      </c>
      <c r="S130" s="62">
        <f ca="1">IF(OR(ISBLANK($E$52),ISBLANK($E$55)),"",SUMIF($L$70:$M$94,"Ezt kérem!",S$104:S$128)-SUMIF($N$70:$N$94,"!",S$104:S$128))</f>
        <v>123521</v>
      </c>
      <c r="T130" s="62">
        <f t="shared" ref="T130:AP130" ca="1" si="19">IF(OR(ISBLANK($E$52),ISBLANK($E$55)),"",SUMIF($L$70:$M$94,"Ezt kérem!",T$104:T$128)-SUMIF($N$70:$N$94,"!",T$104:T$128))</f>
        <v>123521</v>
      </c>
      <c r="U130" s="62">
        <f t="shared" ca="1" si="19"/>
        <v>123521</v>
      </c>
      <c r="V130" s="62">
        <f t="shared" ca="1" si="19"/>
        <v>123521</v>
      </c>
      <c r="W130" s="62">
        <f t="shared" ca="1" si="19"/>
        <v>123521</v>
      </c>
      <c r="X130" s="62">
        <f t="shared" ca="1" si="19"/>
        <v>123521</v>
      </c>
      <c r="Y130" s="62">
        <f t="shared" ca="1" si="19"/>
        <v>123521</v>
      </c>
      <c r="Z130" s="62">
        <f t="shared" ca="1" si="19"/>
        <v>123521</v>
      </c>
      <c r="AA130" s="62">
        <f t="shared" ca="1" si="19"/>
        <v>123521</v>
      </c>
      <c r="AB130" s="62">
        <f t="shared" ca="1" si="19"/>
        <v>123521</v>
      </c>
      <c r="AC130" s="62">
        <f t="shared" ca="1" si="19"/>
        <v>123521</v>
      </c>
      <c r="AD130" s="62">
        <f t="shared" ca="1" si="19"/>
        <v>123521</v>
      </c>
      <c r="AE130" s="62">
        <f t="shared" ca="1" si="19"/>
        <v>123521</v>
      </c>
      <c r="AF130" s="62">
        <f t="shared" ca="1" si="19"/>
        <v>123521</v>
      </c>
      <c r="AG130" s="62">
        <f t="shared" ca="1" si="19"/>
        <v>123521</v>
      </c>
      <c r="AH130" s="62">
        <f t="shared" ca="1" si="19"/>
        <v>123521</v>
      </c>
      <c r="AI130" s="62">
        <f t="shared" ca="1" si="19"/>
        <v>123521</v>
      </c>
      <c r="AJ130" s="62">
        <f t="shared" ca="1" si="19"/>
        <v>123521</v>
      </c>
      <c r="AK130" s="62">
        <f t="shared" ca="1" si="19"/>
        <v>123521</v>
      </c>
      <c r="AL130" s="62">
        <f t="shared" ca="1" si="19"/>
        <v>123521</v>
      </c>
      <c r="AM130" s="62">
        <f t="shared" ca="1" si="19"/>
        <v>123521</v>
      </c>
      <c r="AN130" s="62">
        <f t="shared" ca="1" si="19"/>
        <v>123521</v>
      </c>
      <c r="AO130" s="62">
        <f t="shared" ca="1" si="19"/>
        <v>123521</v>
      </c>
      <c r="AP130" s="62">
        <f t="shared" ca="1" si="19"/>
        <v>123521</v>
      </c>
    </row>
    <row r="131" spans="1:42" hidden="1" x14ac:dyDescent="0.25">
      <c r="A131" s="12" t="s">
        <v>406</v>
      </c>
      <c r="Q131" s="61" t="s">
        <v>88</v>
      </c>
      <c r="R131" s="62">
        <f ca="1">IF(OR(ISBLANK($E$52),ISBLANK($E$55)),"",IF(R$130&gt;365500,(R$130-365500)*50%+161590,IF(R$130&gt;116900,(R$130-116900)*65%,0)))</f>
        <v>4303.6500000000005</v>
      </c>
      <c r="S131" s="62">
        <f ca="1">IF(OR(ISBLANK($E$52),ISBLANK($E$55)),"",IF(S$130&gt;365500,(S$130-365500)*50%+161590,IF(S$130&gt;116900,(S$130-116900)*65%,0)))</f>
        <v>4303.6500000000005</v>
      </c>
      <c r="T131" s="62">
        <f t="shared" ref="T131:AP131" ca="1" si="20">IF(OR(ISBLANK($E$52),ISBLANK($E$55)),"",IF(T$130&gt;365500,(T$130-365500)*50%+161590,IF(T$130&gt;116900,(T$130-116900)*65%,0)))</f>
        <v>4303.6500000000005</v>
      </c>
      <c r="U131" s="62">
        <f t="shared" ca="1" si="20"/>
        <v>4303.6500000000005</v>
      </c>
      <c r="V131" s="62">
        <f t="shared" ca="1" si="20"/>
        <v>4303.6500000000005</v>
      </c>
      <c r="W131" s="62">
        <f t="shared" ca="1" si="20"/>
        <v>4303.6500000000005</v>
      </c>
      <c r="X131" s="62">
        <f t="shared" ca="1" si="20"/>
        <v>4303.6500000000005</v>
      </c>
      <c r="Y131" s="62">
        <f t="shared" ca="1" si="20"/>
        <v>4303.6500000000005</v>
      </c>
      <c r="Z131" s="62">
        <f t="shared" ca="1" si="20"/>
        <v>4303.6500000000005</v>
      </c>
      <c r="AA131" s="62">
        <f t="shared" ca="1" si="20"/>
        <v>4303.6500000000005</v>
      </c>
      <c r="AB131" s="62">
        <f t="shared" ca="1" si="20"/>
        <v>4303.6500000000005</v>
      </c>
      <c r="AC131" s="62">
        <f t="shared" ca="1" si="20"/>
        <v>4303.6500000000005</v>
      </c>
      <c r="AD131" s="62">
        <f t="shared" ca="1" si="20"/>
        <v>4303.6500000000005</v>
      </c>
      <c r="AE131" s="62">
        <f t="shared" ca="1" si="20"/>
        <v>4303.6500000000005</v>
      </c>
      <c r="AF131" s="62">
        <f t="shared" ca="1" si="20"/>
        <v>4303.6500000000005</v>
      </c>
      <c r="AG131" s="62">
        <f t="shared" ca="1" si="20"/>
        <v>4303.6500000000005</v>
      </c>
      <c r="AH131" s="62">
        <f t="shared" ca="1" si="20"/>
        <v>4303.6500000000005</v>
      </c>
      <c r="AI131" s="62">
        <f t="shared" ca="1" si="20"/>
        <v>4303.6500000000005</v>
      </c>
      <c r="AJ131" s="62">
        <f t="shared" ca="1" si="20"/>
        <v>4303.6500000000005</v>
      </c>
      <c r="AK131" s="62">
        <f t="shared" ca="1" si="20"/>
        <v>4303.6500000000005</v>
      </c>
      <c r="AL131" s="62">
        <f t="shared" ca="1" si="20"/>
        <v>4303.6500000000005</v>
      </c>
      <c r="AM131" s="62">
        <f t="shared" ca="1" si="20"/>
        <v>4303.6500000000005</v>
      </c>
      <c r="AN131" s="62">
        <f t="shared" ca="1" si="20"/>
        <v>4303.6500000000005</v>
      </c>
      <c r="AO131" s="62">
        <f t="shared" ca="1" si="20"/>
        <v>4303.6500000000005</v>
      </c>
      <c r="AP131" s="62">
        <f t="shared" ca="1" si="20"/>
        <v>4303.6500000000005</v>
      </c>
    </row>
    <row r="132" spans="1:42" hidden="1" x14ac:dyDescent="0.25">
      <c r="A132" s="12" t="s">
        <v>406</v>
      </c>
      <c r="Q132" s="61" t="s">
        <v>89</v>
      </c>
      <c r="R132" s="62">
        <f ca="1">IF(OR(ISBLANK($E$52),ISBLANK($E$55)),"",R$130-R$131)</f>
        <v>119217.35</v>
      </c>
      <c r="S132" s="62">
        <f ca="1">IF(OR(ISBLANK($E$52),ISBLANK($E$55)),"",S$130-S$131)</f>
        <v>119217.35</v>
      </c>
      <c r="T132" s="62">
        <f t="shared" ref="T132:AP132" ca="1" si="21">IF(OR(ISBLANK($E$52),ISBLANK($E$55)),"",T$130-T$131)</f>
        <v>119217.35</v>
      </c>
      <c r="U132" s="62">
        <f t="shared" ca="1" si="21"/>
        <v>119217.35</v>
      </c>
      <c r="V132" s="62">
        <f t="shared" ca="1" si="21"/>
        <v>119217.35</v>
      </c>
      <c r="W132" s="62">
        <f t="shared" ca="1" si="21"/>
        <v>119217.35</v>
      </c>
      <c r="X132" s="62">
        <f t="shared" ca="1" si="21"/>
        <v>119217.35</v>
      </c>
      <c r="Y132" s="62">
        <f t="shared" ca="1" si="21"/>
        <v>119217.35</v>
      </c>
      <c r="Z132" s="62">
        <f t="shared" ca="1" si="21"/>
        <v>119217.35</v>
      </c>
      <c r="AA132" s="62">
        <f t="shared" ca="1" si="21"/>
        <v>119217.35</v>
      </c>
      <c r="AB132" s="62">
        <f t="shared" ca="1" si="21"/>
        <v>119217.35</v>
      </c>
      <c r="AC132" s="62">
        <f t="shared" ca="1" si="21"/>
        <v>119217.35</v>
      </c>
      <c r="AD132" s="62">
        <f t="shared" ca="1" si="21"/>
        <v>119217.35</v>
      </c>
      <c r="AE132" s="62">
        <f t="shared" ca="1" si="21"/>
        <v>119217.35</v>
      </c>
      <c r="AF132" s="62">
        <f t="shared" ca="1" si="21"/>
        <v>119217.35</v>
      </c>
      <c r="AG132" s="62">
        <f t="shared" ca="1" si="21"/>
        <v>119217.35</v>
      </c>
      <c r="AH132" s="62">
        <f t="shared" ca="1" si="21"/>
        <v>119217.35</v>
      </c>
      <c r="AI132" s="62">
        <f t="shared" ca="1" si="21"/>
        <v>119217.35</v>
      </c>
      <c r="AJ132" s="62">
        <f t="shared" ca="1" si="21"/>
        <v>119217.35</v>
      </c>
      <c r="AK132" s="62">
        <f t="shared" ca="1" si="21"/>
        <v>119217.35</v>
      </c>
      <c r="AL132" s="62">
        <f t="shared" ca="1" si="21"/>
        <v>119217.35</v>
      </c>
      <c r="AM132" s="62">
        <f t="shared" ca="1" si="21"/>
        <v>119217.35</v>
      </c>
      <c r="AN132" s="62">
        <f t="shared" ca="1" si="21"/>
        <v>119217.35</v>
      </c>
      <c r="AO132" s="62">
        <f t="shared" ca="1" si="21"/>
        <v>119217.35</v>
      </c>
      <c r="AP132" s="62">
        <f t="shared" ca="1" si="21"/>
        <v>119217.35</v>
      </c>
    </row>
    <row r="133" spans="1:42" hidden="1" x14ac:dyDescent="0.25">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10189.506904500002</v>
      </c>
      <c r="S133" s="62">
        <f ca="1">IF(OR(ISBLANK($E$52),ISBLANK($E$55)),"",IF(ISBLANK($J$70),"",$R$132*VLOOKUP($E$58,Paraméterek!$K$1:$L$4,2,0)*(1-SUMIF($L$93:$M$94,"Ezt kérem!",S$127:S$128)/S$130)+SUMIF($L$93:$M$94,"Ezt kérem!",S$127:S$128)/S$130*S$132/VLOOKUP($E$58,Paraméterek!$K$1:$M$4,3,0)))</f>
        <v>10189.506904500002</v>
      </c>
      <c r="T133" s="62">
        <f ca="1">IF(OR(ISBLANK($E$52),ISBLANK($E$55)),"",IF(ISBLANK($J$70),"",$R$132*VLOOKUP($E$58,Paraméterek!$K$1:$L$4,2,0)*(1-SUMIF($L$93:$M$94,"Ezt kérem!",T$127:T$128)/T$130)+SUMIF($L$93:$M$94,"Ezt kérem!",T$127:T$128)/T$130*T$132/VLOOKUP($E$58,Paraméterek!$K$1:$M$4,3,0)))</f>
        <v>10189.506904500002</v>
      </c>
      <c r="U133" s="62">
        <f ca="1">IF(OR(ISBLANK($E$52),ISBLANK($E$55)),"",IF(ISBLANK($J$70),"",$R$132*VLOOKUP($E$58,Paraméterek!$K$1:$L$4,2,0)*(1-SUMIF($L$93:$M$94,"Ezt kérem!",U$127:U$128)/U$130)+SUMIF($L$93:$M$94,"Ezt kérem!",U$127:U$128)/U$130*U$132/VLOOKUP($E$58,Paraméterek!$K$1:$M$4,3,0)))</f>
        <v>10189.506904500002</v>
      </c>
      <c r="V133" s="62">
        <f ca="1">IF(OR(ISBLANK($E$52),ISBLANK($E$55)),"",IF(ISBLANK($J$70),"",$R$132*VLOOKUP($E$58,Paraméterek!$K$1:$L$4,2,0)*(1-SUMIF($L$93:$M$94,"Ezt kérem!",V$127:V$128)/V$130)+SUMIF($L$93:$M$94,"Ezt kérem!",V$127:V$128)/V$130*V$132/VLOOKUP($E$58,Paraméterek!$K$1:$M$4,3,0)))</f>
        <v>10189.506904500002</v>
      </c>
      <c r="W133" s="62">
        <f ca="1">IF(OR(ISBLANK($E$52),ISBLANK($E$55)),"",IF(ISBLANK($J$70),"",$R$132*VLOOKUP($E$58,Paraméterek!$K$1:$L$4,2,0)*(1-SUMIF($L$93:$M$94,"Ezt kérem!",W$127:W$128)/W$130)+SUMIF($L$93:$M$94,"Ezt kérem!",W$127:W$128)/W$130*W$132/VLOOKUP($E$58,Paraméterek!$K$1:$M$4,3,0)))</f>
        <v>10189.506904500002</v>
      </c>
      <c r="X133" s="62">
        <f ca="1">IF(OR(ISBLANK($E$52),ISBLANK($E$55)),"",IF(ISBLANK($J$70),"",$R$132*VLOOKUP($E$58,Paraméterek!$K$1:$L$4,2,0)*(1-SUMIF($L$93:$M$94,"Ezt kérem!",X$127:X$128)/X$130)+SUMIF($L$93:$M$94,"Ezt kérem!",X$127:X$128)/X$130*X$132/VLOOKUP($E$58,Paraméterek!$K$1:$M$4,3,0)))</f>
        <v>10189.506904500002</v>
      </c>
      <c r="Y133" s="62">
        <f ca="1">IF(OR(ISBLANK($E$52),ISBLANK($E$55)),"",IF(ISBLANK($J$70),"",$R$132*VLOOKUP($E$58,Paraméterek!$K$1:$L$4,2,0)*(1-SUMIF($L$93:$M$94,"Ezt kérem!",Y$127:Y$128)/Y$130)+SUMIF($L$93:$M$94,"Ezt kérem!",Y$127:Y$128)/Y$130*Y$132/VLOOKUP($E$58,Paraméterek!$K$1:$M$4,3,0)))</f>
        <v>10189.506904500002</v>
      </c>
      <c r="Z133" s="62">
        <f ca="1">IF(OR(ISBLANK($E$52),ISBLANK($E$55)),"",IF(ISBLANK($J$70),"",$R$132*VLOOKUP($E$58,Paraméterek!$K$1:$L$4,2,0)*(1-SUMIF($L$93:$M$94,"Ezt kérem!",Z$127:Z$128)/Z$130)+SUMIF($L$93:$M$94,"Ezt kérem!",Z$127:Z$128)/Z$130*Z$132/VLOOKUP($E$58,Paraméterek!$K$1:$M$4,3,0)))</f>
        <v>10189.506904500002</v>
      </c>
      <c r="AA133" s="62">
        <f ca="1">IF(OR(ISBLANK($E$52),ISBLANK($E$55)),"",IF(ISBLANK($J$70),"",$R$132*VLOOKUP($E$58,Paraméterek!$K$1:$L$4,2,0)*(1-SUMIF($L$93:$M$94,"Ezt kérem!",AA$127:AA$128)/AA$130)+SUMIF($L$93:$M$94,"Ezt kérem!",AA$127:AA$128)/AA$130*AA$132/VLOOKUP($E$58,Paraméterek!$K$1:$M$4,3,0)))</f>
        <v>10189.506904500002</v>
      </c>
      <c r="AB133" s="62">
        <f ca="1">IF(OR(ISBLANK($E$52),ISBLANK($E$55)),"",IF(ISBLANK($J$70),"",$R$132*VLOOKUP($E$58,Paraméterek!$K$1:$L$4,2,0)*(1-SUMIF($L$93:$M$94,"Ezt kérem!",AB$127:AB$128)/AB$130)+SUMIF($L$93:$M$94,"Ezt kérem!",AB$127:AB$128)/AB$130*AB$132/VLOOKUP($E$58,Paraméterek!$K$1:$M$4,3,0)))</f>
        <v>10189.506904500002</v>
      </c>
      <c r="AC133" s="62">
        <f ca="1">IF(OR(ISBLANK($E$52),ISBLANK($E$55)),"",IF(ISBLANK($J$70),"",$R$132*VLOOKUP($E$58,Paraméterek!$K$1:$L$4,2,0)*(1-SUMIF($L$93:$M$94,"Ezt kérem!",AC$127:AC$128)/AC$130)+SUMIF($L$93:$M$94,"Ezt kérem!",AC$127:AC$128)/AC$130*AC$132/VLOOKUP($E$58,Paraméterek!$K$1:$M$4,3,0)))</f>
        <v>10189.506904500002</v>
      </c>
      <c r="AD133" s="62">
        <f ca="1">IF(OR(ISBLANK($E$52),ISBLANK($E$55)),"",IF(ISBLANK($J$70),"",$R$132*VLOOKUP($E$58,Paraméterek!$K$1:$L$4,2,0)*(1-SUMIF($L$93:$M$94,"Ezt kérem!",AD$127:AD$128)/AD$130)+SUMIF($L$93:$M$94,"Ezt kérem!",AD$127:AD$128)/AD$130*AD$132/VLOOKUP($E$58,Paraméterek!$K$1:$M$4,3,0)))</f>
        <v>10189.506904500002</v>
      </c>
      <c r="AE133" s="62">
        <f ca="1">IF(OR(ISBLANK($E$52),ISBLANK($E$55)),"",IF(ISBLANK($J$70),"",$R$132*VLOOKUP($E$58,Paraméterek!$K$1:$L$4,2,0)*(1-SUMIF($L$93:$M$94,"Ezt kérem!",AE$127:AE$128)/AE$130)+SUMIF($L$93:$M$94,"Ezt kérem!",AE$127:AE$128)/AE$130*AE$132/VLOOKUP($E$58,Paraméterek!$K$1:$M$4,3,0)))</f>
        <v>10189.506904500002</v>
      </c>
      <c r="AF133" s="62">
        <f ca="1">IF(OR(ISBLANK($E$52),ISBLANK($E$55)),"",IF(ISBLANK($J$70),"",$R$132*VLOOKUP($E$58,Paraméterek!$K$1:$L$4,2,0)*(1-SUMIF($L$93:$M$94,"Ezt kérem!",AF$127:AF$128)/AF$130)+SUMIF($L$93:$M$94,"Ezt kérem!",AF$127:AF$128)/AF$130*AF$132/VLOOKUP($E$58,Paraméterek!$K$1:$M$4,3,0)))</f>
        <v>10189.506904500002</v>
      </c>
      <c r="AG133" s="62">
        <f ca="1">IF(OR(ISBLANK($E$52),ISBLANK($E$55)),"",IF(ISBLANK($J$70),"",$R$132*VLOOKUP($E$58,Paraméterek!$K$1:$L$4,2,0)*(1-SUMIF($L$93:$M$94,"Ezt kérem!",AG$127:AG$128)/AG$130)+SUMIF($L$93:$M$94,"Ezt kérem!",AG$127:AG$128)/AG$130*AG$132/VLOOKUP($E$58,Paraméterek!$K$1:$M$4,3,0)))</f>
        <v>10189.506904500002</v>
      </c>
      <c r="AH133" s="62">
        <f ca="1">IF(OR(ISBLANK($E$52),ISBLANK($E$55)),"",IF(ISBLANK($J$70),"",$R$132*VLOOKUP($E$58,Paraméterek!$K$1:$L$4,2,0)*(1-SUMIF($L$93:$M$94,"Ezt kérem!",AH$127:AH$128)/AH$130)+SUMIF($L$93:$M$94,"Ezt kérem!",AH$127:AH$128)/AH$130*AH$132/VLOOKUP($E$58,Paraméterek!$K$1:$M$4,3,0)))</f>
        <v>10189.506904500002</v>
      </c>
      <c r="AI133" s="62">
        <f ca="1">IF(OR(ISBLANK($E$52),ISBLANK($E$55)),"",IF(ISBLANK($J$70),"",$R$132*VLOOKUP($E$58,Paraméterek!$K$1:$L$4,2,0)*(1-SUMIF($L$93:$M$94,"Ezt kérem!",AI$127:AI$128)/AI$130)+SUMIF($L$93:$M$94,"Ezt kérem!",AI$127:AI$128)/AI$130*AI$132/VLOOKUP($E$58,Paraméterek!$K$1:$M$4,3,0)))</f>
        <v>10189.506904500002</v>
      </c>
      <c r="AJ133" s="62">
        <f ca="1">IF(OR(ISBLANK($E$52),ISBLANK($E$55)),"",IF(ISBLANK($J$70),"",$R$132*VLOOKUP($E$58,Paraméterek!$K$1:$L$4,2,0)*(1-SUMIF($L$93:$M$94,"Ezt kérem!",AJ$127:AJ$128)/AJ$130)+SUMIF($L$93:$M$94,"Ezt kérem!",AJ$127:AJ$128)/AJ$130*AJ$132/VLOOKUP($E$58,Paraméterek!$K$1:$M$4,3,0)))</f>
        <v>10189.506904500002</v>
      </c>
      <c r="AK133" s="62">
        <f ca="1">IF(OR(ISBLANK($E$52),ISBLANK($E$55)),"",IF(ISBLANK($J$70),"",$R$132*VLOOKUP($E$58,Paraméterek!$K$1:$L$4,2,0)*(1-SUMIF($L$93:$M$94,"Ezt kérem!",AK$127:AK$128)/AK$130)+SUMIF($L$93:$M$94,"Ezt kérem!",AK$127:AK$128)/AK$130*AK$132/VLOOKUP($E$58,Paraméterek!$K$1:$M$4,3,0)))</f>
        <v>10189.506904500002</v>
      </c>
      <c r="AL133" s="62">
        <f ca="1">IF(OR(ISBLANK($E$52),ISBLANK($E$55)),"",IF(ISBLANK($J$70),"",$R$132*VLOOKUP($E$58,Paraméterek!$K$1:$L$4,2,0)*(1-SUMIF($L$93:$M$94,"Ezt kérem!",AL$127:AL$128)/AL$130)+SUMIF($L$93:$M$94,"Ezt kérem!",AL$127:AL$128)/AL$130*AL$132/VLOOKUP($E$58,Paraméterek!$K$1:$M$4,3,0)))</f>
        <v>10189.506904500002</v>
      </c>
      <c r="AM133" s="62">
        <f ca="1">IF(OR(ISBLANK($E$52),ISBLANK($E$55)),"",IF(ISBLANK($J$70),"",$R$132*VLOOKUP($E$58,Paraméterek!$K$1:$L$4,2,0)*(1-SUMIF($L$93:$M$94,"Ezt kérem!",AM$127:AM$128)/AM$130)+SUMIF($L$93:$M$94,"Ezt kérem!",AM$127:AM$128)/AM$130*AM$132/VLOOKUP($E$58,Paraméterek!$K$1:$M$4,3,0)))</f>
        <v>10189.506904500002</v>
      </c>
      <c r="AN133" s="62">
        <f ca="1">IF(OR(ISBLANK($E$52),ISBLANK($E$55)),"",IF(ISBLANK($J$70),"",$R$132*VLOOKUP($E$58,Paraméterek!$K$1:$L$4,2,0)*(1-SUMIF($L$93:$M$94,"Ezt kérem!",AN$127:AN$128)/AN$130)+SUMIF($L$93:$M$94,"Ezt kérem!",AN$127:AN$128)/AN$130*AN$132/VLOOKUP($E$58,Paraméterek!$K$1:$M$4,3,0)))</f>
        <v>10189.506904500002</v>
      </c>
      <c r="AO133" s="62">
        <f ca="1">IF(OR(ISBLANK($E$52),ISBLANK($E$55)),"",IF(ISBLANK($J$70),"",$R$132*VLOOKUP($E$58,Paraméterek!$K$1:$L$4,2,0)*(1-SUMIF($L$93:$M$94,"Ezt kérem!",AO$127:AO$128)/AO$130)+SUMIF($L$93:$M$94,"Ezt kérem!",AO$127:AO$128)/AO$130*AO$132/VLOOKUP($E$58,Paraméterek!$K$1:$M$4,3,0)))</f>
        <v>10189.506904500002</v>
      </c>
      <c r="AP133" s="62">
        <f ca="1">IF(OR(ISBLANK($E$52),ISBLANK($E$55)),"",IF(ISBLANK($J$70),"",$R$132*VLOOKUP($E$58,Paraméterek!$K$1:$L$4,2,0)*(1-SUMIF($L$93:$M$94,"Ezt kérem!",AP$127:AP$128)/AP$130)+SUMIF($L$93:$M$94,"Ezt kérem!",AP$127:AP$128)/AP$130*AP$132/VLOOKUP($E$58,Paraméterek!$K$1:$M$4,3,0)))</f>
        <v>10189.506904500002</v>
      </c>
    </row>
    <row r="134" spans="1:42" hidden="1" x14ac:dyDescent="0.25">
      <c r="A134" s="12" t="s">
        <v>406</v>
      </c>
      <c r="S134" s="74"/>
      <c r="T134" s="74"/>
    </row>
    <row r="135" spans="1:42" hidden="1" x14ac:dyDescent="0.25">
      <c r="A135" s="12" t="s">
        <v>406</v>
      </c>
    </row>
    <row r="136" spans="1:42" x14ac:dyDescent="0.25">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3.2" x14ac:dyDescent="0.25"/>
  <cols>
    <col min="1" max="1" width="10.109375" bestFit="1" customWidth="1"/>
    <col min="2" max="2" width="11" bestFit="1" customWidth="1"/>
    <col min="3" max="3" width="10.6640625" bestFit="1" customWidth="1"/>
    <col min="4" max="4" width="21.5546875" bestFit="1" customWidth="1"/>
    <col min="5" max="5" width="28.6640625" bestFit="1" customWidth="1"/>
    <col min="6" max="7" width="29.44140625" bestFit="1" customWidth="1"/>
    <col min="8" max="8" width="22" bestFit="1" customWidth="1"/>
    <col min="9" max="9" width="28.44140625" bestFit="1" customWidth="1"/>
    <col min="10" max="12" width="29.44140625" bestFit="1" customWidth="1"/>
  </cols>
  <sheetData>
    <row r="1" spans="1:9" x14ac:dyDescent="0.25">
      <c r="A1" s="26" t="s">
        <v>90</v>
      </c>
    </row>
    <row r="4" spans="1:9" x14ac:dyDescent="0.25">
      <c r="A4" t="s">
        <v>93</v>
      </c>
      <c r="B4" t="s">
        <v>91</v>
      </c>
      <c r="C4" t="s">
        <v>92</v>
      </c>
      <c r="D4" t="s">
        <v>94</v>
      </c>
      <c r="E4" t="s">
        <v>18</v>
      </c>
    </row>
    <row r="5" spans="1:9" x14ac:dyDescent="0.25">
      <c r="A5" s="23" t="s">
        <v>425</v>
      </c>
      <c r="B5" s="23">
        <v>50000000</v>
      </c>
      <c r="C5" s="23">
        <v>170000</v>
      </c>
      <c r="D5" s="23">
        <f>IF(OR(MetMax!$J$35="Ezt kérem!",MetMax!$J$36="Ezt kérem!",MetMax!$J$37="Ezt kérem!"),MetMax!$H$35,0)</f>
        <v>0</v>
      </c>
      <c r="E5" s="23">
        <f>IF(MetMax!$J$73="Ezt kérem!",MetMax!$H$73,0)</f>
        <v>0</v>
      </c>
    </row>
    <row r="6" spans="1:9" x14ac:dyDescent="0.25">
      <c r="A6" t="str">
        <f>IF(SUM($D$5:$E$5)&lt;=IF(MetMax!$C$16="Forint",$B$5,$C$5),"OK","STOP")</f>
        <v>OK</v>
      </c>
    </row>
    <row r="8" spans="1:9" s="34" customFormat="1" x14ac:dyDescent="0.25">
      <c r="A8" s="34" t="s">
        <v>93</v>
      </c>
      <c r="B8" s="34" t="s">
        <v>91</v>
      </c>
      <c r="C8" s="34" t="s">
        <v>92</v>
      </c>
      <c r="D8" s="34" t="s">
        <v>1</v>
      </c>
      <c r="E8" s="34" t="s">
        <v>95</v>
      </c>
      <c r="F8" s="34" t="s">
        <v>96</v>
      </c>
    </row>
    <row r="9" spans="1:9" s="34" customFormat="1" x14ac:dyDescent="0.25">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5"/>
    <row r="11" spans="1:9" s="34" customFormat="1" x14ac:dyDescent="0.25"/>
    <row r="12" spans="1:9" s="34" customFormat="1" x14ac:dyDescent="0.25">
      <c r="A12" s="34" t="s">
        <v>93</v>
      </c>
      <c r="B12" s="34" t="s">
        <v>91</v>
      </c>
      <c r="C12" s="34" t="s">
        <v>92</v>
      </c>
      <c r="D12" s="34" t="s">
        <v>97</v>
      </c>
      <c r="E12" s="34" t="s">
        <v>98</v>
      </c>
      <c r="F12" s="34" t="s">
        <v>100</v>
      </c>
      <c r="G12" s="34" t="s">
        <v>99</v>
      </c>
    </row>
    <row r="13" spans="1:9" s="34" customFormat="1" x14ac:dyDescent="0.25">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5"/>
    <row r="15" spans="1:9" s="34" customFormat="1" x14ac:dyDescent="0.25"/>
    <row r="16" spans="1:9" s="34" customFormat="1" x14ac:dyDescent="0.25">
      <c r="A16" s="34" t="s">
        <v>93</v>
      </c>
      <c r="B16" s="34" t="s">
        <v>91</v>
      </c>
      <c r="C16" s="34" t="s">
        <v>92</v>
      </c>
      <c r="D16" s="34" t="s">
        <v>101</v>
      </c>
      <c r="E16" s="34" t="s">
        <v>102</v>
      </c>
      <c r="F16" s="34" t="s">
        <v>103</v>
      </c>
      <c r="G16" s="34" t="s">
        <v>104</v>
      </c>
      <c r="H16" s="34" t="s">
        <v>105</v>
      </c>
      <c r="I16" s="34" t="s">
        <v>106</v>
      </c>
    </row>
    <row r="17" spans="1:9" s="34" customFormat="1" x14ac:dyDescent="0.25">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6" x14ac:dyDescent="0.3">
      <c r="A18" s="25"/>
    </row>
    <row r="19" spans="1:9" s="34" customFormat="1" x14ac:dyDescent="0.25"/>
    <row r="20" spans="1:9" s="34" customFormat="1" x14ac:dyDescent="0.25">
      <c r="A20" s="34" t="s">
        <v>93</v>
      </c>
      <c r="B20" s="34" t="s">
        <v>91</v>
      </c>
      <c r="C20" s="34" t="s">
        <v>92</v>
      </c>
      <c r="D20" s="34" t="s">
        <v>98</v>
      </c>
      <c r="E20" s="34" t="s">
        <v>100</v>
      </c>
      <c r="F20" s="34" t="s">
        <v>99</v>
      </c>
    </row>
    <row r="21" spans="1:9" s="34" customFormat="1" x14ac:dyDescent="0.25">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5"/>
    <row r="23" spans="1:9" s="34" customFormat="1" x14ac:dyDescent="0.25"/>
    <row r="24" spans="1:9" s="34" customFormat="1" x14ac:dyDescent="0.25">
      <c r="A24" s="34" t="s">
        <v>93</v>
      </c>
      <c r="B24" s="34" t="s">
        <v>91</v>
      </c>
      <c r="C24" s="34" t="s">
        <v>92</v>
      </c>
      <c r="D24" s="34" t="s">
        <v>0</v>
      </c>
      <c r="E24" s="34" t="s">
        <v>2</v>
      </c>
    </row>
    <row r="25" spans="1:9" s="34" customFormat="1" x14ac:dyDescent="0.25">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5"/>
    <row r="27" spans="1:9" s="34" customFormat="1" x14ac:dyDescent="0.25"/>
    <row r="28" spans="1:9" s="34" customFormat="1" x14ac:dyDescent="0.25">
      <c r="A28" s="34" t="s">
        <v>93</v>
      </c>
      <c r="B28" s="34" t="s">
        <v>91</v>
      </c>
      <c r="C28" s="34" t="s">
        <v>92</v>
      </c>
      <c r="D28" s="34" t="s">
        <v>14</v>
      </c>
      <c r="E28" s="34" t="s">
        <v>107</v>
      </c>
      <c r="F28" s="34" t="s">
        <v>15</v>
      </c>
      <c r="G28" s="34" t="s">
        <v>108</v>
      </c>
    </row>
    <row r="29" spans="1:9" s="34" customFormat="1" x14ac:dyDescent="0.25">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5"/>
    <row r="31" spans="1:9" s="34" customFormat="1" x14ac:dyDescent="0.25"/>
    <row r="32" spans="1:9" s="34" customFormat="1" x14ac:dyDescent="0.25">
      <c r="A32" s="34" t="s">
        <v>93</v>
      </c>
      <c r="B32" s="34" t="s">
        <v>91</v>
      </c>
      <c r="C32" s="34" t="s">
        <v>92</v>
      </c>
      <c r="D32" s="34" t="s">
        <v>16</v>
      </c>
      <c r="E32" s="34" t="s">
        <v>109</v>
      </c>
      <c r="F32" s="34" t="s">
        <v>17</v>
      </c>
      <c r="G32" s="34" t="s">
        <v>110</v>
      </c>
    </row>
    <row r="33" spans="1:7" s="34" customFormat="1" x14ac:dyDescent="0.25">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5"/>
    <row r="35" spans="1:7" s="34" customFormat="1" x14ac:dyDescent="0.25"/>
    <row r="36" spans="1:7" s="34" customFormat="1" x14ac:dyDescent="0.25">
      <c r="A36" s="34" t="s">
        <v>93</v>
      </c>
      <c r="B36" s="34" t="s">
        <v>91</v>
      </c>
      <c r="C36" s="34" t="s">
        <v>92</v>
      </c>
      <c r="D36" s="34" t="s">
        <v>111</v>
      </c>
      <c r="E36" s="34" t="s">
        <v>112</v>
      </c>
    </row>
    <row r="37" spans="1:7" s="34" customFormat="1" x14ac:dyDescent="0.25">
      <c r="A37" s="58" t="str">
        <f>IF(SUM($D$37:$E$37)&lt;=IF(MetMax!$C$16="Forint",$B$37,$C$37),"OK","STOP")</f>
        <v>OK</v>
      </c>
      <c r="B37" s="58">
        <v>1000000</v>
      </c>
      <c r="C37" s="58">
        <v>3250</v>
      </c>
      <c r="D37" s="58">
        <f>IF(MetMax!$J$57="Ezt kérem!",MetMax!$H$57,0)</f>
        <v>0</v>
      </c>
      <c r="E37" s="58">
        <f>IF(MetMax!$J$58="Ezt kérem!",MetMax!$H$58*2,0)</f>
        <v>0</v>
      </c>
    </row>
    <row r="38" spans="1:7" s="34" customFormat="1" x14ac:dyDescent="0.25"/>
    <row r="39" spans="1:7" s="34" customFormat="1" x14ac:dyDescent="0.25"/>
    <row r="40" spans="1:7" s="34" customFormat="1" x14ac:dyDescent="0.25">
      <c r="A40" s="34" t="s">
        <v>93</v>
      </c>
      <c r="B40" s="34" t="s">
        <v>91</v>
      </c>
      <c r="C40" s="34" t="s">
        <v>92</v>
      </c>
      <c r="D40" s="34" t="s">
        <v>113</v>
      </c>
      <c r="E40" s="34" t="s">
        <v>114</v>
      </c>
    </row>
    <row r="41" spans="1:7" s="34" customFormat="1" x14ac:dyDescent="0.25">
      <c r="A41" s="58" t="str">
        <f>IF(SUM($D$41:$E$41)&lt;=IF(MetMax!$C$16="Forint",$B$41,$C$41),"OK","STOP")</f>
        <v>OK</v>
      </c>
      <c r="B41" s="58">
        <v>1000000</v>
      </c>
      <c r="C41" s="58">
        <v>3250</v>
      </c>
      <c r="D41" s="58">
        <f>IF(MetMax!$J$59="Ezt kérem!",MetMax!$H$59,0)</f>
        <v>300000</v>
      </c>
      <c r="E41" s="58">
        <f>IF(MetMax!$J$60="Ezt kérem!",MetMax!$H$60*2,0)</f>
        <v>0</v>
      </c>
    </row>
    <row r="42" spans="1:7" s="34" customFormat="1" x14ac:dyDescent="0.25"/>
    <row r="43" spans="1:7" s="34" customFormat="1" x14ac:dyDescent="0.25"/>
    <row r="44" spans="1:7" s="34" customFormat="1" x14ac:dyDescent="0.25">
      <c r="A44" s="34" t="s">
        <v>93</v>
      </c>
      <c r="B44" s="34" t="s">
        <v>91</v>
      </c>
      <c r="C44" s="34" t="s">
        <v>92</v>
      </c>
      <c r="D44" s="34" t="s">
        <v>115</v>
      </c>
      <c r="E44" s="34" t="s">
        <v>116</v>
      </c>
      <c r="F44" s="34" t="s">
        <v>117</v>
      </c>
    </row>
    <row r="45" spans="1:7" s="34" customFormat="1" x14ac:dyDescent="0.25">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5"/>
    <row r="54" spans="1:7" x14ac:dyDescent="0.25">
      <c r="A54" s="26" t="s">
        <v>388</v>
      </c>
    </row>
    <row r="57" spans="1:7" x14ac:dyDescent="0.25">
      <c r="A57" t="s">
        <v>93</v>
      </c>
      <c r="B57" t="s">
        <v>91</v>
      </c>
      <c r="C57" t="s">
        <v>92</v>
      </c>
      <c r="D57" t="s">
        <v>94</v>
      </c>
      <c r="E57" t="s">
        <v>18</v>
      </c>
    </row>
    <row r="58" spans="1:7" x14ac:dyDescent="0.25">
      <c r="A58" s="23" t="s">
        <v>425</v>
      </c>
      <c r="B58" s="23">
        <v>50000000</v>
      </c>
      <c r="C58" s="23">
        <v>170000</v>
      </c>
      <c r="D58" s="23">
        <f>IF(OR(MetCare!$J$35="Ezt kérem!",MetCare!$J$36="Ezt kérem!",MetCare!$J$37="Ezt kérem!"),MetCare!$H$35,0)</f>
        <v>10000000</v>
      </c>
      <c r="E58" s="23">
        <f>IF(MetCare!$J$77="Ezt kérem!",MetCare!$H$77,0)</f>
        <v>0</v>
      </c>
    </row>
    <row r="59" spans="1:7" x14ac:dyDescent="0.25">
      <c r="A59" t="str">
        <f>IF(SUM($D$58:$E$58)&lt;=IF(MetCare!$C$16="Forint",$B$58,$C$58),"OK","STOP")</f>
        <v>OK</v>
      </c>
    </row>
    <row r="61" spans="1:7" s="34" customFormat="1" x14ac:dyDescent="0.25">
      <c r="A61" s="34" t="s">
        <v>93</v>
      </c>
      <c r="B61" s="34" t="s">
        <v>91</v>
      </c>
      <c r="C61" s="34" t="s">
        <v>92</v>
      </c>
      <c r="D61" s="34" t="s">
        <v>1</v>
      </c>
      <c r="E61" s="34" t="s">
        <v>95</v>
      </c>
      <c r="F61" s="34" t="s">
        <v>96</v>
      </c>
      <c r="G61" s="34" t="s">
        <v>389</v>
      </c>
    </row>
    <row r="62" spans="1:7" s="34" customFormat="1" x14ac:dyDescent="0.25">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5"/>
    <row r="64" spans="1:7" s="34" customFormat="1" x14ac:dyDescent="0.25"/>
    <row r="65" spans="1:10" s="34" customFormat="1" x14ac:dyDescent="0.25">
      <c r="A65" s="34" t="s">
        <v>93</v>
      </c>
      <c r="B65" s="34" t="s">
        <v>91</v>
      </c>
      <c r="C65" s="34" t="s">
        <v>92</v>
      </c>
      <c r="D65" s="34" t="s">
        <v>97</v>
      </c>
      <c r="E65" s="34" t="s">
        <v>98</v>
      </c>
      <c r="F65" s="34" t="s">
        <v>100</v>
      </c>
      <c r="G65" s="34" t="s">
        <v>99</v>
      </c>
      <c r="H65" s="34" t="s">
        <v>390</v>
      </c>
    </row>
    <row r="66" spans="1:10" s="34" customFormat="1" x14ac:dyDescent="0.25">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5"/>
    <row r="68" spans="1:10" s="34" customFormat="1" x14ac:dyDescent="0.25"/>
    <row r="69" spans="1:10" s="34" customFormat="1" x14ac:dyDescent="0.25">
      <c r="A69" s="34" t="s">
        <v>93</v>
      </c>
      <c r="B69" s="34" t="s">
        <v>91</v>
      </c>
      <c r="C69" s="34" t="s">
        <v>92</v>
      </c>
      <c r="D69" s="34" t="s">
        <v>101</v>
      </c>
      <c r="E69" s="34" t="s">
        <v>102</v>
      </c>
      <c r="F69" s="34" t="s">
        <v>103</v>
      </c>
      <c r="G69" s="34" t="s">
        <v>104</v>
      </c>
      <c r="H69" s="34" t="s">
        <v>105</v>
      </c>
      <c r="I69" s="34" t="s">
        <v>106</v>
      </c>
      <c r="J69" s="34" t="s">
        <v>391</v>
      </c>
    </row>
    <row r="70" spans="1:10" s="34" customFormat="1" x14ac:dyDescent="0.25">
      <c r="A70" s="58" t="str">
        <f>IF(SUM($D$70:$J$70)&lt;=IF(MetCare!$C$16="Forint",$B$70,$C$70),"OK","STOP")</f>
        <v>OK</v>
      </c>
      <c r="B70" s="58">
        <v>200000000</v>
      </c>
      <c r="C70" s="58">
        <v>650000</v>
      </c>
      <c r="D70" s="58">
        <f>IF(MetCare!$J$42="Ezt kérem!",MetCare!$H$42,0)</f>
        <v>5000000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6" x14ac:dyDescent="0.3">
      <c r="A71" s="25"/>
    </row>
    <row r="72" spans="1:10" s="34" customFormat="1" x14ac:dyDescent="0.25"/>
    <row r="73" spans="1:10" s="34" customFormat="1" x14ac:dyDescent="0.25">
      <c r="A73" s="34" t="s">
        <v>93</v>
      </c>
      <c r="B73" s="34" t="s">
        <v>91</v>
      </c>
      <c r="C73" s="34" t="s">
        <v>92</v>
      </c>
      <c r="D73" s="34" t="s">
        <v>98</v>
      </c>
      <c r="E73" s="34" t="s">
        <v>100</v>
      </c>
      <c r="F73" s="34" t="s">
        <v>99</v>
      </c>
      <c r="G73" s="34" t="s">
        <v>390</v>
      </c>
    </row>
    <row r="74" spans="1:10" s="34" customFormat="1" x14ac:dyDescent="0.25">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5"/>
    <row r="76" spans="1:10" s="34" customFormat="1" x14ac:dyDescent="0.25"/>
    <row r="77" spans="1:10" s="34" customFormat="1" x14ac:dyDescent="0.25">
      <c r="A77" s="34" t="s">
        <v>93</v>
      </c>
      <c r="B77" s="34" t="s">
        <v>91</v>
      </c>
      <c r="C77" s="34" t="s">
        <v>92</v>
      </c>
      <c r="D77" s="34" t="s">
        <v>0</v>
      </c>
      <c r="E77" s="34" t="s">
        <v>2</v>
      </c>
    </row>
    <row r="78" spans="1:10" s="34" customFormat="1" x14ac:dyDescent="0.25">
      <c r="A78" s="58" t="str">
        <f>IF(SUM($D$78:$E$78)&lt;=IF(MetCare!$C$16="Forint",$B$78,$C$78),"OK","STOP")</f>
        <v>OK</v>
      </c>
      <c r="B78" s="58">
        <v>200000000</v>
      </c>
      <c r="C78" s="58">
        <v>650000</v>
      </c>
      <c r="D78" s="58">
        <f>IF(MetCare!$J$28="Ezt kérem!",MetCare!$H$28,0)</f>
        <v>2500000</v>
      </c>
      <c r="E78" s="58">
        <f>IF(MetCare!$J$31="Ezt kérem!",MetCare!$H$31,0)</f>
        <v>0</v>
      </c>
      <c r="F78" s="58"/>
    </row>
    <row r="79" spans="1:10" s="34" customFormat="1" x14ac:dyDescent="0.25"/>
    <row r="80" spans="1:10" s="34" customFormat="1" x14ac:dyDescent="0.25"/>
    <row r="81" spans="1:7" s="34" customFormat="1" x14ac:dyDescent="0.25">
      <c r="A81" s="34" t="s">
        <v>93</v>
      </c>
      <c r="B81" s="34" t="s">
        <v>91</v>
      </c>
      <c r="C81" s="34" t="s">
        <v>92</v>
      </c>
      <c r="D81" s="34" t="s">
        <v>14</v>
      </c>
      <c r="E81" s="34" t="s">
        <v>107</v>
      </c>
      <c r="F81" s="34" t="s">
        <v>15</v>
      </c>
      <c r="G81" s="34" t="s">
        <v>108</v>
      </c>
    </row>
    <row r="82" spans="1:7" s="34" customFormat="1" x14ac:dyDescent="0.25">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5"/>
    <row r="84" spans="1:7" s="34" customFormat="1" x14ac:dyDescent="0.25"/>
    <row r="85" spans="1:7" s="34" customFormat="1" x14ac:dyDescent="0.25">
      <c r="A85" s="34" t="s">
        <v>93</v>
      </c>
      <c r="B85" s="34" t="s">
        <v>91</v>
      </c>
      <c r="C85" s="34" t="s">
        <v>92</v>
      </c>
      <c r="D85" s="34" t="s">
        <v>16</v>
      </c>
      <c r="E85" s="34" t="s">
        <v>109</v>
      </c>
      <c r="F85" s="34" t="s">
        <v>17</v>
      </c>
      <c r="G85" s="34" t="s">
        <v>110</v>
      </c>
    </row>
    <row r="86" spans="1:7" s="34" customFormat="1" x14ac:dyDescent="0.25">
      <c r="A86" s="58" t="str">
        <f>IF(SUM($D$86:$G$86)&lt;=IF(MetCare!$C$16="Forint",$B$86,$C$86),"OK","STOP")</f>
        <v>OK</v>
      </c>
      <c r="B86" s="58">
        <v>40000</v>
      </c>
      <c r="C86" s="58">
        <v>130</v>
      </c>
      <c r="D86" s="58">
        <f>IF(MetCare!$J$71="Ezt kérem!",MetCare!$H$71,0)</f>
        <v>2000</v>
      </c>
      <c r="E86" s="58">
        <f>IF(MetCare!$J$72="Ezt kérem!",MetCare!$H$72*2,0)</f>
        <v>0</v>
      </c>
      <c r="F86" s="58">
        <f>IF(MetCare!$J$73="Ezt kérem!",MetCare!$H$73,0)</f>
        <v>0</v>
      </c>
      <c r="G86" s="58">
        <f>IF(MetCare!$J$74="Ezt kérem!",MetCare!$H$74*2,0)</f>
        <v>0</v>
      </c>
    </row>
    <row r="87" spans="1:7" s="34" customFormat="1" x14ac:dyDescent="0.25"/>
    <row r="88" spans="1:7" s="34" customFormat="1" x14ac:dyDescent="0.25"/>
    <row r="89" spans="1:7" s="34" customFormat="1" x14ac:dyDescent="0.25">
      <c r="A89" s="34" t="s">
        <v>93</v>
      </c>
      <c r="B89" s="34" t="s">
        <v>91</v>
      </c>
      <c r="C89" s="34" t="s">
        <v>92</v>
      </c>
      <c r="D89" s="34" t="s">
        <v>111</v>
      </c>
      <c r="E89" s="34" t="s">
        <v>112</v>
      </c>
    </row>
    <row r="90" spans="1:7" s="34" customFormat="1" x14ac:dyDescent="0.25">
      <c r="A90" s="58" t="str">
        <f>IF(SUM($D$90:$E$90)&lt;=IF(MetCare!$C$16="Forint",$B$90,$C$90),"OK","STOP")</f>
        <v>OK</v>
      </c>
      <c r="B90" s="58">
        <v>1000000</v>
      </c>
      <c r="C90" s="58">
        <v>3250</v>
      </c>
      <c r="D90" s="58">
        <f>IF(MetCare!$J$61="Ezt kérem!",MetCare!$H$61,0)</f>
        <v>0</v>
      </c>
      <c r="E90" s="58">
        <f>IF(MetCare!$J$62="Ezt kérem!",MetCare!$H$62*2,0)</f>
        <v>0</v>
      </c>
    </row>
    <row r="91" spans="1:7" s="34" customFormat="1" x14ac:dyDescent="0.25"/>
    <row r="92" spans="1:7" s="34" customFormat="1" x14ac:dyDescent="0.25"/>
    <row r="93" spans="1:7" s="34" customFormat="1" x14ac:dyDescent="0.25">
      <c r="A93" s="34" t="s">
        <v>93</v>
      </c>
      <c r="B93" s="34" t="s">
        <v>91</v>
      </c>
      <c r="C93" s="34" t="s">
        <v>92</v>
      </c>
      <c r="D93" s="34" t="s">
        <v>113</v>
      </c>
      <c r="E93" s="34" t="s">
        <v>114</v>
      </c>
    </row>
    <row r="94" spans="1:7" s="34" customFormat="1" x14ac:dyDescent="0.25">
      <c r="A94" s="58" t="str">
        <f>IF(SUM($D$94:$E$94)&lt;=IF(MetCare!$C$16="Forint",$B$94,$C$94),"OK","STOP")</f>
        <v>OK</v>
      </c>
      <c r="B94" s="58">
        <v>1000000</v>
      </c>
      <c r="C94" s="58">
        <v>3250</v>
      </c>
      <c r="D94" s="58">
        <f>IF(MetCare!$J$63="Ezt kérem!",MetCare!$H$63,0)</f>
        <v>150000</v>
      </c>
      <c r="E94" s="58">
        <f>IF(MetCare!$J$64="Ezt kérem!",MetCare!$H$64*2,0)</f>
        <v>0</v>
      </c>
    </row>
    <row r="95" spans="1:7" s="34" customFormat="1" x14ac:dyDescent="0.25"/>
    <row r="96" spans="1:7" s="34" customFormat="1" x14ac:dyDescent="0.25"/>
    <row r="97" spans="1:7" s="34" customFormat="1" x14ac:dyDescent="0.25">
      <c r="A97" s="34" t="s">
        <v>93</v>
      </c>
      <c r="B97" s="34" t="s">
        <v>91</v>
      </c>
      <c r="C97" s="34" t="s">
        <v>92</v>
      </c>
      <c r="D97" s="34" t="s">
        <v>115</v>
      </c>
      <c r="E97" s="34" t="s">
        <v>116</v>
      </c>
      <c r="F97" s="34" t="s">
        <v>117</v>
      </c>
      <c r="G97" s="34" t="s">
        <v>392</v>
      </c>
    </row>
    <row r="98" spans="1:7" s="34" customFormat="1" x14ac:dyDescent="0.25">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5"/>
    <row r="107" spans="1:7" x14ac:dyDescent="0.25">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3.2" x14ac:dyDescent="0.25"/>
  <cols>
    <col min="2" max="2" width="11" bestFit="1" customWidth="1"/>
    <col min="3" max="3" width="11.44140625" bestFit="1" customWidth="1"/>
    <col min="4" max="5" width="12.44140625" bestFit="1" customWidth="1"/>
    <col min="6" max="7" width="13.6640625" bestFit="1" customWidth="1"/>
    <col min="8" max="10" width="10.33203125" bestFit="1" customWidth="1"/>
  </cols>
  <sheetData>
    <row r="4" spans="1:11" x14ac:dyDescent="0.25">
      <c r="A4" t="s">
        <v>123</v>
      </c>
      <c r="B4" s="28">
        <v>0</v>
      </c>
      <c r="C4" s="28">
        <v>250000</v>
      </c>
      <c r="D4" s="28">
        <v>5000001</v>
      </c>
      <c r="E4" s="28">
        <v>40000001</v>
      </c>
      <c r="F4" s="28">
        <v>80000001</v>
      </c>
      <c r="G4" s="28">
        <v>150000001</v>
      </c>
    </row>
    <row r="5" spans="1:11" x14ac:dyDescent="0.25">
      <c r="A5" t="s">
        <v>124</v>
      </c>
      <c r="B5" s="29">
        <v>0</v>
      </c>
      <c r="C5" s="29">
        <v>812.01</v>
      </c>
      <c r="D5" s="29">
        <v>16250.01</v>
      </c>
      <c r="E5" s="29">
        <v>130000.01</v>
      </c>
      <c r="F5" s="29">
        <v>260000.01</v>
      </c>
      <c r="G5" s="29">
        <v>487500.01</v>
      </c>
      <c r="J5">
        <v>0</v>
      </c>
      <c r="K5" t="s">
        <v>414</v>
      </c>
    </row>
    <row r="6" spans="1:11" x14ac:dyDescent="0.25">
      <c r="A6" t="s">
        <v>125</v>
      </c>
      <c r="B6">
        <v>2</v>
      </c>
      <c r="C6">
        <v>3</v>
      </c>
      <c r="D6">
        <v>4</v>
      </c>
      <c r="E6">
        <v>5</v>
      </c>
      <c r="F6">
        <v>6</v>
      </c>
      <c r="G6">
        <v>7</v>
      </c>
      <c r="J6">
        <v>1</v>
      </c>
      <c r="K6" t="s">
        <v>122</v>
      </c>
    </row>
    <row r="7" spans="1:11" x14ac:dyDescent="0.25">
      <c r="A7" s="22">
        <v>16</v>
      </c>
      <c r="B7" s="30">
        <v>0</v>
      </c>
      <c r="C7" s="30">
        <v>1</v>
      </c>
      <c r="D7" s="30">
        <v>2</v>
      </c>
      <c r="E7" s="30">
        <v>3</v>
      </c>
      <c r="F7" s="30">
        <v>4</v>
      </c>
      <c r="G7" s="30">
        <v>5</v>
      </c>
      <c r="J7">
        <v>2</v>
      </c>
      <c r="K7" t="s">
        <v>126</v>
      </c>
    </row>
    <row r="8" spans="1:11" x14ac:dyDescent="0.25">
      <c r="A8" s="22">
        <v>46</v>
      </c>
      <c r="B8" s="30">
        <v>0</v>
      </c>
      <c r="C8" s="30">
        <v>1</v>
      </c>
      <c r="D8" s="30">
        <v>2</v>
      </c>
      <c r="E8" s="30">
        <v>4</v>
      </c>
      <c r="F8" s="30">
        <v>4</v>
      </c>
      <c r="G8" s="30">
        <v>5</v>
      </c>
      <c r="J8">
        <v>3</v>
      </c>
      <c r="K8" t="s">
        <v>127</v>
      </c>
    </row>
    <row r="9" spans="1:11" x14ac:dyDescent="0.25">
      <c r="A9" s="22">
        <v>55</v>
      </c>
      <c r="B9" s="30">
        <v>0</v>
      </c>
      <c r="C9" s="30">
        <v>1</v>
      </c>
      <c r="D9" s="30">
        <v>2</v>
      </c>
      <c r="E9" s="30">
        <v>4</v>
      </c>
      <c r="F9" s="30">
        <v>4</v>
      </c>
      <c r="G9" s="30">
        <v>5</v>
      </c>
      <c r="J9">
        <v>4</v>
      </c>
      <c r="K9" t="s">
        <v>128</v>
      </c>
    </row>
    <row r="10" spans="1:11" x14ac:dyDescent="0.25">
      <c r="A10" s="22">
        <v>66</v>
      </c>
      <c r="B10" s="30">
        <v>0</v>
      </c>
      <c r="C10" s="30">
        <v>1</v>
      </c>
      <c r="D10" s="30">
        <v>2</v>
      </c>
      <c r="E10" s="30">
        <v>4</v>
      </c>
      <c r="F10" s="30">
        <v>5</v>
      </c>
      <c r="G10" s="30">
        <v>5</v>
      </c>
      <c r="J10">
        <v>5</v>
      </c>
      <c r="K10" t="s">
        <v>129</v>
      </c>
    </row>
    <row r="14" spans="1:11" x14ac:dyDescent="0.25">
      <c r="A14" t="s">
        <v>130</v>
      </c>
      <c r="B14" t="s">
        <v>26</v>
      </c>
      <c r="C14" t="s">
        <v>134</v>
      </c>
      <c r="D14" t="s">
        <v>418</v>
      </c>
      <c r="E14" t="s">
        <v>419</v>
      </c>
      <c r="F14" t="s">
        <v>415</v>
      </c>
      <c r="G14" t="s">
        <v>420</v>
      </c>
      <c r="H14" t="s">
        <v>416</v>
      </c>
      <c r="I14" t="s">
        <v>417</v>
      </c>
      <c r="J14" t="s">
        <v>93</v>
      </c>
    </row>
    <row r="15" spans="1:11" x14ac:dyDescent="0.25">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5">
      <c r="A16" t="s">
        <v>131</v>
      </c>
      <c r="B16" t="s">
        <v>37</v>
      </c>
      <c r="C16" s="23">
        <f ca="1">MetCare!$C$9</f>
        <v>28</v>
      </c>
      <c r="D16" s="23">
        <f ca="1">IF(AND(MetCare!$I$28&gt;0,MetCare!$J$28="Ezt kérem!"),MetCare!$H$28,0)+IF(AND(MetCare!$I$31&gt;0,MetCare!$J$31="Ezt kérem!"),MetCare!$H$28,0)</f>
        <v>2500000</v>
      </c>
      <c r="E16" s="23">
        <f ca="1">IF(OR(AND(MetCare!$I$35&gt;0,MetCare!$J$35="Ezt kérem!"),AND(MetCare!$I$36&gt;0,MetCare!$J$36="Ezt kérem!"),AND(MetCare!$I$37&gt;0,MetCare!$J$37="Ezt kérem!")),MetCare!$H$35,0)+IF(AND(MetCare!$I$77&gt;0,MetCare!$J$77="Ezt kérem!"),MetCare!$H$77,0)</f>
        <v>10000000</v>
      </c>
      <c r="F16" s="23">
        <v>1</v>
      </c>
      <c r="G16" s="23">
        <f>IF(OR(MetCare!$J$44="Ezt kérem!",COUNTIF(MetCare!$J$56:$K$58,"Ezt kérem!")&gt;0,COUNTIF(MetCare!$J$63:$K$64,"Ezt kérem!")&gt;0,COUNTIF(MetCare!$J$71:$K$74,"Ezt kérem!")&gt;0),2,0)</f>
        <v>2</v>
      </c>
      <c r="H16" s="23">
        <f ca="1">VLOOKUP($C$16,$A$7:$G$10,IF($B$16="Forint",HLOOKUP($D$16,$B$4:$G$6,3),HLOOKUP($D$16,$B$5:$G$6,2)))</f>
        <v>1</v>
      </c>
      <c r="I16" s="23">
        <f ca="1">VLOOKUP($C$16,$A$7:$G$10,IF($B$16="Forint",HLOOKUP($E$16,$B$4:$G$6,3),HLOOKUP($E$16,$B$5:$G$6,2)))</f>
        <v>2</v>
      </c>
      <c r="J16" t="str">
        <f ca="1">VLOOKUP(MAX($F$16:$I$16),$J$5:$K$10,2)</f>
        <v>Egészségi nyilatkozat</v>
      </c>
    </row>
    <row r="17" spans="1:10" x14ac:dyDescent="0.25">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5">
      <c r="A18" t="s">
        <v>133</v>
      </c>
      <c r="B18" t="s">
        <v>37</v>
      </c>
      <c r="C18" s="23"/>
      <c r="D18" s="23"/>
      <c r="E18" s="23"/>
      <c r="F18" s="23"/>
      <c r="G18" s="23"/>
      <c r="H18" s="23"/>
      <c r="I18" s="23"/>
    </row>
    <row r="19" spans="1:10" x14ac:dyDescent="0.25">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3.2" x14ac:dyDescent="0.25"/>
  <cols>
    <col min="3" max="3" width="10.109375" bestFit="1" customWidth="1"/>
    <col min="4" max="4" width="10.33203125" bestFit="1" customWidth="1"/>
    <col min="5" max="8" width="9.33203125" bestFit="1" customWidth="1"/>
  </cols>
  <sheetData>
    <row r="3" spans="1:9" x14ac:dyDescent="0.25">
      <c r="B3">
        <v>0</v>
      </c>
      <c r="C3" t="s">
        <v>414</v>
      </c>
    </row>
    <row r="4" spans="1:9" x14ac:dyDescent="0.25">
      <c r="B4">
        <v>1</v>
      </c>
      <c r="C4" t="s">
        <v>438</v>
      </c>
    </row>
    <row r="5" spans="1:9" x14ac:dyDescent="0.25">
      <c r="B5">
        <v>2</v>
      </c>
      <c r="C5" t="s">
        <v>441</v>
      </c>
    </row>
    <row r="6" spans="1:9" x14ac:dyDescent="0.25">
      <c r="B6">
        <v>3</v>
      </c>
      <c r="C6" t="s">
        <v>445</v>
      </c>
    </row>
    <row r="11" spans="1:9" x14ac:dyDescent="0.25">
      <c r="A11" t="s">
        <v>130</v>
      </c>
      <c r="B11" t="s">
        <v>26</v>
      </c>
      <c r="C11" t="s">
        <v>449</v>
      </c>
      <c r="D11" t="s">
        <v>450</v>
      </c>
      <c r="E11" t="s">
        <v>451</v>
      </c>
      <c r="F11" t="s">
        <v>452</v>
      </c>
      <c r="G11" t="s">
        <v>453</v>
      </c>
      <c r="H11" t="s">
        <v>454</v>
      </c>
      <c r="I11" t="s">
        <v>93</v>
      </c>
    </row>
    <row r="12" spans="1:9" x14ac:dyDescent="0.25">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5">
      <c r="A13" t="s">
        <v>131</v>
      </c>
      <c r="B13" t="s">
        <v>37</v>
      </c>
      <c r="C13" s="23">
        <f ca="1">IF(AND(MetCare!$I$28&gt;0,MetCare!$J$28="Ezt kérem!"),MetCare!$H$28,0)+IF(AND(MetCare!$I$31&gt;0,MetCare!$J$31="Ezt kérem!"),MetCare!$H$28,0)</f>
        <v>2500000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500000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5">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5">
      <c r="A15" t="s">
        <v>133</v>
      </c>
      <c r="B15" t="s">
        <v>37</v>
      </c>
      <c r="C15" s="23"/>
      <c r="D15" s="23"/>
      <c r="E15" s="23"/>
      <c r="F15" s="23"/>
      <c r="G15" s="23"/>
      <c r="H15" s="23"/>
    </row>
    <row r="16" spans="1:9" x14ac:dyDescent="0.25">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3.2" x14ac:dyDescent="0.25"/>
  <cols>
    <col min="1" max="1" width="63" bestFit="1" customWidth="1"/>
    <col min="2" max="2" width="13.6640625" bestFit="1" customWidth="1"/>
    <col min="3" max="3" width="21.33203125" bestFit="1" customWidth="1"/>
    <col min="4" max="4" width="13.44140625" bestFit="1" customWidth="1"/>
    <col min="5" max="5" width="23.88671875" bestFit="1" customWidth="1"/>
    <col min="6" max="6" width="22.33203125" bestFit="1" customWidth="1"/>
    <col min="7" max="7" width="14.77734375" bestFit="1" customWidth="1"/>
    <col min="8" max="8" width="15.88671875" bestFit="1" customWidth="1"/>
    <col min="9" max="9" width="19.6640625" bestFit="1" customWidth="1"/>
    <col min="10" max="10" width="20" bestFit="1" customWidth="1"/>
    <col min="11" max="11" width="23.88671875" bestFit="1" customWidth="1"/>
  </cols>
  <sheetData>
    <row r="1" spans="1:11" x14ac:dyDescent="0.25">
      <c r="B1">
        <v>2</v>
      </c>
      <c r="C1">
        <v>3</v>
      </c>
      <c r="D1">
        <v>4</v>
      </c>
      <c r="E1">
        <v>5</v>
      </c>
      <c r="F1">
        <v>6</v>
      </c>
      <c r="G1">
        <v>7</v>
      </c>
      <c r="H1">
        <v>8</v>
      </c>
      <c r="I1">
        <v>9</v>
      </c>
      <c r="J1">
        <v>10</v>
      </c>
      <c r="K1">
        <v>11</v>
      </c>
    </row>
    <row r="2" spans="1:11" ht="39.6" x14ac:dyDescent="0.25">
      <c r="A2" t="s">
        <v>379</v>
      </c>
      <c r="B2" s="1" t="s">
        <v>0</v>
      </c>
      <c r="C2" s="1" t="s">
        <v>380</v>
      </c>
      <c r="D2" s="1" t="s">
        <v>94</v>
      </c>
      <c r="E2" s="1" t="s">
        <v>382</v>
      </c>
      <c r="F2" s="1" t="s">
        <v>381</v>
      </c>
      <c r="G2" s="1" t="s">
        <v>383</v>
      </c>
      <c r="H2" s="1" t="s">
        <v>111</v>
      </c>
      <c r="I2" s="1" t="s">
        <v>113</v>
      </c>
      <c r="J2" s="1" t="s">
        <v>384</v>
      </c>
      <c r="K2" s="1" t="s">
        <v>385</v>
      </c>
    </row>
    <row r="3" spans="1:11" x14ac:dyDescent="0.25">
      <c r="A3" t="s">
        <v>145</v>
      </c>
      <c r="B3" s="31">
        <v>0</v>
      </c>
      <c r="C3" s="31">
        <v>0</v>
      </c>
      <c r="D3" s="31">
        <v>0</v>
      </c>
      <c r="E3" s="31">
        <v>0</v>
      </c>
      <c r="F3" s="31">
        <v>0</v>
      </c>
      <c r="G3" s="31">
        <v>0</v>
      </c>
      <c r="H3" s="31">
        <v>0</v>
      </c>
      <c r="I3" s="31">
        <v>0</v>
      </c>
      <c r="J3" s="31">
        <v>0</v>
      </c>
      <c r="K3" s="31">
        <v>0</v>
      </c>
    </row>
    <row r="4" spans="1:11" x14ac:dyDescent="0.25">
      <c r="A4" t="s">
        <v>508</v>
      </c>
      <c r="B4" s="31">
        <v>0</v>
      </c>
      <c r="C4" s="31">
        <v>0</v>
      </c>
      <c r="D4" s="31">
        <v>0</v>
      </c>
      <c r="E4" s="31">
        <v>0.5</v>
      </c>
      <c r="F4" s="31">
        <v>0.5</v>
      </c>
      <c r="G4" s="31">
        <v>0.5</v>
      </c>
      <c r="H4" s="31">
        <v>0</v>
      </c>
      <c r="I4" s="31">
        <v>0</v>
      </c>
      <c r="J4" s="31">
        <v>0</v>
      </c>
      <c r="K4" s="31">
        <v>0</v>
      </c>
    </row>
    <row r="5" spans="1:11" x14ac:dyDescent="0.25">
      <c r="A5" t="s">
        <v>147</v>
      </c>
      <c r="B5" s="31">
        <v>0</v>
      </c>
      <c r="C5" s="31">
        <v>0</v>
      </c>
      <c r="D5" s="31">
        <v>0</v>
      </c>
      <c r="E5" s="31">
        <v>0.5</v>
      </c>
      <c r="F5" s="31">
        <v>0.5</v>
      </c>
      <c r="G5" s="31">
        <v>0.5</v>
      </c>
      <c r="H5" s="31">
        <v>0</v>
      </c>
      <c r="I5" s="31">
        <v>0</v>
      </c>
      <c r="J5" s="31">
        <v>0</v>
      </c>
      <c r="K5" s="31">
        <v>0</v>
      </c>
    </row>
    <row r="6" spans="1:11" x14ac:dyDescent="0.25">
      <c r="A6" t="s">
        <v>146</v>
      </c>
      <c r="B6" s="31" t="s">
        <v>408</v>
      </c>
      <c r="C6" s="31" t="s">
        <v>408</v>
      </c>
      <c r="D6" s="31" t="s">
        <v>408</v>
      </c>
      <c r="E6" s="31" t="s">
        <v>408</v>
      </c>
      <c r="F6" s="31" t="s">
        <v>408</v>
      </c>
      <c r="G6" s="31" t="s">
        <v>408</v>
      </c>
      <c r="H6" s="31" t="s">
        <v>408</v>
      </c>
      <c r="I6" s="31" t="s">
        <v>408</v>
      </c>
      <c r="J6" s="31" t="s">
        <v>408</v>
      </c>
      <c r="K6" s="31" t="s">
        <v>408</v>
      </c>
    </row>
    <row r="7" spans="1:11" x14ac:dyDescent="0.25">
      <c r="A7" t="s">
        <v>148</v>
      </c>
      <c r="B7" s="31" t="s">
        <v>411</v>
      </c>
      <c r="C7" s="31">
        <v>0.5</v>
      </c>
      <c r="D7" s="31">
        <v>0</v>
      </c>
      <c r="E7" s="31">
        <v>1</v>
      </c>
      <c r="F7" s="31">
        <v>1</v>
      </c>
      <c r="G7" s="31">
        <v>1</v>
      </c>
      <c r="H7" s="31" t="s">
        <v>408</v>
      </c>
      <c r="I7" s="31" t="s">
        <v>408</v>
      </c>
      <c r="J7" s="31" t="s">
        <v>408</v>
      </c>
      <c r="K7" s="31" t="s">
        <v>408</v>
      </c>
    </row>
    <row r="8" spans="1:11" x14ac:dyDescent="0.25">
      <c r="A8" t="s">
        <v>149</v>
      </c>
      <c r="B8" s="31">
        <v>0</v>
      </c>
      <c r="C8" s="31">
        <v>0</v>
      </c>
      <c r="D8" s="31">
        <v>0</v>
      </c>
      <c r="E8" s="31">
        <v>0.5</v>
      </c>
      <c r="F8" s="31">
        <v>0.5</v>
      </c>
      <c r="G8" s="31">
        <v>0.5</v>
      </c>
      <c r="H8" s="31">
        <v>0</v>
      </c>
      <c r="I8" s="31">
        <v>0</v>
      </c>
      <c r="J8" s="31">
        <v>0</v>
      </c>
      <c r="K8" s="31">
        <v>0</v>
      </c>
    </row>
    <row r="9" spans="1:11" x14ac:dyDescent="0.25">
      <c r="A9" t="s">
        <v>150</v>
      </c>
      <c r="B9" s="31">
        <v>0</v>
      </c>
      <c r="C9" s="31">
        <v>0</v>
      </c>
      <c r="D9" s="31">
        <v>0</v>
      </c>
      <c r="E9" s="31">
        <v>0</v>
      </c>
      <c r="F9" s="31">
        <v>0</v>
      </c>
      <c r="G9" s="31">
        <v>0</v>
      </c>
      <c r="H9" s="31">
        <v>0</v>
      </c>
      <c r="I9" s="31">
        <v>0</v>
      </c>
      <c r="J9" s="31">
        <v>0</v>
      </c>
      <c r="K9" s="31">
        <v>0</v>
      </c>
    </row>
    <row r="10" spans="1:11" x14ac:dyDescent="0.25">
      <c r="A10" t="s">
        <v>717</v>
      </c>
      <c r="B10" s="31">
        <v>0</v>
      </c>
      <c r="C10" s="31">
        <v>0</v>
      </c>
      <c r="D10" s="31">
        <v>0</v>
      </c>
      <c r="E10" s="31">
        <v>0</v>
      </c>
      <c r="F10" s="31">
        <v>0</v>
      </c>
      <c r="G10" s="31">
        <v>0</v>
      </c>
      <c r="H10" s="31">
        <v>0</v>
      </c>
      <c r="I10" s="31">
        <v>0</v>
      </c>
      <c r="J10" s="31">
        <v>0</v>
      </c>
      <c r="K10" s="31">
        <v>0</v>
      </c>
    </row>
    <row r="11" spans="1:11" x14ac:dyDescent="0.25">
      <c r="A11" t="s">
        <v>509</v>
      </c>
      <c r="B11" s="31">
        <v>0</v>
      </c>
      <c r="C11" s="31">
        <v>0</v>
      </c>
      <c r="D11" s="31">
        <v>0</v>
      </c>
      <c r="E11" s="31">
        <v>0</v>
      </c>
      <c r="F11" s="31">
        <v>0</v>
      </c>
      <c r="G11" s="31">
        <v>0</v>
      </c>
      <c r="H11" s="31">
        <v>0</v>
      </c>
      <c r="I11" s="31">
        <v>0</v>
      </c>
      <c r="J11" s="31">
        <v>0</v>
      </c>
      <c r="K11" s="31">
        <v>0</v>
      </c>
    </row>
    <row r="12" spans="1:11" x14ac:dyDescent="0.25">
      <c r="A12" t="s">
        <v>151</v>
      </c>
      <c r="B12" s="31" t="s">
        <v>408</v>
      </c>
      <c r="C12" s="31" t="s">
        <v>408</v>
      </c>
      <c r="D12" s="31" t="s">
        <v>408</v>
      </c>
      <c r="E12" s="31" t="s">
        <v>408</v>
      </c>
      <c r="F12" s="31" t="s">
        <v>408</v>
      </c>
      <c r="G12" s="31" t="s">
        <v>408</v>
      </c>
      <c r="H12" s="31" t="s">
        <v>408</v>
      </c>
      <c r="I12" s="31" t="s">
        <v>408</v>
      </c>
      <c r="J12" s="31" t="s">
        <v>408</v>
      </c>
      <c r="K12" s="31" t="s">
        <v>408</v>
      </c>
    </row>
    <row r="13" spans="1:11" x14ac:dyDescent="0.25">
      <c r="A13" t="s">
        <v>152</v>
      </c>
      <c r="B13" s="31" t="s">
        <v>408</v>
      </c>
      <c r="C13" s="31" t="s">
        <v>408</v>
      </c>
      <c r="D13" s="31" t="s">
        <v>408</v>
      </c>
      <c r="E13" s="31" t="s">
        <v>408</v>
      </c>
      <c r="F13" s="31" t="s">
        <v>408</v>
      </c>
      <c r="G13" s="31" t="s">
        <v>408</v>
      </c>
      <c r="H13" s="31" t="s">
        <v>408</v>
      </c>
      <c r="I13" s="31" t="s">
        <v>408</v>
      </c>
      <c r="J13" s="31" t="s">
        <v>408</v>
      </c>
      <c r="K13" s="31" t="s">
        <v>408</v>
      </c>
    </row>
    <row r="14" spans="1:11" x14ac:dyDescent="0.25">
      <c r="A14" t="s">
        <v>153</v>
      </c>
      <c r="B14" s="31" t="s">
        <v>408</v>
      </c>
      <c r="C14" s="31" t="s">
        <v>408</v>
      </c>
      <c r="D14" s="31" t="s">
        <v>408</v>
      </c>
      <c r="E14" s="31" t="s">
        <v>408</v>
      </c>
      <c r="F14" s="31" t="s">
        <v>408</v>
      </c>
      <c r="G14" s="31" t="s">
        <v>408</v>
      </c>
      <c r="H14" s="31" t="s">
        <v>408</v>
      </c>
      <c r="I14" s="31" t="s">
        <v>408</v>
      </c>
      <c r="J14" s="31" t="s">
        <v>408</v>
      </c>
      <c r="K14" s="31" t="s">
        <v>408</v>
      </c>
    </row>
    <row r="15" spans="1:11" x14ac:dyDescent="0.25">
      <c r="A15" t="s">
        <v>511</v>
      </c>
      <c r="B15" s="31">
        <v>0</v>
      </c>
      <c r="C15" s="31">
        <v>0</v>
      </c>
      <c r="D15" s="31">
        <v>0</v>
      </c>
      <c r="E15" s="31">
        <v>0</v>
      </c>
      <c r="F15" s="31">
        <v>0</v>
      </c>
      <c r="G15" s="31">
        <v>0</v>
      </c>
      <c r="H15" s="31">
        <v>0</v>
      </c>
      <c r="I15" s="31">
        <v>0</v>
      </c>
      <c r="J15" s="31">
        <v>0</v>
      </c>
      <c r="K15" s="31">
        <v>0</v>
      </c>
    </row>
    <row r="16" spans="1:11" x14ac:dyDescent="0.25">
      <c r="A16" t="s">
        <v>475</v>
      </c>
      <c r="B16" s="31">
        <v>0</v>
      </c>
      <c r="C16" s="31">
        <v>0</v>
      </c>
      <c r="D16" s="31">
        <v>0</v>
      </c>
      <c r="E16" s="31">
        <v>0</v>
      </c>
      <c r="F16" s="31">
        <v>0</v>
      </c>
      <c r="G16" s="31">
        <v>0</v>
      </c>
      <c r="H16" s="31">
        <v>0</v>
      </c>
      <c r="I16" s="31">
        <v>0</v>
      </c>
      <c r="J16" s="31">
        <v>0</v>
      </c>
      <c r="K16" s="31">
        <v>0</v>
      </c>
    </row>
    <row r="17" spans="1:11" x14ac:dyDescent="0.25">
      <c r="A17" t="s">
        <v>154</v>
      </c>
      <c r="B17" s="31">
        <v>0</v>
      </c>
      <c r="C17" s="31">
        <v>0</v>
      </c>
      <c r="D17" s="31">
        <v>0</v>
      </c>
      <c r="E17" s="31">
        <v>0</v>
      </c>
      <c r="F17" s="31">
        <v>0</v>
      </c>
      <c r="G17" s="31">
        <v>0</v>
      </c>
      <c r="H17" s="31">
        <v>0</v>
      </c>
      <c r="I17" s="31">
        <v>0</v>
      </c>
      <c r="J17" s="31">
        <v>0</v>
      </c>
      <c r="K17" s="31">
        <v>0</v>
      </c>
    </row>
    <row r="18" spans="1:11" x14ac:dyDescent="0.25">
      <c r="A18" t="s">
        <v>155</v>
      </c>
      <c r="B18" s="31">
        <v>0</v>
      </c>
      <c r="C18" s="31">
        <v>0</v>
      </c>
      <c r="D18" s="31">
        <v>0</v>
      </c>
      <c r="E18" s="31">
        <v>0</v>
      </c>
      <c r="F18" s="31">
        <v>0</v>
      </c>
      <c r="G18" s="31">
        <v>0</v>
      </c>
      <c r="H18" s="31">
        <v>0</v>
      </c>
      <c r="I18" s="31">
        <v>0</v>
      </c>
      <c r="J18" s="31">
        <v>0</v>
      </c>
      <c r="K18" s="31">
        <v>0</v>
      </c>
    </row>
    <row r="19" spans="1:11" x14ac:dyDescent="0.25">
      <c r="A19" t="s">
        <v>156</v>
      </c>
      <c r="B19" s="31">
        <v>0</v>
      </c>
      <c r="C19" s="31">
        <v>0</v>
      </c>
      <c r="D19" s="31">
        <v>0</v>
      </c>
      <c r="E19" s="31">
        <v>0</v>
      </c>
      <c r="F19" s="31">
        <v>0</v>
      </c>
      <c r="G19" s="31">
        <v>0</v>
      </c>
      <c r="H19" s="31">
        <v>0</v>
      </c>
      <c r="I19" s="31">
        <v>0</v>
      </c>
      <c r="J19" s="31">
        <v>0</v>
      </c>
      <c r="K19" s="31">
        <v>0</v>
      </c>
    </row>
    <row r="20" spans="1:11" x14ac:dyDescent="0.25">
      <c r="A20" t="s">
        <v>490</v>
      </c>
      <c r="B20" s="31" t="s">
        <v>411</v>
      </c>
      <c r="C20" s="31">
        <v>0.5</v>
      </c>
      <c r="D20" s="31">
        <v>0</v>
      </c>
      <c r="E20" s="31">
        <v>1</v>
      </c>
      <c r="F20" s="31">
        <v>1</v>
      </c>
      <c r="G20" s="31">
        <v>1</v>
      </c>
      <c r="H20" s="31" t="s">
        <v>408</v>
      </c>
      <c r="I20" s="31" t="s">
        <v>408</v>
      </c>
      <c r="J20" s="31" t="s">
        <v>408</v>
      </c>
      <c r="K20" s="31" t="s">
        <v>408</v>
      </c>
    </row>
    <row r="21" spans="1:11" x14ac:dyDescent="0.25">
      <c r="A21" t="s">
        <v>489</v>
      </c>
      <c r="B21" s="31">
        <v>0</v>
      </c>
      <c r="C21" s="31">
        <v>0</v>
      </c>
      <c r="D21" s="31">
        <v>0</v>
      </c>
      <c r="E21" s="31">
        <v>0.5</v>
      </c>
      <c r="F21" s="31">
        <v>0.5</v>
      </c>
      <c r="G21" s="31">
        <v>0.5</v>
      </c>
      <c r="H21" s="31">
        <v>0</v>
      </c>
      <c r="I21" s="31">
        <v>0</v>
      </c>
      <c r="J21" s="31">
        <v>0</v>
      </c>
      <c r="K21" s="31">
        <v>0</v>
      </c>
    </row>
    <row r="22" spans="1:11" x14ac:dyDescent="0.25">
      <c r="A22" t="s">
        <v>512</v>
      </c>
      <c r="B22" s="31">
        <v>0</v>
      </c>
      <c r="C22" s="31">
        <v>0</v>
      </c>
      <c r="D22" s="31">
        <v>0</v>
      </c>
      <c r="E22" s="31">
        <v>0</v>
      </c>
      <c r="F22" s="31">
        <v>0</v>
      </c>
      <c r="G22" s="31">
        <v>0</v>
      </c>
      <c r="H22" s="31">
        <v>0</v>
      </c>
      <c r="I22" s="31">
        <v>0</v>
      </c>
      <c r="J22" s="31">
        <v>0</v>
      </c>
      <c r="K22" s="31">
        <v>0</v>
      </c>
    </row>
    <row r="23" spans="1:11" x14ac:dyDescent="0.25">
      <c r="A23" t="s">
        <v>513</v>
      </c>
      <c r="B23" s="31">
        <v>0</v>
      </c>
      <c r="C23" s="31">
        <v>0</v>
      </c>
      <c r="D23" s="31">
        <v>0</v>
      </c>
      <c r="E23" s="31">
        <v>0.5</v>
      </c>
      <c r="F23" s="31">
        <v>0.5</v>
      </c>
      <c r="G23" s="31">
        <v>0.5</v>
      </c>
      <c r="H23" s="31">
        <v>0</v>
      </c>
      <c r="I23" s="31">
        <v>0</v>
      </c>
      <c r="J23" s="31">
        <v>0</v>
      </c>
      <c r="K23" s="31">
        <v>0</v>
      </c>
    </row>
    <row r="24" spans="1:11" x14ac:dyDescent="0.25">
      <c r="A24" t="s">
        <v>471</v>
      </c>
      <c r="B24" s="31">
        <v>0</v>
      </c>
      <c r="C24" s="31">
        <v>0</v>
      </c>
      <c r="D24" s="31">
        <v>0</v>
      </c>
      <c r="E24" s="31">
        <v>0</v>
      </c>
      <c r="F24" s="31">
        <v>0</v>
      </c>
      <c r="G24" s="31">
        <v>0</v>
      </c>
      <c r="H24" s="31">
        <v>0</v>
      </c>
      <c r="I24" s="31">
        <v>0</v>
      </c>
      <c r="J24" s="31">
        <v>0</v>
      </c>
      <c r="K24" s="31">
        <v>0</v>
      </c>
    </row>
    <row r="25" spans="1:11" x14ac:dyDescent="0.25">
      <c r="A25" t="s">
        <v>487</v>
      </c>
      <c r="B25" s="31">
        <v>0</v>
      </c>
      <c r="C25" s="31">
        <v>0</v>
      </c>
      <c r="D25" s="31">
        <v>0</v>
      </c>
      <c r="E25" s="31">
        <v>0.5</v>
      </c>
      <c r="F25" s="31">
        <v>0.5</v>
      </c>
      <c r="G25" s="31">
        <v>0.5</v>
      </c>
      <c r="H25" s="31">
        <v>0</v>
      </c>
      <c r="I25" s="31">
        <v>0</v>
      </c>
      <c r="J25" s="31">
        <v>0</v>
      </c>
      <c r="K25" s="31">
        <v>0</v>
      </c>
    </row>
    <row r="26" spans="1:11" x14ac:dyDescent="0.25">
      <c r="A26" t="s">
        <v>157</v>
      </c>
      <c r="B26" s="31">
        <v>0</v>
      </c>
      <c r="C26" s="31">
        <v>0</v>
      </c>
      <c r="D26" s="31">
        <v>0</v>
      </c>
      <c r="E26" s="31">
        <v>0.5</v>
      </c>
      <c r="F26" s="31">
        <v>0.5</v>
      </c>
      <c r="G26" s="31">
        <v>0.5</v>
      </c>
      <c r="H26" s="31">
        <v>0</v>
      </c>
      <c r="I26" s="31">
        <v>0</v>
      </c>
      <c r="J26" s="31">
        <v>0</v>
      </c>
      <c r="K26" s="31">
        <v>0</v>
      </c>
    </row>
    <row r="27" spans="1:11" x14ac:dyDescent="0.25">
      <c r="A27" t="s">
        <v>514</v>
      </c>
      <c r="B27" s="31" t="s">
        <v>408</v>
      </c>
      <c r="C27" s="31" t="s">
        <v>408</v>
      </c>
      <c r="D27" s="31" t="s">
        <v>408</v>
      </c>
      <c r="E27" s="31" t="s">
        <v>408</v>
      </c>
      <c r="F27" s="31" t="s">
        <v>408</v>
      </c>
      <c r="G27" s="31" t="s">
        <v>408</v>
      </c>
      <c r="H27" s="31" t="s">
        <v>408</v>
      </c>
      <c r="I27" s="31" t="s">
        <v>408</v>
      </c>
      <c r="J27" s="31" t="s">
        <v>408</v>
      </c>
      <c r="K27" s="31" t="s">
        <v>408</v>
      </c>
    </row>
    <row r="28" spans="1:11" x14ac:dyDescent="0.25">
      <c r="A28" t="s">
        <v>158</v>
      </c>
      <c r="B28" s="31">
        <v>0</v>
      </c>
      <c r="C28" s="31">
        <v>0</v>
      </c>
      <c r="D28" s="31">
        <v>0</v>
      </c>
      <c r="E28" s="31">
        <v>0.5</v>
      </c>
      <c r="F28" s="31">
        <v>0.5</v>
      </c>
      <c r="G28" s="31">
        <v>0.5</v>
      </c>
      <c r="H28" s="31">
        <v>0</v>
      </c>
      <c r="I28" s="31">
        <v>0</v>
      </c>
      <c r="J28" s="31">
        <v>0</v>
      </c>
      <c r="K28" s="31">
        <v>0</v>
      </c>
    </row>
    <row r="29" spans="1:11" x14ac:dyDescent="0.25">
      <c r="A29" t="s">
        <v>480</v>
      </c>
      <c r="B29" s="31">
        <v>0</v>
      </c>
      <c r="C29" s="31">
        <v>0</v>
      </c>
      <c r="D29" s="31">
        <v>0</v>
      </c>
      <c r="E29" s="31">
        <v>0</v>
      </c>
      <c r="F29" s="31">
        <v>0</v>
      </c>
      <c r="G29" s="31">
        <v>0</v>
      </c>
      <c r="H29" s="31">
        <v>0</v>
      </c>
      <c r="I29" s="31">
        <v>0</v>
      </c>
      <c r="J29" s="31">
        <v>0</v>
      </c>
      <c r="K29" s="31">
        <v>0</v>
      </c>
    </row>
    <row r="30" spans="1:11" x14ac:dyDescent="0.25">
      <c r="A30" t="s">
        <v>472</v>
      </c>
      <c r="B30" s="31">
        <v>0</v>
      </c>
      <c r="C30" s="31">
        <v>0</v>
      </c>
      <c r="D30" s="31">
        <v>0</v>
      </c>
      <c r="E30" s="31">
        <v>1</v>
      </c>
      <c r="F30" s="31">
        <v>1</v>
      </c>
      <c r="G30" s="31">
        <v>0.5</v>
      </c>
      <c r="H30" s="31">
        <v>0</v>
      </c>
      <c r="I30" s="31">
        <v>0</v>
      </c>
      <c r="J30" s="31">
        <v>0</v>
      </c>
      <c r="K30" s="31">
        <v>0</v>
      </c>
    </row>
    <row r="31" spans="1:11" x14ac:dyDescent="0.25">
      <c r="A31" t="s">
        <v>515</v>
      </c>
      <c r="B31" s="31">
        <v>0</v>
      </c>
      <c r="C31" s="31">
        <v>0</v>
      </c>
      <c r="D31" s="31">
        <v>0</v>
      </c>
      <c r="E31" s="31">
        <v>0</v>
      </c>
      <c r="F31" s="31">
        <v>0</v>
      </c>
      <c r="G31" s="31">
        <v>0</v>
      </c>
      <c r="H31" s="31">
        <v>0</v>
      </c>
      <c r="I31" s="31">
        <v>0</v>
      </c>
      <c r="J31" s="31">
        <v>0</v>
      </c>
      <c r="K31" s="31">
        <v>0</v>
      </c>
    </row>
    <row r="32" spans="1:11" x14ac:dyDescent="0.25">
      <c r="A32" t="s">
        <v>516</v>
      </c>
      <c r="B32" s="31">
        <v>0</v>
      </c>
      <c r="C32" s="31">
        <v>0</v>
      </c>
      <c r="D32" s="31">
        <v>0</v>
      </c>
      <c r="E32" s="31">
        <v>0</v>
      </c>
      <c r="F32" s="31">
        <v>0</v>
      </c>
      <c r="G32" s="31">
        <v>0</v>
      </c>
      <c r="H32" s="31">
        <v>0</v>
      </c>
      <c r="I32" s="31">
        <v>0</v>
      </c>
      <c r="J32" s="31">
        <v>0</v>
      </c>
      <c r="K32" s="31">
        <v>0</v>
      </c>
    </row>
    <row r="33" spans="1:11" x14ac:dyDescent="0.25">
      <c r="A33" t="s">
        <v>483</v>
      </c>
      <c r="B33" s="31">
        <v>0</v>
      </c>
      <c r="C33" s="31">
        <v>0</v>
      </c>
      <c r="D33" s="31">
        <v>0</v>
      </c>
      <c r="E33" s="31">
        <v>0</v>
      </c>
      <c r="F33" s="31">
        <v>0</v>
      </c>
      <c r="G33" s="31">
        <v>0</v>
      </c>
      <c r="H33" s="31">
        <v>0</v>
      </c>
      <c r="I33" s="31">
        <v>0</v>
      </c>
      <c r="J33" s="31">
        <v>0</v>
      </c>
      <c r="K33" s="31">
        <v>0</v>
      </c>
    </row>
    <row r="34" spans="1:11" x14ac:dyDescent="0.25">
      <c r="A34" t="s">
        <v>519</v>
      </c>
      <c r="B34" s="31">
        <v>0</v>
      </c>
      <c r="C34" s="31">
        <v>0</v>
      </c>
      <c r="D34" s="31">
        <v>0</v>
      </c>
      <c r="E34" s="31">
        <v>0.5</v>
      </c>
      <c r="F34" s="31">
        <v>0.5</v>
      </c>
      <c r="G34" s="31">
        <v>0.5</v>
      </c>
      <c r="H34" s="31">
        <v>0</v>
      </c>
      <c r="I34" s="31">
        <v>0</v>
      </c>
      <c r="J34" s="31">
        <v>0</v>
      </c>
      <c r="K34" s="31">
        <v>0</v>
      </c>
    </row>
    <row r="35" spans="1:11" x14ac:dyDescent="0.25">
      <c r="A35" t="s">
        <v>718</v>
      </c>
      <c r="B35" s="31">
        <v>0</v>
      </c>
      <c r="C35" s="31">
        <v>0</v>
      </c>
      <c r="D35" s="31">
        <v>0</v>
      </c>
      <c r="E35" s="31">
        <v>0.5</v>
      </c>
      <c r="F35" s="31">
        <v>0.5</v>
      </c>
      <c r="G35" s="31">
        <v>0.5</v>
      </c>
      <c r="H35" s="31">
        <v>0</v>
      </c>
      <c r="I35" s="31">
        <v>0</v>
      </c>
      <c r="J35" s="31">
        <v>0</v>
      </c>
      <c r="K35" s="31">
        <v>0</v>
      </c>
    </row>
    <row r="36" spans="1:11" x14ac:dyDescent="0.25">
      <c r="A36" t="s">
        <v>159</v>
      </c>
      <c r="B36" s="31">
        <v>0</v>
      </c>
      <c r="C36" s="31">
        <v>0</v>
      </c>
      <c r="D36" s="31">
        <v>0</v>
      </c>
      <c r="E36" s="31">
        <v>0</v>
      </c>
      <c r="F36" s="31">
        <v>0</v>
      </c>
      <c r="G36" s="31">
        <v>0</v>
      </c>
      <c r="H36" s="31">
        <v>0</v>
      </c>
      <c r="I36" s="31">
        <v>0</v>
      </c>
      <c r="J36" s="31">
        <v>0</v>
      </c>
      <c r="K36" s="31">
        <v>0</v>
      </c>
    </row>
    <row r="37" spans="1:11" x14ac:dyDescent="0.25">
      <c r="A37" t="s">
        <v>517</v>
      </c>
      <c r="B37" s="31">
        <v>0</v>
      </c>
      <c r="C37" s="31">
        <v>0</v>
      </c>
      <c r="D37" s="31">
        <v>0</v>
      </c>
      <c r="E37" s="31">
        <v>0.5</v>
      </c>
      <c r="F37" s="31">
        <v>0.5</v>
      </c>
      <c r="G37" s="31">
        <v>0.5</v>
      </c>
      <c r="H37" s="31">
        <v>0</v>
      </c>
      <c r="I37" s="31">
        <v>0</v>
      </c>
      <c r="J37" s="31">
        <v>0</v>
      </c>
      <c r="K37" s="31">
        <v>0</v>
      </c>
    </row>
    <row r="38" spans="1:11" x14ac:dyDescent="0.25">
      <c r="A38" t="s">
        <v>518</v>
      </c>
      <c r="B38" s="31">
        <v>0</v>
      </c>
      <c r="C38" s="31">
        <v>0</v>
      </c>
      <c r="D38" s="31">
        <v>0</v>
      </c>
      <c r="E38" s="31">
        <v>0</v>
      </c>
      <c r="F38" s="31">
        <v>0</v>
      </c>
      <c r="G38" s="31">
        <v>0</v>
      </c>
      <c r="H38" s="31">
        <v>0</v>
      </c>
      <c r="I38" s="31">
        <v>0</v>
      </c>
      <c r="J38" s="31">
        <v>0</v>
      </c>
      <c r="K38" s="31">
        <v>0</v>
      </c>
    </row>
    <row r="39" spans="1:11" x14ac:dyDescent="0.25">
      <c r="A39" t="s">
        <v>496</v>
      </c>
      <c r="B39" s="31">
        <v>0</v>
      </c>
      <c r="C39" s="31">
        <v>0</v>
      </c>
      <c r="D39" s="31">
        <v>0</v>
      </c>
      <c r="E39" s="31">
        <v>0.5</v>
      </c>
      <c r="F39" s="31">
        <v>0.5</v>
      </c>
      <c r="G39" s="31">
        <v>0.5</v>
      </c>
      <c r="H39" s="31">
        <v>0</v>
      </c>
      <c r="I39" s="31">
        <v>0</v>
      </c>
      <c r="J39" s="31">
        <v>0</v>
      </c>
      <c r="K39" s="31">
        <v>0</v>
      </c>
    </row>
    <row r="40" spans="1:11" x14ac:dyDescent="0.25">
      <c r="A40" t="s">
        <v>160</v>
      </c>
      <c r="B40" s="31">
        <v>0</v>
      </c>
      <c r="C40" s="31">
        <v>0</v>
      </c>
      <c r="D40" s="31">
        <v>0</v>
      </c>
      <c r="E40" s="31">
        <v>0.5</v>
      </c>
      <c r="F40" s="31">
        <v>0.5</v>
      </c>
      <c r="G40" s="31">
        <v>0.5</v>
      </c>
      <c r="H40" s="31">
        <v>0</v>
      </c>
      <c r="I40" s="31">
        <v>0</v>
      </c>
      <c r="J40" s="31">
        <v>0</v>
      </c>
      <c r="K40" s="31">
        <v>0</v>
      </c>
    </row>
    <row r="41" spans="1:11" x14ac:dyDescent="0.25">
      <c r="A41" t="s">
        <v>161</v>
      </c>
      <c r="B41" s="31" t="s">
        <v>411</v>
      </c>
      <c r="C41" s="31">
        <v>0</v>
      </c>
      <c r="D41" s="31">
        <v>1</v>
      </c>
      <c r="E41" s="31">
        <v>0.5</v>
      </c>
      <c r="F41" s="31">
        <v>0</v>
      </c>
      <c r="G41" s="31">
        <v>0</v>
      </c>
      <c r="H41" s="31">
        <v>0</v>
      </c>
      <c r="I41" s="31">
        <v>0</v>
      </c>
      <c r="J41" s="31">
        <v>0</v>
      </c>
      <c r="K41" s="31">
        <v>0</v>
      </c>
    </row>
    <row r="42" spans="1:11" x14ac:dyDescent="0.25">
      <c r="A42" t="s">
        <v>162</v>
      </c>
      <c r="B42" s="31">
        <v>0</v>
      </c>
      <c r="C42" s="31">
        <v>0</v>
      </c>
      <c r="D42" s="31">
        <v>0</v>
      </c>
      <c r="E42" s="31">
        <v>0.5</v>
      </c>
      <c r="F42" s="31">
        <v>0.5</v>
      </c>
      <c r="G42" s="31">
        <v>0.5</v>
      </c>
      <c r="H42" s="31">
        <v>0</v>
      </c>
      <c r="I42" s="31">
        <v>0</v>
      </c>
      <c r="J42" s="31">
        <v>0</v>
      </c>
      <c r="K42" s="31">
        <v>0</v>
      </c>
    </row>
    <row r="43" spans="1:11" x14ac:dyDescent="0.25">
      <c r="A43" t="s">
        <v>163</v>
      </c>
      <c r="B43" s="31" t="s">
        <v>411</v>
      </c>
      <c r="C43" s="31">
        <v>0.5</v>
      </c>
      <c r="D43" s="31">
        <v>0</v>
      </c>
      <c r="E43" s="31">
        <v>1</v>
      </c>
      <c r="F43" s="31">
        <v>1</v>
      </c>
      <c r="G43" s="31">
        <v>1</v>
      </c>
      <c r="H43" s="31" t="s">
        <v>408</v>
      </c>
      <c r="I43" s="31" t="s">
        <v>408</v>
      </c>
      <c r="J43" s="31" t="s">
        <v>408</v>
      </c>
      <c r="K43" s="31" t="s">
        <v>408</v>
      </c>
    </row>
    <row r="44" spans="1:11" x14ac:dyDescent="0.25">
      <c r="A44" t="s">
        <v>520</v>
      </c>
      <c r="B44" s="31">
        <v>0</v>
      </c>
      <c r="C44" s="31">
        <v>0</v>
      </c>
      <c r="D44" s="31">
        <v>0</v>
      </c>
      <c r="E44" s="31">
        <v>0</v>
      </c>
      <c r="F44" s="31">
        <v>0</v>
      </c>
      <c r="G44" s="31">
        <v>0</v>
      </c>
      <c r="H44" s="31">
        <v>0</v>
      </c>
      <c r="I44" s="31">
        <v>0</v>
      </c>
      <c r="J44" s="31">
        <v>0</v>
      </c>
      <c r="K44" s="31">
        <v>0</v>
      </c>
    </row>
    <row r="45" spans="1:11" x14ac:dyDescent="0.25">
      <c r="A45" t="s">
        <v>715</v>
      </c>
      <c r="B45" s="31" t="s">
        <v>408</v>
      </c>
      <c r="C45" s="31" t="s">
        <v>408</v>
      </c>
      <c r="D45" s="31" t="s">
        <v>408</v>
      </c>
      <c r="E45" s="31" t="s">
        <v>408</v>
      </c>
      <c r="F45" s="31" t="s">
        <v>408</v>
      </c>
      <c r="G45" s="31" t="s">
        <v>408</v>
      </c>
      <c r="H45" s="31" t="s">
        <v>408</v>
      </c>
      <c r="I45" s="31" t="s">
        <v>408</v>
      </c>
      <c r="J45" s="31" t="s">
        <v>408</v>
      </c>
      <c r="K45" s="31" t="s">
        <v>408</v>
      </c>
    </row>
    <row r="46" spans="1:11" x14ac:dyDescent="0.25">
      <c r="A46" t="s">
        <v>164</v>
      </c>
      <c r="B46" s="31" t="s">
        <v>408</v>
      </c>
      <c r="C46" s="31" t="s">
        <v>408</v>
      </c>
      <c r="D46" s="31" t="s">
        <v>408</v>
      </c>
      <c r="E46" s="31" t="s">
        <v>408</v>
      </c>
      <c r="F46" s="31" t="s">
        <v>408</v>
      </c>
      <c r="G46" s="31" t="s">
        <v>408</v>
      </c>
      <c r="H46" s="31" t="s">
        <v>408</v>
      </c>
      <c r="I46" s="31" t="s">
        <v>408</v>
      </c>
      <c r="J46" s="31" t="s">
        <v>408</v>
      </c>
      <c r="K46" s="31" t="s">
        <v>408</v>
      </c>
    </row>
    <row r="47" spans="1:11" x14ac:dyDescent="0.25">
      <c r="A47" t="s">
        <v>165</v>
      </c>
      <c r="B47" s="31">
        <v>0</v>
      </c>
      <c r="C47" s="31">
        <v>0</v>
      </c>
      <c r="D47" s="31">
        <v>0</v>
      </c>
      <c r="E47" s="31">
        <v>0.5</v>
      </c>
      <c r="F47" s="31">
        <v>0.5</v>
      </c>
      <c r="G47" s="31">
        <v>0.5</v>
      </c>
      <c r="H47" s="31">
        <v>0</v>
      </c>
      <c r="I47" s="31">
        <v>0</v>
      </c>
      <c r="J47" s="31">
        <v>0</v>
      </c>
      <c r="K47" s="31">
        <v>0</v>
      </c>
    </row>
    <row r="48" spans="1:11" x14ac:dyDescent="0.25">
      <c r="A48" t="s">
        <v>521</v>
      </c>
      <c r="B48" s="31">
        <v>0</v>
      </c>
      <c r="C48" s="31">
        <v>0</v>
      </c>
      <c r="D48" s="31">
        <v>0</v>
      </c>
      <c r="E48" s="31">
        <v>0</v>
      </c>
      <c r="F48" s="31">
        <v>0</v>
      </c>
      <c r="G48" s="31">
        <v>0</v>
      </c>
      <c r="H48" s="31">
        <v>0</v>
      </c>
      <c r="I48" s="31">
        <v>0</v>
      </c>
      <c r="J48" s="31">
        <v>0</v>
      </c>
      <c r="K48" s="31">
        <v>0</v>
      </c>
    </row>
    <row r="49" spans="1:11" x14ac:dyDescent="0.25">
      <c r="A49" t="s">
        <v>166</v>
      </c>
      <c r="B49" s="31">
        <v>0</v>
      </c>
      <c r="C49" s="31">
        <v>0</v>
      </c>
      <c r="D49" s="31">
        <v>0</v>
      </c>
      <c r="E49" s="31">
        <v>0</v>
      </c>
      <c r="F49" s="31">
        <v>0</v>
      </c>
      <c r="G49" s="31">
        <v>0</v>
      </c>
      <c r="H49" s="31">
        <v>0</v>
      </c>
      <c r="I49" s="31">
        <v>0</v>
      </c>
      <c r="J49" s="31">
        <v>0</v>
      </c>
      <c r="K49" s="31">
        <v>0</v>
      </c>
    </row>
    <row r="50" spans="1:11" x14ac:dyDescent="0.25">
      <c r="A50" t="s">
        <v>167</v>
      </c>
      <c r="B50" s="31">
        <v>0</v>
      </c>
      <c r="C50" s="31">
        <v>0</v>
      </c>
      <c r="D50" s="31">
        <v>0</v>
      </c>
      <c r="E50" s="31">
        <v>0</v>
      </c>
      <c r="F50" s="31">
        <v>0</v>
      </c>
      <c r="G50" s="31">
        <v>0</v>
      </c>
      <c r="H50" s="31">
        <v>0</v>
      </c>
      <c r="I50" s="31">
        <v>0</v>
      </c>
      <c r="J50" s="31">
        <v>0</v>
      </c>
      <c r="K50" s="31">
        <v>0</v>
      </c>
    </row>
    <row r="51" spans="1:11" x14ac:dyDescent="0.25">
      <c r="A51" t="s">
        <v>493</v>
      </c>
      <c r="B51" s="31">
        <v>0</v>
      </c>
      <c r="C51" s="31">
        <v>0</v>
      </c>
      <c r="D51" s="31">
        <v>0</v>
      </c>
      <c r="E51" s="31">
        <v>0</v>
      </c>
      <c r="F51" s="31">
        <v>0</v>
      </c>
      <c r="G51" s="31">
        <v>0</v>
      </c>
      <c r="H51" s="31">
        <v>0</v>
      </c>
      <c r="I51" s="31">
        <v>0</v>
      </c>
      <c r="J51" s="31">
        <v>0</v>
      </c>
      <c r="K51" s="31">
        <v>0</v>
      </c>
    </row>
    <row r="52" spans="1:11" x14ac:dyDescent="0.25">
      <c r="A52" t="s">
        <v>522</v>
      </c>
      <c r="B52" s="31">
        <v>0</v>
      </c>
      <c r="C52" s="31">
        <v>0</v>
      </c>
      <c r="D52" s="31">
        <v>0</v>
      </c>
      <c r="E52" s="31">
        <v>0</v>
      </c>
      <c r="F52" s="31">
        <v>0</v>
      </c>
      <c r="G52" s="31">
        <v>0</v>
      </c>
      <c r="H52" s="31">
        <v>0</v>
      </c>
      <c r="I52" s="31">
        <v>0</v>
      </c>
      <c r="J52" s="31">
        <v>0</v>
      </c>
      <c r="K52" s="31">
        <v>0</v>
      </c>
    </row>
    <row r="53" spans="1:11" x14ac:dyDescent="0.25">
      <c r="A53" t="s">
        <v>523</v>
      </c>
      <c r="B53" s="31">
        <v>0</v>
      </c>
      <c r="C53" s="31">
        <v>0</v>
      </c>
      <c r="D53" s="31">
        <v>0</v>
      </c>
      <c r="E53" s="31">
        <v>0.5</v>
      </c>
      <c r="F53" s="31">
        <v>0.5</v>
      </c>
      <c r="G53" s="31">
        <v>0.5</v>
      </c>
      <c r="H53" s="31">
        <v>0</v>
      </c>
      <c r="I53" s="31">
        <v>0</v>
      </c>
      <c r="J53" s="31">
        <v>0</v>
      </c>
      <c r="K53" s="31">
        <v>0</v>
      </c>
    </row>
    <row r="54" spans="1:11" x14ac:dyDescent="0.25">
      <c r="A54" t="s">
        <v>524</v>
      </c>
      <c r="B54" s="31">
        <v>0</v>
      </c>
      <c r="C54" s="31">
        <v>0</v>
      </c>
      <c r="D54" s="31">
        <v>0</v>
      </c>
      <c r="E54" s="31">
        <v>0</v>
      </c>
      <c r="F54" s="31">
        <v>0</v>
      </c>
      <c r="G54" s="31">
        <v>0</v>
      </c>
      <c r="H54" s="31">
        <v>0</v>
      </c>
      <c r="I54" s="31">
        <v>0</v>
      </c>
      <c r="J54" s="31">
        <v>0</v>
      </c>
      <c r="K54" s="31">
        <v>0</v>
      </c>
    </row>
    <row r="55" spans="1:11" x14ac:dyDescent="0.25">
      <c r="A55" t="s">
        <v>719</v>
      </c>
      <c r="B55" s="31">
        <v>0</v>
      </c>
      <c r="C55" s="31">
        <v>0</v>
      </c>
      <c r="D55" s="31">
        <v>0</v>
      </c>
      <c r="E55" s="31">
        <v>0</v>
      </c>
      <c r="F55" s="31">
        <v>0</v>
      </c>
      <c r="G55" s="31">
        <v>0</v>
      </c>
      <c r="H55" s="31">
        <v>0</v>
      </c>
      <c r="I55" s="31">
        <v>0</v>
      </c>
      <c r="J55" s="31">
        <v>0</v>
      </c>
      <c r="K55" s="31">
        <v>0</v>
      </c>
    </row>
    <row r="56" spans="1:11" x14ac:dyDescent="0.25">
      <c r="A56" t="s">
        <v>168</v>
      </c>
      <c r="B56" s="31">
        <v>0</v>
      </c>
      <c r="C56" s="31">
        <v>0</v>
      </c>
      <c r="D56" s="31">
        <v>0</v>
      </c>
      <c r="E56" s="31">
        <v>0</v>
      </c>
      <c r="F56" s="31">
        <v>0</v>
      </c>
      <c r="G56" s="31">
        <v>0</v>
      </c>
      <c r="H56" s="31">
        <v>0</v>
      </c>
      <c r="I56" s="31">
        <v>0</v>
      </c>
      <c r="J56" s="31">
        <v>0</v>
      </c>
      <c r="K56" s="31">
        <v>0</v>
      </c>
    </row>
    <row r="57" spans="1:11" x14ac:dyDescent="0.25">
      <c r="A57" t="s">
        <v>525</v>
      </c>
      <c r="B57" s="31">
        <v>0</v>
      </c>
      <c r="C57" s="31">
        <v>0</v>
      </c>
      <c r="D57" s="31">
        <v>0</v>
      </c>
      <c r="E57" s="31">
        <v>0</v>
      </c>
      <c r="F57" s="31">
        <v>0</v>
      </c>
      <c r="G57" s="31">
        <v>0</v>
      </c>
      <c r="H57" s="31">
        <v>0</v>
      </c>
      <c r="I57" s="31">
        <v>0</v>
      </c>
      <c r="J57" s="31">
        <v>0</v>
      </c>
      <c r="K57" s="31">
        <v>0</v>
      </c>
    </row>
    <row r="58" spans="1:11" x14ac:dyDescent="0.25">
      <c r="A58" t="s">
        <v>169</v>
      </c>
      <c r="B58" s="31">
        <v>0</v>
      </c>
      <c r="C58" s="31">
        <v>0</v>
      </c>
      <c r="D58" s="31">
        <v>0</v>
      </c>
      <c r="E58" s="31">
        <v>0</v>
      </c>
      <c r="F58" s="31">
        <v>0</v>
      </c>
      <c r="G58" s="31">
        <v>0</v>
      </c>
      <c r="H58" s="31">
        <v>0</v>
      </c>
      <c r="I58" s="31">
        <v>0</v>
      </c>
      <c r="J58" s="31">
        <v>0</v>
      </c>
      <c r="K58" s="31">
        <v>0</v>
      </c>
    </row>
    <row r="59" spans="1:11" x14ac:dyDescent="0.25">
      <c r="A59" t="s">
        <v>170</v>
      </c>
      <c r="B59" s="31" t="s">
        <v>408</v>
      </c>
      <c r="C59" s="31" t="s">
        <v>408</v>
      </c>
      <c r="D59" s="31" t="s">
        <v>408</v>
      </c>
      <c r="E59" s="31" t="s">
        <v>408</v>
      </c>
      <c r="F59" s="31" t="s">
        <v>408</v>
      </c>
      <c r="G59" s="31" t="s">
        <v>408</v>
      </c>
      <c r="H59" s="31" t="s">
        <v>408</v>
      </c>
      <c r="I59" s="31" t="s">
        <v>408</v>
      </c>
      <c r="J59" s="31" t="s">
        <v>408</v>
      </c>
      <c r="K59" s="31" t="s">
        <v>408</v>
      </c>
    </row>
    <row r="60" spans="1:11" x14ac:dyDescent="0.25">
      <c r="A60" t="s">
        <v>171</v>
      </c>
      <c r="B60" s="31">
        <v>0</v>
      </c>
      <c r="C60" s="31">
        <v>0</v>
      </c>
      <c r="D60" s="31">
        <v>0</v>
      </c>
      <c r="E60" s="31">
        <v>0</v>
      </c>
      <c r="F60" s="31">
        <v>0</v>
      </c>
      <c r="G60" s="31">
        <v>0</v>
      </c>
      <c r="H60" s="31">
        <v>0</v>
      </c>
      <c r="I60" s="31">
        <v>0</v>
      </c>
      <c r="J60" s="31">
        <v>0</v>
      </c>
      <c r="K60" s="31">
        <v>0</v>
      </c>
    </row>
    <row r="61" spans="1:11" x14ac:dyDescent="0.25">
      <c r="A61" t="s">
        <v>172</v>
      </c>
      <c r="B61" s="31">
        <v>0</v>
      </c>
      <c r="C61" s="31">
        <v>1</v>
      </c>
      <c r="D61" s="31">
        <v>0</v>
      </c>
      <c r="E61" s="31" t="s">
        <v>408</v>
      </c>
      <c r="F61" s="31" t="s">
        <v>408</v>
      </c>
      <c r="G61" s="31" t="s">
        <v>408</v>
      </c>
      <c r="H61" s="31" t="s">
        <v>408</v>
      </c>
      <c r="I61" s="31" t="s">
        <v>408</v>
      </c>
      <c r="J61" s="31" t="s">
        <v>408</v>
      </c>
      <c r="K61" s="31" t="s">
        <v>408</v>
      </c>
    </row>
    <row r="62" spans="1:11" x14ac:dyDescent="0.25">
      <c r="A62" t="s">
        <v>526</v>
      </c>
      <c r="B62" s="31">
        <v>0</v>
      </c>
      <c r="C62" s="31">
        <v>0</v>
      </c>
      <c r="D62" s="31">
        <v>0</v>
      </c>
      <c r="E62" s="31">
        <v>0</v>
      </c>
      <c r="F62" s="31">
        <v>0</v>
      </c>
      <c r="G62" s="31">
        <v>0</v>
      </c>
      <c r="H62" s="31">
        <v>0</v>
      </c>
      <c r="I62" s="31">
        <v>0</v>
      </c>
      <c r="J62" s="31">
        <v>0</v>
      </c>
      <c r="K62" s="31">
        <v>0</v>
      </c>
    </row>
    <row r="63" spans="1:11" x14ac:dyDescent="0.25">
      <c r="A63" t="s">
        <v>527</v>
      </c>
      <c r="B63" s="31">
        <v>0</v>
      </c>
      <c r="C63" s="31">
        <v>0</v>
      </c>
      <c r="D63" s="31">
        <v>0</v>
      </c>
      <c r="E63" s="31">
        <v>0</v>
      </c>
      <c r="F63" s="31">
        <v>0</v>
      </c>
      <c r="G63" s="31">
        <v>0</v>
      </c>
      <c r="H63" s="31">
        <v>0</v>
      </c>
      <c r="I63" s="31">
        <v>0</v>
      </c>
      <c r="J63" s="31">
        <v>0</v>
      </c>
      <c r="K63" s="31">
        <v>0</v>
      </c>
    </row>
    <row r="64" spans="1:11" x14ac:dyDescent="0.25">
      <c r="A64" t="s">
        <v>528</v>
      </c>
      <c r="B64" s="31">
        <v>0</v>
      </c>
      <c r="C64" s="31">
        <v>0</v>
      </c>
      <c r="D64" s="31">
        <v>0</v>
      </c>
      <c r="E64" s="31">
        <v>0</v>
      </c>
      <c r="F64" s="31">
        <v>0</v>
      </c>
      <c r="G64" s="31">
        <v>0</v>
      </c>
      <c r="H64" s="31">
        <v>0</v>
      </c>
      <c r="I64" s="31">
        <v>0</v>
      </c>
      <c r="J64" s="31">
        <v>0</v>
      </c>
      <c r="K64" s="31">
        <v>0</v>
      </c>
    </row>
    <row r="65" spans="1:11" x14ac:dyDescent="0.25">
      <c r="A65" t="s">
        <v>529</v>
      </c>
      <c r="B65" s="31">
        <v>0</v>
      </c>
      <c r="C65" s="31">
        <v>0</v>
      </c>
      <c r="D65" s="31">
        <v>0</v>
      </c>
      <c r="E65" s="31">
        <v>0</v>
      </c>
      <c r="F65" s="31">
        <v>0</v>
      </c>
      <c r="G65" s="31">
        <v>0</v>
      </c>
      <c r="H65" s="31">
        <v>0</v>
      </c>
      <c r="I65" s="31">
        <v>0</v>
      </c>
      <c r="J65" s="31">
        <v>0</v>
      </c>
      <c r="K65" s="31">
        <v>0</v>
      </c>
    </row>
    <row r="66" spans="1:11" x14ac:dyDescent="0.25">
      <c r="A66" t="s">
        <v>530</v>
      </c>
      <c r="B66" s="31">
        <v>0</v>
      </c>
      <c r="C66" s="31">
        <v>0</v>
      </c>
      <c r="D66" s="31">
        <v>0</v>
      </c>
      <c r="E66" s="31">
        <v>0.5</v>
      </c>
      <c r="F66" s="31">
        <v>0.5</v>
      </c>
      <c r="G66" s="31">
        <v>0.5</v>
      </c>
      <c r="H66" s="31">
        <v>0</v>
      </c>
      <c r="I66" s="31">
        <v>0</v>
      </c>
      <c r="J66" s="31">
        <v>0</v>
      </c>
      <c r="K66" s="31">
        <v>0</v>
      </c>
    </row>
    <row r="67" spans="1:11" x14ac:dyDescent="0.25">
      <c r="A67" t="s">
        <v>173</v>
      </c>
      <c r="B67" s="31">
        <v>0</v>
      </c>
      <c r="C67" s="31">
        <v>0</v>
      </c>
      <c r="D67" s="31">
        <v>0</v>
      </c>
      <c r="E67" s="31">
        <v>1</v>
      </c>
      <c r="F67" s="31">
        <v>1</v>
      </c>
      <c r="G67" s="31">
        <v>1</v>
      </c>
      <c r="H67" s="31">
        <v>0</v>
      </c>
      <c r="I67" s="31">
        <v>0</v>
      </c>
      <c r="J67" s="31">
        <v>0</v>
      </c>
      <c r="K67" s="31">
        <v>0</v>
      </c>
    </row>
    <row r="68" spans="1:11" x14ac:dyDescent="0.25">
      <c r="A68" t="s">
        <v>531</v>
      </c>
      <c r="B68" s="31">
        <v>0</v>
      </c>
      <c r="C68" s="31">
        <v>0</v>
      </c>
      <c r="D68" s="31">
        <v>0</v>
      </c>
      <c r="E68" s="31">
        <v>0.5</v>
      </c>
      <c r="F68" s="31">
        <v>0.5</v>
      </c>
      <c r="G68" s="31">
        <v>0.5</v>
      </c>
      <c r="H68" s="31">
        <v>0</v>
      </c>
      <c r="I68" s="31">
        <v>0</v>
      </c>
      <c r="J68" s="31">
        <v>0</v>
      </c>
      <c r="K68" s="31">
        <v>0</v>
      </c>
    </row>
    <row r="69" spans="1:11" x14ac:dyDescent="0.25">
      <c r="A69" t="s">
        <v>473</v>
      </c>
      <c r="B69" s="31">
        <v>0</v>
      </c>
      <c r="C69" s="31">
        <v>0</v>
      </c>
      <c r="D69" s="31">
        <v>0</v>
      </c>
      <c r="E69" s="31">
        <v>0.5</v>
      </c>
      <c r="F69" s="31">
        <v>0.5</v>
      </c>
      <c r="G69" s="31">
        <v>0.5</v>
      </c>
      <c r="H69" s="31">
        <v>0</v>
      </c>
      <c r="I69" s="31">
        <v>0</v>
      </c>
      <c r="J69" s="31">
        <v>0</v>
      </c>
      <c r="K69" s="31">
        <v>0</v>
      </c>
    </row>
    <row r="70" spans="1:11" x14ac:dyDescent="0.25">
      <c r="A70" t="s">
        <v>474</v>
      </c>
      <c r="B70" s="31" t="s">
        <v>411</v>
      </c>
      <c r="C70" s="31">
        <v>0.5</v>
      </c>
      <c r="D70" s="31">
        <v>0</v>
      </c>
      <c r="E70" s="31">
        <v>1</v>
      </c>
      <c r="F70" s="31">
        <v>1</v>
      </c>
      <c r="G70" s="31">
        <v>1</v>
      </c>
      <c r="H70" s="31" t="s">
        <v>408</v>
      </c>
      <c r="I70" s="31" t="s">
        <v>408</v>
      </c>
      <c r="J70" s="31" t="s">
        <v>408</v>
      </c>
      <c r="K70" s="31" t="s">
        <v>408</v>
      </c>
    </row>
    <row r="71" spans="1:11" x14ac:dyDescent="0.25">
      <c r="A71" t="s">
        <v>174</v>
      </c>
      <c r="B71" s="31">
        <v>0</v>
      </c>
      <c r="C71" s="31">
        <v>0</v>
      </c>
      <c r="D71" s="31">
        <v>0</v>
      </c>
      <c r="E71" s="31">
        <v>0.5</v>
      </c>
      <c r="F71" s="31">
        <v>0.5</v>
      </c>
      <c r="G71" s="31">
        <v>0.5</v>
      </c>
      <c r="H71" s="31">
        <v>0</v>
      </c>
      <c r="I71" s="31">
        <v>0</v>
      </c>
      <c r="J71" s="31">
        <v>0</v>
      </c>
      <c r="K71" s="31">
        <v>0</v>
      </c>
    </row>
    <row r="72" spans="1:11" x14ac:dyDescent="0.25">
      <c r="A72" t="s">
        <v>175</v>
      </c>
      <c r="B72" s="31">
        <v>0</v>
      </c>
      <c r="C72" s="31">
        <v>0</v>
      </c>
      <c r="D72" s="31">
        <v>0</v>
      </c>
      <c r="E72" s="31">
        <v>1</v>
      </c>
      <c r="F72" s="31">
        <v>1</v>
      </c>
      <c r="G72" s="31">
        <v>0.5</v>
      </c>
      <c r="H72" s="31">
        <v>0</v>
      </c>
      <c r="I72" s="31">
        <v>0</v>
      </c>
      <c r="J72" s="31">
        <v>0</v>
      </c>
      <c r="K72" s="31">
        <v>0</v>
      </c>
    </row>
    <row r="73" spans="1:11" x14ac:dyDescent="0.25">
      <c r="A73" t="s">
        <v>176</v>
      </c>
      <c r="B73" s="31">
        <v>0</v>
      </c>
      <c r="C73" s="31">
        <v>0</v>
      </c>
      <c r="D73" s="31">
        <v>0</v>
      </c>
      <c r="E73" s="31">
        <v>0.5</v>
      </c>
      <c r="F73" s="31">
        <v>0.5</v>
      </c>
      <c r="G73" s="31">
        <v>0.5</v>
      </c>
      <c r="H73" s="31">
        <v>0</v>
      </c>
      <c r="I73" s="31">
        <v>0</v>
      </c>
      <c r="J73" s="31">
        <v>0</v>
      </c>
      <c r="K73" s="31">
        <v>0</v>
      </c>
    </row>
    <row r="74" spans="1:11" x14ac:dyDescent="0.25">
      <c r="A74" t="s">
        <v>177</v>
      </c>
      <c r="B74" s="31" t="s">
        <v>408</v>
      </c>
      <c r="C74" s="31" t="s">
        <v>408</v>
      </c>
      <c r="D74" s="31" t="s">
        <v>408</v>
      </c>
      <c r="E74" s="31" t="s">
        <v>408</v>
      </c>
      <c r="F74" s="31" t="s">
        <v>408</v>
      </c>
      <c r="G74" s="31" t="s">
        <v>408</v>
      </c>
      <c r="H74" s="31" t="s">
        <v>408</v>
      </c>
      <c r="I74" s="31" t="s">
        <v>408</v>
      </c>
      <c r="J74" s="31" t="s">
        <v>408</v>
      </c>
      <c r="K74" s="31" t="s">
        <v>408</v>
      </c>
    </row>
    <row r="75" spans="1:11" x14ac:dyDescent="0.25">
      <c r="A75" t="s">
        <v>532</v>
      </c>
      <c r="B75" s="31" t="s">
        <v>408</v>
      </c>
      <c r="C75" s="31" t="s">
        <v>408</v>
      </c>
      <c r="D75" s="31" t="s">
        <v>408</v>
      </c>
      <c r="E75" s="31" t="s">
        <v>408</v>
      </c>
      <c r="F75" s="31" t="s">
        <v>408</v>
      </c>
      <c r="G75" s="31" t="s">
        <v>408</v>
      </c>
      <c r="H75" s="31" t="s">
        <v>408</v>
      </c>
      <c r="I75" s="31" t="s">
        <v>408</v>
      </c>
      <c r="J75" s="31" t="s">
        <v>408</v>
      </c>
      <c r="K75" s="31" t="s">
        <v>408</v>
      </c>
    </row>
    <row r="76" spans="1:11" x14ac:dyDescent="0.25">
      <c r="A76" t="s">
        <v>533</v>
      </c>
      <c r="B76" s="31">
        <v>0</v>
      </c>
      <c r="C76" s="31">
        <v>0</v>
      </c>
      <c r="D76" s="31">
        <v>0</v>
      </c>
      <c r="E76" s="31">
        <v>0</v>
      </c>
      <c r="F76" s="31">
        <v>0</v>
      </c>
      <c r="G76" s="31">
        <v>0</v>
      </c>
      <c r="H76" s="31">
        <v>0</v>
      </c>
      <c r="I76" s="31">
        <v>0</v>
      </c>
      <c r="J76" s="31">
        <v>0</v>
      </c>
      <c r="K76" s="31">
        <v>0</v>
      </c>
    </row>
    <row r="77" spans="1:11" x14ac:dyDescent="0.25">
      <c r="A77" t="s">
        <v>534</v>
      </c>
      <c r="B77" s="31">
        <v>0</v>
      </c>
      <c r="C77" s="31">
        <v>0</v>
      </c>
      <c r="D77" s="31">
        <v>0</v>
      </c>
      <c r="E77" s="31">
        <v>0</v>
      </c>
      <c r="F77" s="31">
        <v>0</v>
      </c>
      <c r="G77" s="31">
        <v>0</v>
      </c>
      <c r="H77" s="31">
        <v>0</v>
      </c>
      <c r="I77" s="31">
        <v>0</v>
      </c>
      <c r="J77" s="31">
        <v>0</v>
      </c>
      <c r="K77" s="31">
        <v>0</v>
      </c>
    </row>
    <row r="78" spans="1:11" x14ac:dyDescent="0.25">
      <c r="A78" t="s">
        <v>178</v>
      </c>
      <c r="B78" s="31">
        <v>0</v>
      </c>
      <c r="C78" s="31">
        <v>0</v>
      </c>
      <c r="D78" s="31">
        <v>0</v>
      </c>
      <c r="E78" s="31">
        <v>0.5</v>
      </c>
      <c r="F78" s="31">
        <v>0.5</v>
      </c>
      <c r="G78" s="31">
        <v>0.5</v>
      </c>
      <c r="H78" s="31">
        <v>0</v>
      </c>
      <c r="I78" s="31">
        <v>0</v>
      </c>
      <c r="J78" s="31">
        <v>0</v>
      </c>
      <c r="K78" s="31">
        <v>0</v>
      </c>
    </row>
    <row r="79" spans="1:11" x14ac:dyDescent="0.25">
      <c r="A79" t="s">
        <v>179</v>
      </c>
      <c r="B79" s="31">
        <v>0</v>
      </c>
      <c r="C79" s="31">
        <v>0</v>
      </c>
      <c r="D79" s="31">
        <v>0</v>
      </c>
      <c r="E79" s="31">
        <v>0</v>
      </c>
      <c r="F79" s="31">
        <v>0</v>
      </c>
      <c r="G79" s="31">
        <v>0</v>
      </c>
      <c r="H79" s="31">
        <v>0</v>
      </c>
      <c r="I79" s="31">
        <v>0</v>
      </c>
      <c r="J79" s="31">
        <v>0</v>
      </c>
      <c r="K79" s="31">
        <v>0</v>
      </c>
    </row>
    <row r="80" spans="1:11" x14ac:dyDescent="0.25">
      <c r="A80" t="s">
        <v>720</v>
      </c>
      <c r="B80" s="31" t="s">
        <v>411</v>
      </c>
      <c r="C80" s="31" t="s">
        <v>408</v>
      </c>
      <c r="D80" s="31">
        <v>0</v>
      </c>
      <c r="E80" s="31" t="s">
        <v>408</v>
      </c>
      <c r="F80" s="31" t="s">
        <v>408</v>
      </c>
      <c r="G80" s="31" t="s">
        <v>408</v>
      </c>
      <c r="H80" s="31" t="s">
        <v>408</v>
      </c>
      <c r="I80" s="31" t="s">
        <v>408</v>
      </c>
      <c r="J80" s="31" t="s">
        <v>408</v>
      </c>
      <c r="K80" s="31" t="s">
        <v>408</v>
      </c>
    </row>
    <row r="81" spans="1:11" x14ac:dyDescent="0.25">
      <c r="A81" t="s">
        <v>721</v>
      </c>
      <c r="B81" s="31">
        <v>0</v>
      </c>
      <c r="C81" s="31">
        <v>0</v>
      </c>
      <c r="D81" s="31">
        <v>0</v>
      </c>
      <c r="E81" s="31">
        <v>1</v>
      </c>
      <c r="F81" s="31">
        <v>1</v>
      </c>
      <c r="G81" s="31">
        <v>0.5</v>
      </c>
      <c r="H81" s="31">
        <v>0</v>
      </c>
      <c r="I81" s="31">
        <v>0</v>
      </c>
      <c r="J81" s="31">
        <v>0</v>
      </c>
      <c r="K81" s="31">
        <v>0</v>
      </c>
    </row>
    <row r="82" spans="1:11" x14ac:dyDescent="0.25">
      <c r="A82" t="s">
        <v>180</v>
      </c>
      <c r="B82" s="31">
        <v>0</v>
      </c>
      <c r="C82" s="31">
        <v>0</v>
      </c>
      <c r="D82" s="31">
        <v>0</v>
      </c>
      <c r="E82" s="31">
        <v>0.75</v>
      </c>
      <c r="F82" s="31">
        <v>0.5</v>
      </c>
      <c r="G82" s="31">
        <v>0.5</v>
      </c>
      <c r="H82" s="31">
        <v>0</v>
      </c>
      <c r="I82" s="31">
        <v>0</v>
      </c>
      <c r="J82" s="31">
        <v>0</v>
      </c>
      <c r="K82" s="31">
        <v>0</v>
      </c>
    </row>
    <row r="83" spans="1:11" x14ac:dyDescent="0.25">
      <c r="A83" t="s">
        <v>535</v>
      </c>
      <c r="B83" s="31">
        <v>0</v>
      </c>
      <c r="C83" s="31">
        <v>0</v>
      </c>
      <c r="D83" s="31">
        <v>0</v>
      </c>
      <c r="E83" s="31">
        <v>0</v>
      </c>
      <c r="F83" s="31">
        <v>0</v>
      </c>
      <c r="G83" s="31">
        <v>0</v>
      </c>
      <c r="H83" s="31">
        <v>0</v>
      </c>
      <c r="I83" s="31">
        <v>0</v>
      </c>
      <c r="J83" s="31">
        <v>0</v>
      </c>
      <c r="K83" s="31">
        <v>0</v>
      </c>
    </row>
    <row r="84" spans="1:11" x14ac:dyDescent="0.25">
      <c r="A84" t="s">
        <v>536</v>
      </c>
      <c r="B84" s="31">
        <v>0</v>
      </c>
      <c r="C84" s="31">
        <v>0</v>
      </c>
      <c r="D84" s="31">
        <v>0</v>
      </c>
      <c r="E84" s="31">
        <v>0</v>
      </c>
      <c r="F84" s="31">
        <v>0</v>
      </c>
      <c r="G84" s="31">
        <v>0</v>
      </c>
      <c r="H84" s="31">
        <v>0</v>
      </c>
      <c r="I84" s="31">
        <v>0</v>
      </c>
      <c r="J84" s="31">
        <v>0</v>
      </c>
      <c r="K84" s="31">
        <v>0</v>
      </c>
    </row>
    <row r="85" spans="1:11" x14ac:dyDescent="0.25">
      <c r="A85" t="s">
        <v>537</v>
      </c>
      <c r="B85" s="31">
        <v>0</v>
      </c>
      <c r="C85" s="31">
        <v>0</v>
      </c>
      <c r="D85" s="31">
        <v>0</v>
      </c>
      <c r="E85" s="31">
        <v>0</v>
      </c>
      <c r="F85" s="31">
        <v>0</v>
      </c>
      <c r="G85" s="31">
        <v>0</v>
      </c>
      <c r="H85" s="31">
        <v>0</v>
      </c>
      <c r="I85" s="31">
        <v>0</v>
      </c>
      <c r="J85" s="31">
        <v>0</v>
      </c>
      <c r="K85" s="31">
        <v>0</v>
      </c>
    </row>
    <row r="86" spans="1:11" x14ac:dyDescent="0.25">
      <c r="A86" t="s">
        <v>538</v>
      </c>
      <c r="B86" s="31">
        <v>0</v>
      </c>
      <c r="C86" s="31">
        <v>0</v>
      </c>
      <c r="D86" s="31">
        <v>0</v>
      </c>
      <c r="E86" s="31">
        <v>0</v>
      </c>
      <c r="F86" s="31">
        <v>0</v>
      </c>
      <c r="G86" s="31">
        <v>0</v>
      </c>
      <c r="H86" s="31">
        <v>0</v>
      </c>
      <c r="I86" s="31">
        <v>0</v>
      </c>
      <c r="J86" s="31">
        <v>0</v>
      </c>
      <c r="K86" s="31">
        <v>0</v>
      </c>
    </row>
    <row r="87" spans="1:11" x14ac:dyDescent="0.25">
      <c r="A87" t="s">
        <v>181</v>
      </c>
      <c r="B87" s="31">
        <v>0</v>
      </c>
      <c r="C87" s="31">
        <v>0</v>
      </c>
      <c r="D87" s="31">
        <v>0</v>
      </c>
      <c r="E87" s="31">
        <v>0.75</v>
      </c>
      <c r="F87" s="31">
        <v>0.5</v>
      </c>
      <c r="G87" s="31">
        <v>0.5</v>
      </c>
      <c r="H87" s="31">
        <v>0</v>
      </c>
      <c r="I87" s="31">
        <v>0</v>
      </c>
      <c r="J87" s="31">
        <v>0</v>
      </c>
      <c r="K87" s="31">
        <v>0</v>
      </c>
    </row>
    <row r="88" spans="1:11" x14ac:dyDescent="0.25">
      <c r="A88" t="s">
        <v>539</v>
      </c>
      <c r="B88" s="31">
        <v>0</v>
      </c>
      <c r="C88" s="31">
        <v>0</v>
      </c>
      <c r="D88" s="31">
        <v>0</v>
      </c>
      <c r="E88" s="31">
        <v>0</v>
      </c>
      <c r="F88" s="31">
        <v>0</v>
      </c>
      <c r="G88" s="31">
        <v>0</v>
      </c>
      <c r="H88" s="31">
        <v>0</v>
      </c>
      <c r="I88" s="31">
        <v>0</v>
      </c>
      <c r="J88" s="31">
        <v>0</v>
      </c>
      <c r="K88" s="31">
        <v>0</v>
      </c>
    </row>
    <row r="89" spans="1:11" x14ac:dyDescent="0.25">
      <c r="A89" t="s">
        <v>182</v>
      </c>
      <c r="B89" s="31">
        <v>0</v>
      </c>
      <c r="C89" s="31">
        <v>0</v>
      </c>
      <c r="D89" s="31">
        <v>0</v>
      </c>
      <c r="E89" s="31">
        <v>0</v>
      </c>
      <c r="F89" s="31">
        <v>0</v>
      </c>
      <c r="G89" s="31">
        <v>0</v>
      </c>
      <c r="H89" s="31">
        <v>0</v>
      </c>
      <c r="I89" s="31">
        <v>0</v>
      </c>
      <c r="J89" s="31">
        <v>0</v>
      </c>
      <c r="K89" s="31">
        <v>0</v>
      </c>
    </row>
    <row r="90" spans="1:11" x14ac:dyDescent="0.25">
      <c r="A90" t="s">
        <v>183</v>
      </c>
      <c r="B90" s="31">
        <v>0</v>
      </c>
      <c r="C90" s="31">
        <v>0</v>
      </c>
      <c r="D90" s="31">
        <v>0</v>
      </c>
      <c r="E90" s="31">
        <v>0.5</v>
      </c>
      <c r="F90" s="31">
        <v>0.5</v>
      </c>
      <c r="G90" s="31">
        <v>0.5</v>
      </c>
      <c r="H90" s="31">
        <v>0</v>
      </c>
      <c r="I90" s="31">
        <v>0</v>
      </c>
      <c r="J90" s="31">
        <v>0</v>
      </c>
      <c r="K90" s="31">
        <v>0</v>
      </c>
    </row>
    <row r="91" spans="1:11" x14ac:dyDescent="0.25">
      <c r="A91" t="s">
        <v>184</v>
      </c>
      <c r="B91" s="31">
        <v>0</v>
      </c>
      <c r="C91" s="31">
        <v>0</v>
      </c>
      <c r="D91" s="31">
        <v>0</v>
      </c>
      <c r="E91" s="31">
        <v>0.5</v>
      </c>
      <c r="F91" s="31">
        <v>0.5</v>
      </c>
      <c r="G91" s="31">
        <v>0.5</v>
      </c>
      <c r="H91" s="31">
        <v>0</v>
      </c>
      <c r="I91" s="31">
        <v>0</v>
      </c>
      <c r="J91" s="31">
        <v>0</v>
      </c>
      <c r="K91" s="31">
        <v>0</v>
      </c>
    </row>
    <row r="92" spans="1:11" x14ac:dyDescent="0.25">
      <c r="A92" t="s">
        <v>185</v>
      </c>
      <c r="B92" s="31" t="s">
        <v>411</v>
      </c>
      <c r="C92" s="31" t="s">
        <v>408</v>
      </c>
      <c r="D92" s="31">
        <v>0</v>
      </c>
      <c r="E92" s="31" t="s">
        <v>408</v>
      </c>
      <c r="F92" s="31" t="s">
        <v>408</v>
      </c>
      <c r="G92" s="31" t="s">
        <v>408</v>
      </c>
      <c r="H92" s="31" t="s">
        <v>408</v>
      </c>
      <c r="I92" s="31" t="s">
        <v>408</v>
      </c>
      <c r="J92" s="31" t="s">
        <v>408</v>
      </c>
      <c r="K92" s="31" t="s">
        <v>408</v>
      </c>
    </row>
    <row r="93" spans="1:11" x14ac:dyDescent="0.25">
      <c r="A93" t="s">
        <v>186</v>
      </c>
      <c r="B93" s="31" t="s">
        <v>411</v>
      </c>
      <c r="C93" s="31">
        <v>1</v>
      </c>
      <c r="D93" s="31">
        <v>0</v>
      </c>
      <c r="E93" s="31">
        <v>1</v>
      </c>
      <c r="F93" s="31">
        <v>1</v>
      </c>
      <c r="G93" s="31">
        <v>1</v>
      </c>
      <c r="H93" s="31">
        <v>0</v>
      </c>
      <c r="I93" s="31">
        <v>0</v>
      </c>
      <c r="J93" s="31">
        <v>0</v>
      </c>
      <c r="K93" s="31">
        <v>0</v>
      </c>
    </row>
    <row r="94" spans="1:11" x14ac:dyDescent="0.25">
      <c r="A94" t="s">
        <v>540</v>
      </c>
      <c r="B94" s="31">
        <v>0</v>
      </c>
      <c r="C94" s="31">
        <v>0</v>
      </c>
      <c r="D94" s="31">
        <v>0</v>
      </c>
      <c r="E94" s="31">
        <v>0</v>
      </c>
      <c r="F94" s="31">
        <v>0</v>
      </c>
      <c r="G94" s="31">
        <v>0</v>
      </c>
      <c r="H94" s="31">
        <v>0</v>
      </c>
      <c r="I94" s="31">
        <v>0</v>
      </c>
      <c r="J94" s="31">
        <v>0</v>
      </c>
      <c r="K94" s="31">
        <v>0</v>
      </c>
    </row>
    <row r="95" spans="1:11" x14ac:dyDescent="0.25">
      <c r="A95" t="s">
        <v>541</v>
      </c>
      <c r="B95" s="31">
        <v>0</v>
      </c>
      <c r="C95" s="31">
        <v>0</v>
      </c>
      <c r="D95" s="31">
        <v>0</v>
      </c>
      <c r="E95" s="31">
        <v>0</v>
      </c>
      <c r="F95" s="31">
        <v>0</v>
      </c>
      <c r="G95" s="31">
        <v>0</v>
      </c>
      <c r="H95" s="31">
        <v>0</v>
      </c>
      <c r="I95" s="31">
        <v>0</v>
      </c>
      <c r="J95" s="31">
        <v>0</v>
      </c>
      <c r="K95" s="31">
        <v>0</v>
      </c>
    </row>
    <row r="96" spans="1:11" x14ac:dyDescent="0.25">
      <c r="A96" t="s">
        <v>542</v>
      </c>
      <c r="B96" s="31">
        <v>0</v>
      </c>
      <c r="C96" s="31">
        <v>0</v>
      </c>
      <c r="D96" s="31">
        <v>0</v>
      </c>
      <c r="E96" s="31">
        <v>0</v>
      </c>
      <c r="F96" s="31">
        <v>0</v>
      </c>
      <c r="G96" s="31">
        <v>0</v>
      </c>
      <c r="H96" s="31">
        <v>0</v>
      </c>
      <c r="I96" s="31">
        <v>0</v>
      </c>
      <c r="J96" s="31">
        <v>0</v>
      </c>
      <c r="K96" s="31">
        <v>0</v>
      </c>
    </row>
    <row r="97" spans="1:11" x14ac:dyDescent="0.25">
      <c r="A97" t="s">
        <v>187</v>
      </c>
      <c r="B97" s="31">
        <v>0</v>
      </c>
      <c r="C97" s="31">
        <v>0</v>
      </c>
      <c r="D97" s="31">
        <v>0</v>
      </c>
      <c r="E97" s="31">
        <v>0.75</v>
      </c>
      <c r="F97" s="31">
        <v>0.75</v>
      </c>
      <c r="G97" s="31">
        <v>0.5</v>
      </c>
      <c r="H97" s="31">
        <v>0</v>
      </c>
      <c r="I97" s="31">
        <v>0</v>
      </c>
      <c r="J97" s="31">
        <v>0</v>
      </c>
      <c r="K97" s="31">
        <v>0</v>
      </c>
    </row>
    <row r="98" spans="1:11" x14ac:dyDescent="0.25">
      <c r="A98" t="s">
        <v>188</v>
      </c>
      <c r="B98" s="31">
        <v>0</v>
      </c>
      <c r="C98" s="31">
        <v>0</v>
      </c>
      <c r="D98" s="31">
        <v>0</v>
      </c>
      <c r="E98" s="31">
        <v>0</v>
      </c>
      <c r="F98" s="31">
        <v>0</v>
      </c>
      <c r="G98" s="31">
        <v>0</v>
      </c>
      <c r="H98" s="31">
        <v>0</v>
      </c>
      <c r="I98" s="31">
        <v>0</v>
      </c>
      <c r="J98" s="31">
        <v>0</v>
      </c>
      <c r="K98" s="31">
        <v>0</v>
      </c>
    </row>
    <row r="99" spans="1:11" x14ac:dyDescent="0.25">
      <c r="A99" t="s">
        <v>189</v>
      </c>
      <c r="B99" s="31">
        <v>0</v>
      </c>
      <c r="C99" s="31">
        <v>0</v>
      </c>
      <c r="D99" s="31">
        <v>0</v>
      </c>
      <c r="E99" s="31">
        <v>0</v>
      </c>
      <c r="F99" s="31">
        <v>0</v>
      </c>
      <c r="G99" s="31">
        <v>0</v>
      </c>
      <c r="H99" s="31">
        <v>0</v>
      </c>
      <c r="I99" s="31">
        <v>0</v>
      </c>
      <c r="J99" s="31">
        <v>0</v>
      </c>
      <c r="K99" s="31">
        <v>0</v>
      </c>
    </row>
    <row r="100" spans="1:11" x14ac:dyDescent="0.25">
      <c r="A100" t="s">
        <v>194</v>
      </c>
      <c r="B100" s="31">
        <v>0</v>
      </c>
      <c r="C100" s="31">
        <v>0</v>
      </c>
      <c r="D100" s="31">
        <v>0</v>
      </c>
      <c r="E100" s="31">
        <v>0</v>
      </c>
      <c r="F100" s="31">
        <v>0</v>
      </c>
      <c r="G100" s="31">
        <v>0</v>
      </c>
      <c r="H100" s="31">
        <v>0</v>
      </c>
      <c r="I100" s="31">
        <v>0</v>
      </c>
      <c r="J100" s="31">
        <v>0</v>
      </c>
      <c r="K100" s="31">
        <v>0</v>
      </c>
    </row>
    <row r="101" spans="1:11" x14ac:dyDescent="0.25">
      <c r="A101" t="s">
        <v>190</v>
      </c>
      <c r="B101" s="31">
        <v>0</v>
      </c>
      <c r="C101" s="31">
        <v>0</v>
      </c>
      <c r="D101" s="31">
        <v>0</v>
      </c>
      <c r="E101" s="31">
        <v>0.5</v>
      </c>
      <c r="F101" s="31">
        <v>0.5</v>
      </c>
      <c r="G101" s="31">
        <v>0.5</v>
      </c>
      <c r="H101" s="31">
        <v>0</v>
      </c>
      <c r="I101" s="31">
        <v>0</v>
      </c>
      <c r="J101" s="31">
        <v>0</v>
      </c>
      <c r="K101" s="31">
        <v>0</v>
      </c>
    </row>
    <row r="102" spans="1:11" x14ac:dyDescent="0.25">
      <c r="A102" t="s">
        <v>191</v>
      </c>
      <c r="B102" s="31" t="s">
        <v>411</v>
      </c>
      <c r="C102" s="31">
        <v>1</v>
      </c>
      <c r="D102" s="31">
        <v>0</v>
      </c>
      <c r="E102" s="31">
        <v>1</v>
      </c>
      <c r="F102" s="31">
        <v>1</v>
      </c>
      <c r="G102" s="31">
        <v>1</v>
      </c>
      <c r="H102" s="31" t="s">
        <v>408</v>
      </c>
      <c r="I102" s="31" t="s">
        <v>408</v>
      </c>
      <c r="J102" s="31" t="s">
        <v>408</v>
      </c>
      <c r="K102" s="31" t="s">
        <v>408</v>
      </c>
    </row>
    <row r="103" spans="1:11" x14ac:dyDescent="0.25">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5">
      <c r="A104" t="s">
        <v>193</v>
      </c>
      <c r="B104" s="31">
        <v>0</v>
      </c>
      <c r="C104" s="31">
        <v>0</v>
      </c>
      <c r="D104" s="31">
        <v>0</v>
      </c>
      <c r="E104" s="31">
        <v>0.5</v>
      </c>
      <c r="F104" s="31">
        <v>0.5</v>
      </c>
      <c r="G104" s="31">
        <v>0.5</v>
      </c>
      <c r="H104" s="31">
        <v>0</v>
      </c>
      <c r="I104" s="31">
        <v>0</v>
      </c>
      <c r="J104" s="31">
        <v>0</v>
      </c>
      <c r="K104" s="31">
        <v>0</v>
      </c>
    </row>
    <row r="105" spans="1:11" x14ac:dyDescent="0.25">
      <c r="A105" t="s">
        <v>195</v>
      </c>
      <c r="B105" s="31">
        <v>0</v>
      </c>
      <c r="C105" s="31">
        <v>0</v>
      </c>
      <c r="D105" s="31">
        <v>0</v>
      </c>
      <c r="E105" s="31">
        <v>0</v>
      </c>
      <c r="F105" s="31">
        <v>0</v>
      </c>
      <c r="G105" s="31">
        <v>0</v>
      </c>
      <c r="H105" s="31">
        <v>0</v>
      </c>
      <c r="I105" s="31">
        <v>0</v>
      </c>
      <c r="J105" s="31">
        <v>0</v>
      </c>
      <c r="K105" s="31">
        <v>0</v>
      </c>
    </row>
    <row r="106" spans="1:11" x14ac:dyDescent="0.25">
      <c r="A106" t="s">
        <v>722</v>
      </c>
      <c r="B106" s="31">
        <v>0</v>
      </c>
      <c r="C106" s="31">
        <v>0</v>
      </c>
      <c r="D106" s="31">
        <v>0</v>
      </c>
      <c r="E106" s="31">
        <v>0</v>
      </c>
      <c r="F106" s="31">
        <v>0</v>
      </c>
      <c r="G106" s="31">
        <v>0</v>
      </c>
      <c r="H106" s="31">
        <v>0</v>
      </c>
      <c r="I106" s="31">
        <v>0</v>
      </c>
      <c r="J106" s="31">
        <v>0</v>
      </c>
      <c r="K106" s="31">
        <v>0</v>
      </c>
    </row>
    <row r="107" spans="1:11" x14ac:dyDescent="0.25">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5">
      <c r="A108" t="s">
        <v>545</v>
      </c>
      <c r="B108" s="31">
        <v>0</v>
      </c>
      <c r="C108" s="31">
        <v>0</v>
      </c>
      <c r="D108" s="31">
        <v>0</v>
      </c>
      <c r="E108" s="31">
        <v>0</v>
      </c>
      <c r="F108" s="31">
        <v>0</v>
      </c>
      <c r="G108" s="31">
        <v>0</v>
      </c>
      <c r="H108" s="31">
        <v>0</v>
      </c>
      <c r="I108" s="31">
        <v>0</v>
      </c>
      <c r="J108" s="31">
        <v>0</v>
      </c>
      <c r="K108" s="31">
        <v>0</v>
      </c>
    </row>
    <row r="109" spans="1:11" x14ac:dyDescent="0.25">
      <c r="A109" t="s">
        <v>196</v>
      </c>
      <c r="B109" s="31">
        <v>0</v>
      </c>
      <c r="C109" s="31">
        <v>0</v>
      </c>
      <c r="D109" s="31">
        <v>0</v>
      </c>
      <c r="E109" s="31">
        <v>0</v>
      </c>
      <c r="F109" s="31">
        <v>0</v>
      </c>
      <c r="G109" s="31">
        <v>0</v>
      </c>
      <c r="H109" s="31">
        <v>0</v>
      </c>
      <c r="I109" s="31">
        <v>0</v>
      </c>
      <c r="J109" s="31">
        <v>0</v>
      </c>
      <c r="K109" s="31">
        <v>0</v>
      </c>
    </row>
    <row r="110" spans="1:11" x14ac:dyDescent="0.25">
      <c r="A110" t="s">
        <v>546</v>
      </c>
      <c r="B110" s="31">
        <v>0</v>
      </c>
      <c r="C110" s="31">
        <v>0</v>
      </c>
      <c r="D110" s="31">
        <v>0</v>
      </c>
      <c r="E110" s="31">
        <v>0.5</v>
      </c>
      <c r="F110" s="31">
        <v>0.5</v>
      </c>
      <c r="G110" s="31">
        <v>0.5</v>
      </c>
      <c r="H110" s="31">
        <v>0</v>
      </c>
      <c r="I110" s="31">
        <v>0</v>
      </c>
      <c r="J110" s="31">
        <v>0</v>
      </c>
      <c r="K110" s="31">
        <v>0</v>
      </c>
    </row>
    <row r="111" spans="1:11" x14ac:dyDescent="0.25">
      <c r="A111" t="s">
        <v>482</v>
      </c>
      <c r="B111" s="31">
        <v>0</v>
      </c>
      <c r="C111" s="31">
        <v>0</v>
      </c>
      <c r="D111" s="31">
        <v>0</v>
      </c>
      <c r="E111" s="31">
        <v>0.5</v>
      </c>
      <c r="F111" s="31">
        <v>0.5</v>
      </c>
      <c r="G111" s="31">
        <v>0.5</v>
      </c>
      <c r="H111" s="31">
        <v>0</v>
      </c>
      <c r="I111" s="31">
        <v>0</v>
      </c>
      <c r="J111" s="31">
        <v>0</v>
      </c>
      <c r="K111" s="31">
        <v>0</v>
      </c>
    </row>
    <row r="112" spans="1:11" x14ac:dyDescent="0.25">
      <c r="A112" t="s">
        <v>547</v>
      </c>
      <c r="B112" s="31">
        <v>0</v>
      </c>
      <c r="C112" s="31">
        <v>0</v>
      </c>
      <c r="D112" s="31">
        <v>0</v>
      </c>
      <c r="E112" s="31">
        <v>0</v>
      </c>
      <c r="F112" s="31">
        <v>0</v>
      </c>
      <c r="G112" s="31">
        <v>0</v>
      </c>
      <c r="H112" s="31">
        <v>0</v>
      </c>
      <c r="I112" s="31">
        <v>0</v>
      </c>
      <c r="J112" s="31">
        <v>0</v>
      </c>
      <c r="K112" s="31">
        <v>0</v>
      </c>
    </row>
    <row r="113" spans="1:11" x14ac:dyDescent="0.25">
      <c r="A113" t="s">
        <v>548</v>
      </c>
      <c r="B113" s="31">
        <v>0</v>
      </c>
      <c r="C113" s="31">
        <v>0</v>
      </c>
      <c r="D113" s="31">
        <v>0</v>
      </c>
      <c r="E113" s="31">
        <v>0</v>
      </c>
      <c r="F113" s="31">
        <v>0</v>
      </c>
      <c r="G113" s="31">
        <v>0</v>
      </c>
      <c r="H113" s="31">
        <v>0</v>
      </c>
      <c r="I113" s="31">
        <v>0</v>
      </c>
      <c r="J113" s="31">
        <v>0</v>
      </c>
      <c r="K113" s="31">
        <v>0</v>
      </c>
    </row>
    <row r="114" spans="1:11" x14ac:dyDescent="0.25">
      <c r="A114" t="s">
        <v>549</v>
      </c>
      <c r="B114" s="31">
        <v>0</v>
      </c>
      <c r="C114" s="31">
        <v>0</v>
      </c>
      <c r="D114" s="31">
        <v>0</v>
      </c>
      <c r="E114" s="31">
        <v>0</v>
      </c>
      <c r="F114" s="31">
        <v>0</v>
      </c>
      <c r="G114" s="31">
        <v>0</v>
      </c>
      <c r="H114" s="31">
        <v>0</v>
      </c>
      <c r="I114" s="31">
        <v>0</v>
      </c>
      <c r="J114" s="31">
        <v>0</v>
      </c>
      <c r="K114" s="31">
        <v>0</v>
      </c>
    </row>
    <row r="115" spans="1:11" x14ac:dyDescent="0.25">
      <c r="A115" t="s">
        <v>197</v>
      </c>
      <c r="B115" s="31">
        <v>0</v>
      </c>
      <c r="C115" s="31">
        <v>0</v>
      </c>
      <c r="D115" s="31">
        <v>0</v>
      </c>
      <c r="E115" s="31">
        <v>0</v>
      </c>
      <c r="F115" s="31">
        <v>0</v>
      </c>
      <c r="G115" s="31">
        <v>0</v>
      </c>
      <c r="H115" s="31">
        <v>0</v>
      </c>
      <c r="I115" s="31">
        <v>0</v>
      </c>
      <c r="J115" s="31">
        <v>0</v>
      </c>
      <c r="K115" s="31">
        <v>0</v>
      </c>
    </row>
    <row r="116" spans="1:11" x14ac:dyDescent="0.25">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5">
      <c r="A117" t="s">
        <v>199</v>
      </c>
      <c r="B117" s="31">
        <v>0</v>
      </c>
      <c r="C117" s="31">
        <v>0</v>
      </c>
      <c r="D117" s="31">
        <v>0</v>
      </c>
      <c r="E117" s="31">
        <v>0.75</v>
      </c>
      <c r="F117" s="31">
        <v>0.5</v>
      </c>
      <c r="G117" s="31">
        <v>0.5</v>
      </c>
      <c r="H117" s="31">
        <v>0</v>
      </c>
      <c r="I117" s="31">
        <v>0</v>
      </c>
      <c r="J117" s="31">
        <v>0</v>
      </c>
      <c r="K117" s="31">
        <v>0</v>
      </c>
    </row>
    <row r="118" spans="1:11" x14ac:dyDescent="0.25">
      <c r="A118" t="s">
        <v>550</v>
      </c>
      <c r="B118" s="31">
        <v>0</v>
      </c>
      <c r="C118" s="31">
        <v>0</v>
      </c>
      <c r="D118" s="31">
        <v>0</v>
      </c>
      <c r="E118" s="31">
        <v>0.5</v>
      </c>
      <c r="F118" s="31">
        <v>0.5</v>
      </c>
      <c r="G118" s="31">
        <v>0.5</v>
      </c>
      <c r="H118" s="31">
        <v>0</v>
      </c>
      <c r="I118" s="31">
        <v>0</v>
      </c>
      <c r="J118" s="31">
        <v>0</v>
      </c>
      <c r="K118" s="31">
        <v>0</v>
      </c>
    </row>
    <row r="119" spans="1:11" x14ac:dyDescent="0.25">
      <c r="A119" t="s">
        <v>551</v>
      </c>
      <c r="B119" s="31" t="s">
        <v>411</v>
      </c>
      <c r="C119" s="31">
        <v>0.5</v>
      </c>
      <c r="D119" s="31">
        <v>0</v>
      </c>
      <c r="E119" s="31">
        <v>1</v>
      </c>
      <c r="F119" s="31">
        <v>1</v>
      </c>
      <c r="G119" s="31">
        <v>1</v>
      </c>
      <c r="H119" s="31" t="s">
        <v>408</v>
      </c>
      <c r="I119" s="31" t="s">
        <v>408</v>
      </c>
      <c r="J119" s="31" t="s">
        <v>408</v>
      </c>
      <c r="K119" s="31" t="s">
        <v>408</v>
      </c>
    </row>
    <row r="120" spans="1:11" x14ac:dyDescent="0.25">
      <c r="A120" t="s">
        <v>552</v>
      </c>
      <c r="B120" s="31">
        <v>0</v>
      </c>
      <c r="C120" s="31">
        <v>0</v>
      </c>
      <c r="D120" s="31">
        <v>0</v>
      </c>
      <c r="E120" s="31">
        <v>0.5</v>
      </c>
      <c r="F120" s="31">
        <v>0.5</v>
      </c>
      <c r="G120" s="31">
        <v>0.5</v>
      </c>
      <c r="H120" s="31">
        <v>0</v>
      </c>
      <c r="I120" s="31">
        <v>0</v>
      </c>
      <c r="J120" s="31">
        <v>0</v>
      </c>
      <c r="K120" s="31">
        <v>0</v>
      </c>
    </row>
    <row r="121" spans="1:11" x14ac:dyDescent="0.25">
      <c r="A121" t="s">
        <v>553</v>
      </c>
      <c r="B121" s="31" t="s">
        <v>411</v>
      </c>
      <c r="C121" s="31">
        <v>0.5</v>
      </c>
      <c r="D121" s="31">
        <v>0</v>
      </c>
      <c r="E121" s="31">
        <v>1</v>
      </c>
      <c r="F121" s="31">
        <v>1</v>
      </c>
      <c r="G121" s="31">
        <v>1</v>
      </c>
      <c r="H121" s="31" t="s">
        <v>408</v>
      </c>
      <c r="I121" s="31" t="s">
        <v>408</v>
      </c>
      <c r="J121" s="31" t="s">
        <v>408</v>
      </c>
      <c r="K121" s="31" t="s">
        <v>408</v>
      </c>
    </row>
    <row r="122" spans="1:11" x14ac:dyDescent="0.25">
      <c r="A122" t="s">
        <v>200</v>
      </c>
      <c r="B122" s="31">
        <v>0</v>
      </c>
      <c r="C122" s="31">
        <v>0</v>
      </c>
      <c r="D122" s="31">
        <v>0</v>
      </c>
      <c r="E122" s="31">
        <v>0</v>
      </c>
      <c r="F122" s="31">
        <v>0</v>
      </c>
      <c r="G122" s="31">
        <v>0</v>
      </c>
      <c r="H122" s="31">
        <v>0</v>
      </c>
      <c r="I122" s="31">
        <v>0</v>
      </c>
      <c r="J122" s="31">
        <v>0</v>
      </c>
      <c r="K122" s="31">
        <v>0</v>
      </c>
    </row>
    <row r="123" spans="1:11" x14ac:dyDescent="0.25">
      <c r="A123" t="s">
        <v>554</v>
      </c>
      <c r="B123" s="31">
        <v>0</v>
      </c>
      <c r="C123" s="31">
        <v>0</v>
      </c>
      <c r="D123" s="31">
        <v>0</v>
      </c>
      <c r="E123" s="31">
        <v>0.5</v>
      </c>
      <c r="F123" s="31">
        <v>0.5</v>
      </c>
      <c r="G123" s="31">
        <v>0.5</v>
      </c>
      <c r="H123" s="31">
        <v>0</v>
      </c>
      <c r="I123" s="31">
        <v>0</v>
      </c>
      <c r="J123" s="31">
        <v>0</v>
      </c>
      <c r="K123" s="31">
        <v>0</v>
      </c>
    </row>
    <row r="124" spans="1:11" x14ac:dyDescent="0.25">
      <c r="A124" t="s">
        <v>555</v>
      </c>
      <c r="B124" s="31" t="s">
        <v>411</v>
      </c>
      <c r="C124" s="31">
        <v>0.5</v>
      </c>
      <c r="D124" s="31">
        <v>0</v>
      </c>
      <c r="E124" s="31">
        <v>1</v>
      </c>
      <c r="F124" s="31">
        <v>1</v>
      </c>
      <c r="G124" s="31">
        <v>1</v>
      </c>
      <c r="H124" s="31" t="s">
        <v>408</v>
      </c>
      <c r="I124" s="31" t="s">
        <v>408</v>
      </c>
      <c r="J124" s="31" t="s">
        <v>408</v>
      </c>
      <c r="K124" s="31" t="s">
        <v>408</v>
      </c>
    </row>
    <row r="125" spans="1:11" x14ac:dyDescent="0.25">
      <c r="A125" t="s">
        <v>201</v>
      </c>
      <c r="B125" s="31">
        <v>0</v>
      </c>
      <c r="C125" s="31">
        <v>0</v>
      </c>
      <c r="D125" s="31">
        <v>0</v>
      </c>
      <c r="E125" s="31">
        <v>0.5</v>
      </c>
      <c r="F125" s="31">
        <v>0.5</v>
      </c>
      <c r="G125" s="31">
        <v>0.5</v>
      </c>
      <c r="H125" s="31">
        <v>0</v>
      </c>
      <c r="I125" s="31">
        <v>0</v>
      </c>
      <c r="J125" s="31">
        <v>0</v>
      </c>
      <c r="K125" s="31">
        <v>0</v>
      </c>
    </row>
    <row r="126" spans="1:11" x14ac:dyDescent="0.25">
      <c r="A126" t="s">
        <v>202</v>
      </c>
      <c r="B126" s="31" t="s">
        <v>411</v>
      </c>
      <c r="C126" s="31">
        <v>0.5</v>
      </c>
      <c r="D126" s="31">
        <v>0</v>
      </c>
      <c r="E126" s="31">
        <v>1</v>
      </c>
      <c r="F126" s="31">
        <v>1</v>
      </c>
      <c r="G126" s="31">
        <v>1</v>
      </c>
      <c r="H126" s="31" t="s">
        <v>408</v>
      </c>
      <c r="I126" s="31" t="s">
        <v>408</v>
      </c>
      <c r="J126" s="31" t="s">
        <v>408</v>
      </c>
      <c r="K126" s="31" t="s">
        <v>408</v>
      </c>
    </row>
    <row r="127" spans="1:11" x14ac:dyDescent="0.25">
      <c r="A127" t="s">
        <v>203</v>
      </c>
      <c r="B127" s="31">
        <v>0</v>
      </c>
      <c r="C127" s="31">
        <v>0</v>
      </c>
      <c r="D127" s="31">
        <v>0</v>
      </c>
      <c r="E127" s="31">
        <v>0.5</v>
      </c>
      <c r="F127" s="31">
        <v>0.5</v>
      </c>
      <c r="G127" s="31">
        <v>0.5</v>
      </c>
      <c r="H127" s="31">
        <v>0</v>
      </c>
      <c r="I127" s="31">
        <v>0</v>
      </c>
      <c r="J127" s="31">
        <v>0</v>
      </c>
      <c r="K127" s="31">
        <v>0</v>
      </c>
    </row>
    <row r="128" spans="1:11" x14ac:dyDescent="0.25">
      <c r="A128" t="s">
        <v>204</v>
      </c>
      <c r="B128" s="31" t="s">
        <v>411</v>
      </c>
      <c r="C128" s="31">
        <v>1</v>
      </c>
      <c r="D128" s="31">
        <v>0</v>
      </c>
      <c r="E128" s="31" t="s">
        <v>408</v>
      </c>
      <c r="F128" s="31" t="s">
        <v>408</v>
      </c>
      <c r="G128" s="31" t="s">
        <v>408</v>
      </c>
      <c r="H128" s="31" t="s">
        <v>408</v>
      </c>
      <c r="I128" s="31" t="s">
        <v>408</v>
      </c>
      <c r="J128" s="31" t="s">
        <v>408</v>
      </c>
      <c r="K128" s="31" t="s">
        <v>408</v>
      </c>
    </row>
    <row r="129" spans="1:11" x14ac:dyDescent="0.25">
      <c r="A129" t="s">
        <v>205</v>
      </c>
      <c r="B129" s="31">
        <v>0</v>
      </c>
      <c r="C129" s="31">
        <v>0</v>
      </c>
      <c r="D129" s="31">
        <v>0</v>
      </c>
      <c r="E129" s="31">
        <v>0</v>
      </c>
      <c r="F129" s="31">
        <v>0</v>
      </c>
      <c r="G129" s="31">
        <v>0</v>
      </c>
      <c r="H129" s="31">
        <v>0</v>
      </c>
      <c r="I129" s="31">
        <v>0</v>
      </c>
      <c r="J129" s="31">
        <v>0</v>
      </c>
      <c r="K129" s="31">
        <v>0</v>
      </c>
    </row>
    <row r="130" spans="1:11" x14ac:dyDescent="0.25">
      <c r="A130" t="s">
        <v>556</v>
      </c>
      <c r="B130" s="31">
        <v>0</v>
      </c>
      <c r="C130" s="31">
        <v>0</v>
      </c>
      <c r="D130" s="31">
        <v>0</v>
      </c>
      <c r="E130" s="31">
        <v>0</v>
      </c>
      <c r="F130" s="31">
        <v>0</v>
      </c>
      <c r="G130" s="31">
        <v>0</v>
      </c>
      <c r="H130" s="31">
        <v>0</v>
      </c>
      <c r="I130" s="31">
        <v>0</v>
      </c>
      <c r="J130" s="31">
        <v>0</v>
      </c>
      <c r="K130" s="31">
        <v>0</v>
      </c>
    </row>
    <row r="131" spans="1:11" x14ac:dyDescent="0.25">
      <c r="A131" t="s">
        <v>557</v>
      </c>
      <c r="B131" s="31">
        <v>0</v>
      </c>
      <c r="C131" s="31">
        <v>0</v>
      </c>
      <c r="D131" s="31">
        <v>0</v>
      </c>
      <c r="E131" s="31">
        <v>0</v>
      </c>
      <c r="F131" s="31">
        <v>0</v>
      </c>
      <c r="G131" s="31">
        <v>0</v>
      </c>
      <c r="H131" s="31">
        <v>0</v>
      </c>
      <c r="I131" s="31">
        <v>0</v>
      </c>
      <c r="J131" s="31">
        <v>0</v>
      </c>
      <c r="K131" s="31">
        <v>0</v>
      </c>
    </row>
    <row r="132" spans="1:11" x14ac:dyDescent="0.25">
      <c r="A132" t="s">
        <v>558</v>
      </c>
      <c r="B132" s="31">
        <v>0</v>
      </c>
      <c r="C132" s="31">
        <v>1</v>
      </c>
      <c r="D132" s="31">
        <v>0</v>
      </c>
      <c r="E132" s="31">
        <v>1</v>
      </c>
      <c r="F132" s="31">
        <v>1</v>
      </c>
      <c r="G132" s="31">
        <v>0.5</v>
      </c>
      <c r="H132" s="31">
        <v>0</v>
      </c>
      <c r="I132" s="31">
        <v>0</v>
      </c>
      <c r="J132" s="31">
        <v>0</v>
      </c>
      <c r="K132" s="31">
        <v>0</v>
      </c>
    </row>
    <row r="133" spans="1:11" x14ac:dyDescent="0.25">
      <c r="A133" t="s">
        <v>559</v>
      </c>
      <c r="B133" s="31">
        <v>0</v>
      </c>
      <c r="C133" s="31">
        <v>1</v>
      </c>
      <c r="D133" s="31">
        <v>0</v>
      </c>
      <c r="E133" s="31">
        <v>1</v>
      </c>
      <c r="F133" s="31">
        <v>1</v>
      </c>
      <c r="G133" s="31">
        <v>0.5</v>
      </c>
      <c r="H133" s="31">
        <v>0</v>
      </c>
      <c r="I133" s="31">
        <v>0</v>
      </c>
      <c r="J133" s="31">
        <v>0</v>
      </c>
      <c r="K133" s="31">
        <v>0</v>
      </c>
    </row>
    <row r="134" spans="1:11" x14ac:dyDescent="0.25">
      <c r="A134" t="s">
        <v>206</v>
      </c>
      <c r="B134" s="31">
        <v>0</v>
      </c>
      <c r="C134" s="31">
        <v>0</v>
      </c>
      <c r="D134" s="31">
        <v>0</v>
      </c>
      <c r="E134" s="31">
        <v>0</v>
      </c>
      <c r="F134" s="31">
        <v>0</v>
      </c>
      <c r="G134" s="31">
        <v>0</v>
      </c>
      <c r="H134" s="31">
        <v>0</v>
      </c>
      <c r="I134" s="31">
        <v>0</v>
      </c>
      <c r="J134" s="31">
        <v>0</v>
      </c>
      <c r="K134" s="31">
        <v>0</v>
      </c>
    </row>
    <row r="135" spans="1:11" x14ac:dyDescent="0.25">
      <c r="A135" t="s">
        <v>207</v>
      </c>
      <c r="B135" s="31">
        <v>0</v>
      </c>
      <c r="C135" s="31">
        <v>0</v>
      </c>
      <c r="D135" s="31">
        <v>0</v>
      </c>
      <c r="E135" s="31">
        <v>1</v>
      </c>
      <c r="F135" s="31">
        <v>1</v>
      </c>
      <c r="G135" s="31">
        <v>0.5</v>
      </c>
      <c r="H135" s="31">
        <v>0</v>
      </c>
      <c r="I135" s="31">
        <v>0</v>
      </c>
      <c r="J135" s="31">
        <v>0</v>
      </c>
      <c r="K135" s="31">
        <v>0</v>
      </c>
    </row>
    <row r="136" spans="1:11" x14ac:dyDescent="0.25">
      <c r="A136" t="s">
        <v>560</v>
      </c>
      <c r="B136" s="31">
        <v>0</v>
      </c>
      <c r="C136" s="31">
        <v>0</v>
      </c>
      <c r="D136" s="31">
        <v>0</v>
      </c>
      <c r="E136" s="31">
        <v>0</v>
      </c>
      <c r="F136" s="31">
        <v>0</v>
      </c>
      <c r="G136" s="31">
        <v>0</v>
      </c>
      <c r="H136" s="31">
        <v>0</v>
      </c>
      <c r="I136" s="31">
        <v>0</v>
      </c>
      <c r="J136" s="31">
        <v>0</v>
      </c>
      <c r="K136" s="31">
        <v>0</v>
      </c>
    </row>
    <row r="137" spans="1:11" x14ac:dyDescent="0.25">
      <c r="A137" t="s">
        <v>481</v>
      </c>
      <c r="B137" s="31">
        <v>0</v>
      </c>
      <c r="C137" s="31">
        <v>0</v>
      </c>
      <c r="D137" s="31">
        <v>0</v>
      </c>
      <c r="E137" s="31">
        <v>1</v>
      </c>
      <c r="F137" s="31">
        <v>1</v>
      </c>
      <c r="G137" s="31">
        <v>0.5</v>
      </c>
      <c r="H137" s="31">
        <v>0</v>
      </c>
      <c r="I137" s="31">
        <v>0</v>
      </c>
      <c r="J137" s="31">
        <v>0</v>
      </c>
      <c r="K137" s="31">
        <v>0</v>
      </c>
    </row>
    <row r="138" spans="1:11" x14ac:dyDescent="0.25">
      <c r="A138" t="s">
        <v>561</v>
      </c>
      <c r="B138" s="31">
        <v>0</v>
      </c>
      <c r="C138" s="31">
        <v>0</v>
      </c>
      <c r="D138" s="31">
        <v>0</v>
      </c>
      <c r="E138" s="31">
        <v>0</v>
      </c>
      <c r="F138" s="31">
        <v>0</v>
      </c>
      <c r="G138" s="31">
        <v>0</v>
      </c>
      <c r="H138" s="31">
        <v>0</v>
      </c>
      <c r="I138" s="31">
        <v>0</v>
      </c>
      <c r="J138" s="31">
        <v>0</v>
      </c>
      <c r="K138" s="31">
        <v>0</v>
      </c>
    </row>
    <row r="139" spans="1:11" x14ac:dyDescent="0.25">
      <c r="A139" t="s">
        <v>562</v>
      </c>
      <c r="B139" s="31">
        <v>0</v>
      </c>
      <c r="C139" s="31">
        <v>0</v>
      </c>
      <c r="D139" s="31">
        <v>0</v>
      </c>
      <c r="E139" s="31">
        <v>0.5</v>
      </c>
      <c r="F139" s="31">
        <v>0.5</v>
      </c>
      <c r="G139" s="31">
        <v>0.5</v>
      </c>
      <c r="H139" s="31">
        <v>0</v>
      </c>
      <c r="I139" s="31">
        <v>0</v>
      </c>
      <c r="J139" s="31">
        <v>0</v>
      </c>
      <c r="K139" s="31">
        <v>0</v>
      </c>
    </row>
    <row r="140" spans="1:11" x14ac:dyDescent="0.25">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5">
      <c r="A141" t="s">
        <v>563</v>
      </c>
      <c r="B141" s="31">
        <v>0</v>
      </c>
      <c r="C141" s="31">
        <v>0</v>
      </c>
      <c r="D141" s="31">
        <v>0</v>
      </c>
      <c r="E141" s="31">
        <v>0</v>
      </c>
      <c r="F141" s="31">
        <v>0</v>
      </c>
      <c r="G141" s="31">
        <v>0</v>
      </c>
      <c r="H141" s="31">
        <v>0</v>
      </c>
      <c r="I141" s="31">
        <v>0</v>
      </c>
      <c r="J141" s="31">
        <v>0</v>
      </c>
      <c r="K141" s="31">
        <v>0</v>
      </c>
    </row>
    <row r="142" spans="1:11" x14ac:dyDescent="0.25">
      <c r="A142" t="s">
        <v>564</v>
      </c>
      <c r="B142" s="31">
        <v>0</v>
      </c>
      <c r="C142" s="31">
        <v>0</v>
      </c>
      <c r="D142" s="31">
        <v>0</v>
      </c>
      <c r="E142" s="31">
        <v>0</v>
      </c>
      <c r="F142" s="31">
        <v>0</v>
      </c>
      <c r="G142" s="31">
        <v>0</v>
      </c>
      <c r="H142" s="31">
        <v>0</v>
      </c>
      <c r="I142" s="31">
        <v>0</v>
      </c>
      <c r="J142" s="31">
        <v>0</v>
      </c>
      <c r="K142" s="31">
        <v>0</v>
      </c>
    </row>
    <row r="143" spans="1:11" x14ac:dyDescent="0.25">
      <c r="A143" t="s">
        <v>565</v>
      </c>
      <c r="B143" s="31">
        <v>0</v>
      </c>
      <c r="C143" s="31">
        <v>0</v>
      </c>
      <c r="D143" s="31">
        <v>0</v>
      </c>
      <c r="E143" s="31">
        <v>0</v>
      </c>
      <c r="F143" s="31">
        <v>0</v>
      </c>
      <c r="G143" s="31">
        <v>0</v>
      </c>
      <c r="H143" s="31">
        <v>0</v>
      </c>
      <c r="I143" s="31">
        <v>0</v>
      </c>
      <c r="J143" s="31">
        <v>0</v>
      </c>
      <c r="K143" s="31">
        <v>0</v>
      </c>
    </row>
    <row r="144" spans="1:11" x14ac:dyDescent="0.25">
      <c r="A144" t="s">
        <v>566</v>
      </c>
      <c r="B144" s="31" t="s">
        <v>411</v>
      </c>
      <c r="C144" s="31">
        <v>0.5</v>
      </c>
      <c r="D144" s="31">
        <v>0</v>
      </c>
      <c r="E144" s="31">
        <v>1</v>
      </c>
      <c r="F144" s="31">
        <v>1</v>
      </c>
      <c r="G144" s="31">
        <v>1</v>
      </c>
      <c r="H144" s="31" t="s">
        <v>408</v>
      </c>
      <c r="I144" s="31" t="s">
        <v>408</v>
      </c>
      <c r="J144" s="31" t="s">
        <v>408</v>
      </c>
      <c r="K144" s="31" t="s">
        <v>408</v>
      </c>
    </row>
    <row r="145" spans="1:11" x14ac:dyDescent="0.25">
      <c r="A145" t="s">
        <v>209</v>
      </c>
      <c r="B145" s="31">
        <v>0</v>
      </c>
      <c r="C145" s="31">
        <v>0.5</v>
      </c>
      <c r="D145" s="31">
        <v>0</v>
      </c>
      <c r="E145" s="31">
        <v>0.5</v>
      </c>
      <c r="F145" s="31">
        <v>0.5</v>
      </c>
      <c r="G145" s="31">
        <v>0.5</v>
      </c>
      <c r="H145" s="31">
        <v>0</v>
      </c>
      <c r="I145" s="31">
        <v>0</v>
      </c>
      <c r="J145" s="31">
        <v>0</v>
      </c>
      <c r="K145" s="31">
        <v>0</v>
      </c>
    </row>
    <row r="146" spans="1:11" x14ac:dyDescent="0.25">
      <c r="A146" t="s">
        <v>210</v>
      </c>
      <c r="B146" s="31">
        <v>0</v>
      </c>
      <c r="C146" s="31">
        <v>0</v>
      </c>
      <c r="D146" s="31">
        <v>0</v>
      </c>
      <c r="E146" s="31">
        <v>0.5</v>
      </c>
      <c r="F146" s="31">
        <v>0.5</v>
      </c>
      <c r="G146" s="31">
        <v>0.5</v>
      </c>
      <c r="H146" s="31">
        <v>0</v>
      </c>
      <c r="I146" s="31">
        <v>0</v>
      </c>
      <c r="J146" s="31">
        <v>0</v>
      </c>
      <c r="K146" s="31">
        <v>0</v>
      </c>
    </row>
    <row r="147" spans="1:11" x14ac:dyDescent="0.25">
      <c r="A147" t="s">
        <v>211</v>
      </c>
      <c r="B147" s="31">
        <v>0</v>
      </c>
      <c r="C147" s="31">
        <v>0</v>
      </c>
      <c r="D147" s="31">
        <v>0</v>
      </c>
      <c r="E147" s="31">
        <v>0</v>
      </c>
      <c r="F147" s="31">
        <v>0</v>
      </c>
      <c r="G147" s="31">
        <v>0</v>
      </c>
      <c r="H147" s="31">
        <v>0</v>
      </c>
      <c r="I147" s="31">
        <v>0</v>
      </c>
      <c r="J147" s="31">
        <v>0</v>
      </c>
      <c r="K147" s="31">
        <v>0</v>
      </c>
    </row>
    <row r="148" spans="1:11" x14ac:dyDescent="0.25">
      <c r="A148" t="s">
        <v>567</v>
      </c>
      <c r="B148" s="31">
        <v>0</v>
      </c>
      <c r="C148" s="31">
        <v>0</v>
      </c>
      <c r="D148" s="31">
        <v>0</v>
      </c>
      <c r="E148" s="31">
        <v>0</v>
      </c>
      <c r="F148" s="31">
        <v>0</v>
      </c>
      <c r="G148" s="31">
        <v>0</v>
      </c>
      <c r="H148" s="31">
        <v>0</v>
      </c>
      <c r="I148" s="31">
        <v>0</v>
      </c>
      <c r="J148" s="31">
        <v>0</v>
      </c>
      <c r="K148" s="31">
        <v>0</v>
      </c>
    </row>
    <row r="149" spans="1:11" x14ac:dyDescent="0.25">
      <c r="A149" t="s">
        <v>568</v>
      </c>
      <c r="B149" s="31">
        <v>0</v>
      </c>
      <c r="C149" s="31">
        <v>0</v>
      </c>
      <c r="D149" s="31">
        <v>0</v>
      </c>
      <c r="E149" s="31">
        <v>0</v>
      </c>
      <c r="F149" s="31">
        <v>0</v>
      </c>
      <c r="G149" s="31">
        <v>0</v>
      </c>
      <c r="H149" s="31">
        <v>0</v>
      </c>
      <c r="I149" s="31">
        <v>0</v>
      </c>
      <c r="J149" s="31">
        <v>0</v>
      </c>
      <c r="K149" s="31">
        <v>0</v>
      </c>
    </row>
    <row r="150" spans="1:11" x14ac:dyDescent="0.25">
      <c r="A150" t="s">
        <v>569</v>
      </c>
      <c r="B150" s="31">
        <v>0</v>
      </c>
      <c r="C150" s="31">
        <v>0</v>
      </c>
      <c r="D150" s="31">
        <v>0</v>
      </c>
      <c r="E150" s="31">
        <v>0</v>
      </c>
      <c r="F150" s="31">
        <v>0</v>
      </c>
      <c r="G150" s="31">
        <v>0</v>
      </c>
      <c r="H150" s="31">
        <v>0</v>
      </c>
      <c r="I150" s="31">
        <v>0</v>
      </c>
      <c r="J150" s="31">
        <v>0</v>
      </c>
      <c r="K150" s="31">
        <v>0</v>
      </c>
    </row>
    <row r="151" spans="1:11" x14ac:dyDescent="0.25">
      <c r="A151" t="s">
        <v>212</v>
      </c>
      <c r="B151" s="31">
        <v>0</v>
      </c>
      <c r="C151" s="31">
        <v>0</v>
      </c>
      <c r="D151" s="31">
        <v>0</v>
      </c>
      <c r="E151" s="31">
        <v>0</v>
      </c>
      <c r="F151" s="31">
        <v>0</v>
      </c>
      <c r="G151" s="31">
        <v>0</v>
      </c>
      <c r="H151" s="31">
        <v>0</v>
      </c>
      <c r="I151" s="31">
        <v>0</v>
      </c>
      <c r="J151" s="31">
        <v>0</v>
      </c>
      <c r="K151" s="31">
        <v>0</v>
      </c>
    </row>
    <row r="152" spans="1:11" x14ac:dyDescent="0.25">
      <c r="A152" t="s">
        <v>213</v>
      </c>
      <c r="B152" s="31">
        <v>0</v>
      </c>
      <c r="C152" s="31">
        <v>0</v>
      </c>
      <c r="D152" s="31">
        <v>0</v>
      </c>
      <c r="E152" s="31">
        <v>0</v>
      </c>
      <c r="F152" s="31">
        <v>0</v>
      </c>
      <c r="G152" s="31">
        <v>0</v>
      </c>
      <c r="H152" s="31">
        <v>0</v>
      </c>
      <c r="I152" s="31">
        <v>0</v>
      </c>
      <c r="J152" s="31">
        <v>0</v>
      </c>
      <c r="K152" s="31">
        <v>0</v>
      </c>
    </row>
    <row r="153" spans="1:11" x14ac:dyDescent="0.25">
      <c r="A153" t="s">
        <v>214</v>
      </c>
      <c r="B153" s="31">
        <v>0</v>
      </c>
      <c r="C153" s="31">
        <v>0</v>
      </c>
      <c r="D153" s="31">
        <v>0</v>
      </c>
      <c r="E153" s="31">
        <v>0</v>
      </c>
      <c r="F153" s="31">
        <v>0</v>
      </c>
      <c r="G153" s="31">
        <v>0</v>
      </c>
      <c r="H153" s="31">
        <v>0</v>
      </c>
      <c r="I153" s="31">
        <v>0</v>
      </c>
      <c r="J153" s="31">
        <v>0</v>
      </c>
      <c r="K153" s="31">
        <v>0</v>
      </c>
    </row>
    <row r="154" spans="1:11" x14ac:dyDescent="0.25">
      <c r="A154" t="s">
        <v>570</v>
      </c>
      <c r="B154" s="31">
        <v>0</v>
      </c>
      <c r="C154" s="31">
        <v>0</v>
      </c>
      <c r="D154" s="31">
        <v>0</v>
      </c>
      <c r="E154" s="31">
        <v>0</v>
      </c>
      <c r="F154" s="31">
        <v>0</v>
      </c>
      <c r="G154" s="31">
        <v>0</v>
      </c>
      <c r="H154" s="31">
        <v>0</v>
      </c>
      <c r="I154" s="31">
        <v>0</v>
      </c>
      <c r="J154" s="31">
        <v>0</v>
      </c>
      <c r="K154" s="31">
        <v>0</v>
      </c>
    </row>
    <row r="155" spans="1:11" x14ac:dyDescent="0.25">
      <c r="A155" t="s">
        <v>571</v>
      </c>
      <c r="B155" s="31">
        <v>0</v>
      </c>
      <c r="C155" s="31">
        <v>0</v>
      </c>
      <c r="D155" s="31">
        <v>0</v>
      </c>
      <c r="E155" s="31">
        <v>0.5</v>
      </c>
      <c r="F155" s="31">
        <v>0.5</v>
      </c>
      <c r="G155" s="31">
        <v>0.5</v>
      </c>
      <c r="H155" s="31">
        <v>0</v>
      </c>
      <c r="I155" s="31">
        <v>0</v>
      </c>
      <c r="J155" s="31">
        <v>0</v>
      </c>
      <c r="K155" s="31">
        <v>0</v>
      </c>
    </row>
    <row r="156" spans="1:11" x14ac:dyDescent="0.25">
      <c r="A156" t="s">
        <v>572</v>
      </c>
      <c r="B156" s="31">
        <v>0</v>
      </c>
      <c r="C156" s="31">
        <v>0</v>
      </c>
      <c r="D156" s="31">
        <v>0</v>
      </c>
      <c r="E156" s="31">
        <v>0</v>
      </c>
      <c r="F156" s="31">
        <v>0</v>
      </c>
      <c r="G156" s="31">
        <v>0</v>
      </c>
      <c r="H156" s="31">
        <v>0</v>
      </c>
      <c r="I156" s="31">
        <v>0</v>
      </c>
      <c r="J156" s="31">
        <v>0</v>
      </c>
      <c r="K156" s="31">
        <v>0</v>
      </c>
    </row>
    <row r="157" spans="1:11" x14ac:dyDescent="0.25">
      <c r="A157" t="s">
        <v>215</v>
      </c>
      <c r="B157" s="31">
        <v>0</v>
      </c>
      <c r="C157" s="31">
        <v>0</v>
      </c>
      <c r="D157" s="31">
        <v>0</v>
      </c>
      <c r="E157" s="31">
        <v>0</v>
      </c>
      <c r="F157" s="31">
        <v>0</v>
      </c>
      <c r="G157" s="31">
        <v>0</v>
      </c>
      <c r="H157" s="31">
        <v>0</v>
      </c>
      <c r="I157" s="31">
        <v>0</v>
      </c>
      <c r="J157" s="31">
        <v>0</v>
      </c>
      <c r="K157" s="31">
        <v>0</v>
      </c>
    </row>
    <row r="158" spans="1:11" x14ac:dyDescent="0.25">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5">
      <c r="A159" t="s">
        <v>573</v>
      </c>
      <c r="B159" s="31">
        <v>0</v>
      </c>
      <c r="C159" s="31">
        <v>0</v>
      </c>
      <c r="D159" s="31">
        <v>0</v>
      </c>
      <c r="E159" s="31">
        <v>0</v>
      </c>
      <c r="F159" s="31">
        <v>0</v>
      </c>
      <c r="G159" s="31">
        <v>0</v>
      </c>
      <c r="H159" s="31">
        <v>0</v>
      </c>
      <c r="I159" s="31">
        <v>0</v>
      </c>
      <c r="J159" s="31">
        <v>0</v>
      </c>
      <c r="K159" s="31">
        <v>0</v>
      </c>
    </row>
    <row r="160" spans="1:11" x14ac:dyDescent="0.25">
      <c r="A160" t="s">
        <v>574</v>
      </c>
      <c r="B160" s="31">
        <v>0</v>
      </c>
      <c r="C160" s="31">
        <v>0</v>
      </c>
      <c r="D160" s="31">
        <v>0</v>
      </c>
      <c r="E160" s="31">
        <v>0</v>
      </c>
      <c r="F160" s="31">
        <v>0</v>
      </c>
      <c r="G160" s="31">
        <v>0</v>
      </c>
      <c r="H160" s="31">
        <v>0</v>
      </c>
      <c r="I160" s="31">
        <v>0</v>
      </c>
      <c r="J160" s="31">
        <v>0</v>
      </c>
      <c r="K160" s="31">
        <v>0</v>
      </c>
    </row>
    <row r="161" spans="1:11" x14ac:dyDescent="0.25">
      <c r="A161" t="s">
        <v>575</v>
      </c>
      <c r="B161" s="31">
        <v>0</v>
      </c>
      <c r="C161" s="31">
        <v>0</v>
      </c>
      <c r="D161" s="31">
        <v>0</v>
      </c>
      <c r="E161" s="31">
        <v>0.5</v>
      </c>
      <c r="F161" s="31">
        <v>0.5</v>
      </c>
      <c r="G161" s="31">
        <v>0.5</v>
      </c>
      <c r="H161" s="31">
        <v>0</v>
      </c>
      <c r="I161" s="31">
        <v>0</v>
      </c>
      <c r="J161" s="31">
        <v>0</v>
      </c>
      <c r="K161" s="31">
        <v>0</v>
      </c>
    </row>
    <row r="162" spans="1:11" x14ac:dyDescent="0.25">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5">
      <c r="A163" t="s">
        <v>576</v>
      </c>
      <c r="B163" s="31">
        <v>0</v>
      </c>
      <c r="C163" s="31">
        <v>0</v>
      </c>
      <c r="D163" s="31">
        <v>0</v>
      </c>
      <c r="E163" s="31">
        <v>0</v>
      </c>
      <c r="F163" s="31">
        <v>0</v>
      </c>
      <c r="G163" s="31">
        <v>0</v>
      </c>
      <c r="H163" s="31">
        <v>0</v>
      </c>
      <c r="I163" s="31">
        <v>0</v>
      </c>
      <c r="J163" s="31">
        <v>0</v>
      </c>
      <c r="K163" s="31">
        <v>0</v>
      </c>
    </row>
    <row r="164" spans="1:11" x14ac:dyDescent="0.25">
      <c r="A164" t="s">
        <v>577</v>
      </c>
      <c r="B164" s="31">
        <v>0</v>
      </c>
      <c r="C164" s="31">
        <v>0</v>
      </c>
      <c r="D164" s="31">
        <v>0</v>
      </c>
      <c r="E164" s="31">
        <v>0</v>
      </c>
      <c r="F164" s="31">
        <v>0</v>
      </c>
      <c r="G164" s="31">
        <v>0</v>
      </c>
      <c r="H164" s="31">
        <v>0</v>
      </c>
      <c r="I164" s="31">
        <v>0</v>
      </c>
      <c r="J164" s="31">
        <v>0</v>
      </c>
      <c r="K164" s="31">
        <v>0</v>
      </c>
    </row>
    <row r="165" spans="1:11" x14ac:dyDescent="0.25">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5">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5">
      <c r="A167" t="s">
        <v>220</v>
      </c>
      <c r="B167" s="31">
        <v>0</v>
      </c>
      <c r="C167" s="31">
        <v>0</v>
      </c>
      <c r="D167" s="31">
        <v>0</v>
      </c>
      <c r="E167" s="31">
        <v>0.5</v>
      </c>
      <c r="F167" s="31">
        <v>0.5</v>
      </c>
      <c r="G167" s="31">
        <v>0.5</v>
      </c>
      <c r="H167" s="31">
        <v>0</v>
      </c>
      <c r="I167" s="31">
        <v>0</v>
      </c>
      <c r="J167" s="31">
        <v>0</v>
      </c>
      <c r="K167" s="31">
        <v>0</v>
      </c>
    </row>
    <row r="168" spans="1:11" x14ac:dyDescent="0.25">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5">
      <c r="A169" t="s">
        <v>222</v>
      </c>
      <c r="B169" s="31">
        <v>0</v>
      </c>
      <c r="C169" s="31">
        <v>0</v>
      </c>
      <c r="D169" s="31">
        <v>0</v>
      </c>
      <c r="E169" s="31">
        <v>0</v>
      </c>
      <c r="F169" s="31">
        <v>0</v>
      </c>
      <c r="G169" s="31">
        <v>0</v>
      </c>
      <c r="H169" s="31">
        <v>0</v>
      </c>
      <c r="I169" s="31">
        <v>0</v>
      </c>
      <c r="J169" s="31">
        <v>0</v>
      </c>
      <c r="K169" s="31">
        <v>0</v>
      </c>
    </row>
    <row r="170" spans="1:11" x14ac:dyDescent="0.25">
      <c r="A170" t="s">
        <v>491</v>
      </c>
      <c r="B170" s="31">
        <v>0</v>
      </c>
      <c r="C170" s="31">
        <v>0</v>
      </c>
      <c r="D170" s="31">
        <v>0</v>
      </c>
      <c r="E170" s="31">
        <v>0</v>
      </c>
      <c r="F170" s="31">
        <v>0</v>
      </c>
      <c r="G170" s="31">
        <v>0</v>
      </c>
      <c r="H170" s="31">
        <v>0</v>
      </c>
      <c r="I170" s="31">
        <v>0</v>
      </c>
      <c r="J170" s="31">
        <v>0</v>
      </c>
      <c r="K170" s="31">
        <v>0</v>
      </c>
    </row>
    <row r="171" spans="1:11" x14ac:dyDescent="0.25">
      <c r="A171" t="s">
        <v>507</v>
      </c>
      <c r="B171" s="31">
        <v>0</v>
      </c>
      <c r="C171" s="31">
        <v>0</v>
      </c>
      <c r="D171" s="31">
        <v>0</v>
      </c>
      <c r="E171" s="31">
        <v>0</v>
      </c>
      <c r="F171" s="31">
        <v>0</v>
      </c>
      <c r="G171" s="31">
        <v>0</v>
      </c>
      <c r="H171" s="31">
        <v>0</v>
      </c>
      <c r="I171" s="31">
        <v>0</v>
      </c>
      <c r="J171" s="31">
        <v>0</v>
      </c>
      <c r="K171" s="31">
        <v>0</v>
      </c>
    </row>
    <row r="172" spans="1:11" x14ac:dyDescent="0.25">
      <c r="A172" t="s">
        <v>578</v>
      </c>
      <c r="B172" s="31">
        <v>0</v>
      </c>
      <c r="C172" s="31">
        <v>0</v>
      </c>
      <c r="D172" s="31">
        <v>0</v>
      </c>
      <c r="E172" s="31">
        <v>0.5</v>
      </c>
      <c r="F172" s="31">
        <v>0.5</v>
      </c>
      <c r="G172" s="31">
        <v>0.5</v>
      </c>
      <c r="H172" s="31">
        <v>0</v>
      </c>
      <c r="I172" s="31">
        <v>0</v>
      </c>
      <c r="J172" s="31">
        <v>0</v>
      </c>
      <c r="K172" s="31">
        <v>0</v>
      </c>
    </row>
    <row r="173" spans="1:11" x14ac:dyDescent="0.25">
      <c r="A173" t="s">
        <v>506</v>
      </c>
      <c r="B173" s="31">
        <v>0</v>
      </c>
      <c r="C173" s="31">
        <v>0</v>
      </c>
      <c r="D173" s="31">
        <v>0</v>
      </c>
      <c r="E173" s="31">
        <v>0.5</v>
      </c>
      <c r="F173" s="31">
        <v>0.5</v>
      </c>
      <c r="G173" s="31">
        <v>0.5</v>
      </c>
      <c r="H173" s="31">
        <v>0</v>
      </c>
      <c r="I173" s="31">
        <v>0</v>
      </c>
      <c r="J173" s="31">
        <v>0</v>
      </c>
      <c r="K173" s="31">
        <v>0</v>
      </c>
    </row>
    <row r="174" spans="1:11" x14ac:dyDescent="0.25">
      <c r="A174" t="s">
        <v>500</v>
      </c>
      <c r="B174" s="31">
        <v>0</v>
      </c>
      <c r="C174" s="31">
        <v>0</v>
      </c>
      <c r="D174" s="31">
        <v>0</v>
      </c>
      <c r="E174" s="31">
        <v>0.5</v>
      </c>
      <c r="F174" s="31">
        <v>0.5</v>
      </c>
      <c r="G174" s="31">
        <v>0.5</v>
      </c>
      <c r="H174" s="31">
        <v>0</v>
      </c>
      <c r="I174" s="31">
        <v>0</v>
      </c>
      <c r="J174" s="31">
        <v>0</v>
      </c>
      <c r="K174" s="31">
        <v>0</v>
      </c>
    </row>
    <row r="175" spans="1:11" x14ac:dyDescent="0.25">
      <c r="A175" t="s">
        <v>501</v>
      </c>
      <c r="B175" s="31">
        <v>0</v>
      </c>
      <c r="C175" s="31">
        <v>0</v>
      </c>
      <c r="D175" s="31">
        <v>0</v>
      </c>
      <c r="E175" s="31">
        <v>0.5</v>
      </c>
      <c r="F175" s="31">
        <v>0.5</v>
      </c>
      <c r="G175" s="31">
        <v>0.5</v>
      </c>
      <c r="H175" s="31">
        <v>0</v>
      </c>
      <c r="I175" s="31">
        <v>0</v>
      </c>
      <c r="J175" s="31">
        <v>0</v>
      </c>
      <c r="K175" s="31">
        <v>0</v>
      </c>
    </row>
    <row r="176" spans="1:11" x14ac:dyDescent="0.25">
      <c r="A176" t="s">
        <v>223</v>
      </c>
      <c r="B176" s="31">
        <v>0</v>
      </c>
      <c r="C176" s="31">
        <v>0</v>
      </c>
      <c r="D176" s="31">
        <v>0</v>
      </c>
      <c r="E176" s="31">
        <v>0.5</v>
      </c>
      <c r="F176" s="31">
        <v>0.5</v>
      </c>
      <c r="G176" s="31">
        <v>0.5</v>
      </c>
      <c r="H176" s="31">
        <v>0</v>
      </c>
      <c r="I176" s="31">
        <v>0</v>
      </c>
      <c r="J176" s="31">
        <v>0</v>
      </c>
      <c r="K176" s="31">
        <v>0</v>
      </c>
    </row>
    <row r="177" spans="1:11" x14ac:dyDescent="0.25">
      <c r="A177" t="s">
        <v>224</v>
      </c>
      <c r="B177" s="31">
        <v>0</v>
      </c>
      <c r="C177" s="31">
        <v>0</v>
      </c>
      <c r="D177" s="31">
        <v>0</v>
      </c>
      <c r="E177" s="31">
        <v>0.5</v>
      </c>
      <c r="F177" s="31">
        <v>0.5</v>
      </c>
      <c r="G177" s="31">
        <v>0.5</v>
      </c>
      <c r="H177" s="31">
        <v>0</v>
      </c>
      <c r="I177" s="31">
        <v>0</v>
      </c>
      <c r="J177" s="31">
        <v>0</v>
      </c>
      <c r="K177" s="31">
        <v>0</v>
      </c>
    </row>
    <row r="178" spans="1:11" x14ac:dyDescent="0.25">
      <c r="A178" t="s">
        <v>225</v>
      </c>
      <c r="B178" s="31">
        <v>0</v>
      </c>
      <c r="C178" s="31">
        <v>0</v>
      </c>
      <c r="D178" s="31">
        <v>0</v>
      </c>
      <c r="E178" s="31">
        <v>0</v>
      </c>
      <c r="F178" s="31">
        <v>0</v>
      </c>
      <c r="G178" s="31">
        <v>0</v>
      </c>
      <c r="H178" s="31">
        <v>0</v>
      </c>
      <c r="I178" s="31">
        <v>0</v>
      </c>
      <c r="J178" s="31">
        <v>0</v>
      </c>
      <c r="K178" s="31">
        <v>0</v>
      </c>
    </row>
    <row r="179" spans="1:11" x14ac:dyDescent="0.25">
      <c r="A179" t="s">
        <v>579</v>
      </c>
      <c r="B179" s="31">
        <v>0</v>
      </c>
      <c r="C179" s="31">
        <v>0</v>
      </c>
      <c r="D179" s="31">
        <v>0</v>
      </c>
      <c r="E179" s="31">
        <v>0.5</v>
      </c>
      <c r="F179" s="31">
        <v>0.5</v>
      </c>
      <c r="G179" s="31">
        <v>0.5</v>
      </c>
      <c r="H179" s="31">
        <v>0</v>
      </c>
      <c r="I179" s="31">
        <v>0</v>
      </c>
      <c r="J179" s="31">
        <v>0</v>
      </c>
      <c r="K179" s="31">
        <v>0</v>
      </c>
    </row>
    <row r="180" spans="1:11" x14ac:dyDescent="0.25">
      <c r="A180" t="s">
        <v>485</v>
      </c>
      <c r="B180" s="31">
        <v>0</v>
      </c>
      <c r="C180" s="31">
        <v>0</v>
      </c>
      <c r="D180" s="31">
        <v>0</v>
      </c>
      <c r="E180" s="31">
        <v>0.5</v>
      </c>
      <c r="F180" s="31">
        <v>0.5</v>
      </c>
      <c r="G180" s="31">
        <v>0.5</v>
      </c>
      <c r="H180" s="31">
        <v>0</v>
      </c>
      <c r="I180" s="31">
        <v>0</v>
      </c>
      <c r="J180" s="31">
        <v>0</v>
      </c>
      <c r="K180" s="31">
        <v>0</v>
      </c>
    </row>
    <row r="181" spans="1:11" x14ac:dyDescent="0.25">
      <c r="A181" t="s">
        <v>580</v>
      </c>
      <c r="B181" s="31">
        <v>0</v>
      </c>
      <c r="C181" s="31">
        <v>0</v>
      </c>
      <c r="D181" s="31">
        <v>0</v>
      </c>
      <c r="E181" s="31">
        <v>0</v>
      </c>
      <c r="F181" s="31">
        <v>0</v>
      </c>
      <c r="G181" s="31">
        <v>0</v>
      </c>
      <c r="H181" s="31">
        <v>0</v>
      </c>
      <c r="I181" s="31">
        <v>0</v>
      </c>
      <c r="J181" s="31">
        <v>0</v>
      </c>
      <c r="K181" s="31">
        <v>0</v>
      </c>
    </row>
    <row r="182" spans="1:11" x14ac:dyDescent="0.25">
      <c r="A182" t="s">
        <v>226</v>
      </c>
      <c r="B182" s="31">
        <v>0</v>
      </c>
      <c r="C182" s="31">
        <v>0</v>
      </c>
      <c r="D182" s="31">
        <v>0</v>
      </c>
      <c r="E182" s="31">
        <v>0.5</v>
      </c>
      <c r="F182" s="31">
        <v>0.5</v>
      </c>
      <c r="G182" s="31">
        <v>0.5</v>
      </c>
      <c r="H182" s="31">
        <v>0</v>
      </c>
      <c r="I182" s="31">
        <v>0</v>
      </c>
      <c r="J182" s="31">
        <v>0</v>
      </c>
      <c r="K182" s="31">
        <v>0</v>
      </c>
    </row>
    <row r="183" spans="1:11" x14ac:dyDescent="0.25">
      <c r="A183" t="s">
        <v>227</v>
      </c>
      <c r="B183" s="31">
        <v>0</v>
      </c>
      <c r="C183" s="31">
        <v>0</v>
      </c>
      <c r="D183" s="31">
        <v>0</v>
      </c>
      <c r="E183" s="31">
        <v>0.5</v>
      </c>
      <c r="F183" s="31">
        <v>0.5</v>
      </c>
      <c r="G183" s="31">
        <v>0.5</v>
      </c>
      <c r="H183" s="31">
        <v>0</v>
      </c>
      <c r="I183" s="31">
        <v>0</v>
      </c>
      <c r="J183" s="31">
        <v>0</v>
      </c>
      <c r="K183" s="31">
        <v>0</v>
      </c>
    </row>
    <row r="184" spans="1:11" x14ac:dyDescent="0.25">
      <c r="A184" t="s">
        <v>723</v>
      </c>
      <c r="B184" s="31">
        <v>0</v>
      </c>
      <c r="C184" s="31">
        <v>0</v>
      </c>
      <c r="D184" s="31">
        <v>0</v>
      </c>
      <c r="E184" s="31">
        <v>0.5</v>
      </c>
      <c r="F184" s="31">
        <v>0.5</v>
      </c>
      <c r="G184" s="31">
        <v>0.5</v>
      </c>
      <c r="H184" s="31">
        <v>0</v>
      </c>
      <c r="I184" s="31">
        <v>0</v>
      </c>
      <c r="J184" s="31">
        <v>0</v>
      </c>
      <c r="K184" s="31">
        <v>0</v>
      </c>
    </row>
    <row r="185" spans="1:11" x14ac:dyDescent="0.25">
      <c r="A185" t="s">
        <v>581</v>
      </c>
      <c r="B185" s="31">
        <v>0</v>
      </c>
      <c r="C185" s="31">
        <v>0</v>
      </c>
      <c r="D185" s="31">
        <v>0</v>
      </c>
      <c r="E185" s="31">
        <v>0</v>
      </c>
      <c r="F185" s="31">
        <v>0</v>
      </c>
      <c r="G185" s="31">
        <v>0</v>
      </c>
      <c r="H185" s="31">
        <v>0</v>
      </c>
      <c r="I185" s="31">
        <v>0</v>
      </c>
      <c r="J185" s="31">
        <v>0</v>
      </c>
      <c r="K185" s="31">
        <v>0</v>
      </c>
    </row>
    <row r="186" spans="1:11" x14ac:dyDescent="0.25">
      <c r="A186" t="s">
        <v>582</v>
      </c>
      <c r="B186" s="31">
        <v>0</v>
      </c>
      <c r="C186" s="31">
        <v>0</v>
      </c>
      <c r="D186" s="31">
        <v>0</v>
      </c>
      <c r="E186" s="31">
        <v>0.5</v>
      </c>
      <c r="F186" s="31">
        <v>0.5</v>
      </c>
      <c r="G186" s="31">
        <v>0.5</v>
      </c>
      <c r="H186" s="31">
        <v>0</v>
      </c>
      <c r="I186" s="31">
        <v>0</v>
      </c>
      <c r="J186" s="31">
        <v>0</v>
      </c>
      <c r="K186" s="31">
        <v>0</v>
      </c>
    </row>
    <row r="187" spans="1:11" x14ac:dyDescent="0.25">
      <c r="A187" t="s">
        <v>228</v>
      </c>
      <c r="B187" s="31">
        <v>0</v>
      </c>
      <c r="C187" s="31">
        <v>0</v>
      </c>
      <c r="D187" s="31">
        <v>0</v>
      </c>
      <c r="E187" s="31">
        <v>0</v>
      </c>
      <c r="F187" s="31">
        <v>0</v>
      </c>
      <c r="G187" s="31">
        <v>0</v>
      </c>
      <c r="H187" s="31">
        <v>0</v>
      </c>
      <c r="I187" s="31">
        <v>0</v>
      </c>
      <c r="J187" s="31">
        <v>0</v>
      </c>
      <c r="K187" s="31">
        <v>0</v>
      </c>
    </row>
    <row r="188" spans="1:11" x14ac:dyDescent="0.25">
      <c r="A188" t="s">
        <v>585</v>
      </c>
      <c r="B188" s="31">
        <v>0</v>
      </c>
      <c r="C188" s="31">
        <v>0</v>
      </c>
      <c r="D188" s="31">
        <v>0</v>
      </c>
      <c r="E188" s="31">
        <v>0</v>
      </c>
      <c r="F188" s="31">
        <v>0</v>
      </c>
      <c r="G188" s="31">
        <v>0</v>
      </c>
      <c r="H188" s="31">
        <v>0</v>
      </c>
      <c r="I188" s="31">
        <v>0</v>
      </c>
      <c r="J188" s="31">
        <v>0</v>
      </c>
      <c r="K188" s="31">
        <v>0</v>
      </c>
    </row>
    <row r="189" spans="1:11" x14ac:dyDescent="0.25">
      <c r="A189" t="s">
        <v>586</v>
      </c>
      <c r="B189" s="31">
        <v>0</v>
      </c>
      <c r="C189" s="31">
        <v>0</v>
      </c>
      <c r="D189" s="31">
        <v>0</v>
      </c>
      <c r="E189" s="31">
        <v>0</v>
      </c>
      <c r="F189" s="31">
        <v>0</v>
      </c>
      <c r="G189" s="31">
        <v>0</v>
      </c>
      <c r="H189" s="31">
        <v>0</v>
      </c>
      <c r="I189" s="31">
        <v>0</v>
      </c>
      <c r="J189" s="31">
        <v>0</v>
      </c>
      <c r="K189" s="31">
        <v>0</v>
      </c>
    </row>
    <row r="190" spans="1:11" x14ac:dyDescent="0.25">
      <c r="A190" t="s">
        <v>587</v>
      </c>
      <c r="B190" s="31">
        <v>0</v>
      </c>
      <c r="C190" s="31">
        <v>0</v>
      </c>
      <c r="D190" s="31">
        <v>0</v>
      </c>
      <c r="E190" s="31">
        <v>0</v>
      </c>
      <c r="F190" s="31">
        <v>0</v>
      </c>
      <c r="G190" s="31">
        <v>0</v>
      </c>
      <c r="H190" s="31">
        <v>0</v>
      </c>
      <c r="I190" s="31">
        <v>0</v>
      </c>
      <c r="J190" s="31">
        <v>0</v>
      </c>
      <c r="K190" s="31">
        <v>0</v>
      </c>
    </row>
    <row r="191" spans="1:11" x14ac:dyDescent="0.25">
      <c r="A191" t="s">
        <v>588</v>
      </c>
      <c r="B191" s="31">
        <v>0</v>
      </c>
      <c r="C191" s="31">
        <v>0</v>
      </c>
      <c r="D191" s="31">
        <v>0</v>
      </c>
      <c r="E191" s="31">
        <v>0</v>
      </c>
      <c r="F191" s="31">
        <v>0</v>
      </c>
      <c r="G191" s="31">
        <v>0</v>
      </c>
      <c r="H191" s="31">
        <v>0</v>
      </c>
      <c r="I191" s="31">
        <v>0</v>
      </c>
      <c r="J191" s="31">
        <v>0</v>
      </c>
      <c r="K191" s="31">
        <v>0</v>
      </c>
    </row>
    <row r="192" spans="1:11" x14ac:dyDescent="0.25">
      <c r="A192" t="s">
        <v>229</v>
      </c>
      <c r="B192" s="31">
        <v>0</v>
      </c>
      <c r="C192" s="31">
        <v>0</v>
      </c>
      <c r="D192" s="31">
        <v>0</v>
      </c>
      <c r="E192" s="31">
        <v>0</v>
      </c>
      <c r="F192" s="31">
        <v>0</v>
      </c>
      <c r="G192" s="31">
        <v>0</v>
      </c>
      <c r="H192" s="31">
        <v>0</v>
      </c>
      <c r="I192" s="31">
        <v>0</v>
      </c>
      <c r="J192" s="31">
        <v>0</v>
      </c>
      <c r="K192" s="31">
        <v>0</v>
      </c>
    </row>
    <row r="193" spans="1:11" x14ac:dyDescent="0.25">
      <c r="A193" t="s">
        <v>230</v>
      </c>
      <c r="B193" s="31">
        <v>0</v>
      </c>
      <c r="C193" s="31">
        <v>0</v>
      </c>
      <c r="D193" s="31">
        <v>0</v>
      </c>
      <c r="E193" s="31">
        <v>0</v>
      </c>
      <c r="F193" s="31">
        <v>0</v>
      </c>
      <c r="G193" s="31">
        <v>0</v>
      </c>
      <c r="H193" s="31">
        <v>0</v>
      </c>
      <c r="I193" s="31">
        <v>0</v>
      </c>
      <c r="J193" s="31">
        <v>0</v>
      </c>
      <c r="K193" s="31">
        <v>0</v>
      </c>
    </row>
    <row r="194" spans="1:11" x14ac:dyDescent="0.25">
      <c r="A194" t="s">
        <v>590</v>
      </c>
      <c r="B194" s="31">
        <v>0</v>
      </c>
      <c r="C194" s="31">
        <v>0</v>
      </c>
      <c r="D194" s="31">
        <v>0</v>
      </c>
      <c r="E194" s="31">
        <v>0</v>
      </c>
      <c r="F194" s="31">
        <v>0</v>
      </c>
      <c r="G194" s="31">
        <v>0</v>
      </c>
      <c r="H194" s="31">
        <v>0</v>
      </c>
      <c r="I194" s="31">
        <v>0</v>
      </c>
      <c r="J194" s="31">
        <v>0</v>
      </c>
      <c r="K194" s="31">
        <v>0</v>
      </c>
    </row>
    <row r="195" spans="1:11" x14ac:dyDescent="0.25">
      <c r="A195" t="s">
        <v>591</v>
      </c>
      <c r="B195" s="31">
        <v>0</v>
      </c>
      <c r="C195" s="31">
        <v>0</v>
      </c>
      <c r="D195" s="31">
        <v>0</v>
      </c>
      <c r="E195" s="31">
        <v>0</v>
      </c>
      <c r="F195" s="31">
        <v>0</v>
      </c>
      <c r="G195" s="31">
        <v>0</v>
      </c>
      <c r="H195" s="31">
        <v>0</v>
      </c>
      <c r="I195" s="31">
        <v>0</v>
      </c>
      <c r="J195" s="31">
        <v>0</v>
      </c>
      <c r="K195" s="31">
        <v>0</v>
      </c>
    </row>
    <row r="196" spans="1:11" x14ac:dyDescent="0.25">
      <c r="A196" t="s">
        <v>231</v>
      </c>
      <c r="B196" s="31">
        <v>0</v>
      </c>
      <c r="C196" s="31">
        <v>0</v>
      </c>
      <c r="D196" s="31">
        <v>0</v>
      </c>
      <c r="E196" s="31">
        <v>0</v>
      </c>
      <c r="F196" s="31">
        <v>0</v>
      </c>
      <c r="G196" s="31">
        <v>0</v>
      </c>
      <c r="H196" s="31">
        <v>0</v>
      </c>
      <c r="I196" s="31">
        <v>0</v>
      </c>
      <c r="J196" s="31">
        <v>0</v>
      </c>
      <c r="K196" s="31">
        <v>0</v>
      </c>
    </row>
    <row r="197" spans="1:11" x14ac:dyDescent="0.25">
      <c r="A197" t="s">
        <v>592</v>
      </c>
      <c r="B197" s="31">
        <v>0</v>
      </c>
      <c r="C197" s="31">
        <v>0</v>
      </c>
      <c r="D197" s="31">
        <v>0</v>
      </c>
      <c r="E197" s="31">
        <v>0</v>
      </c>
      <c r="F197" s="31">
        <v>0</v>
      </c>
      <c r="G197" s="31">
        <v>0</v>
      </c>
      <c r="H197" s="31">
        <v>0</v>
      </c>
      <c r="I197" s="31">
        <v>0</v>
      </c>
      <c r="J197" s="31">
        <v>0</v>
      </c>
      <c r="K197" s="31">
        <v>0</v>
      </c>
    </row>
    <row r="198" spans="1:11" x14ac:dyDescent="0.25">
      <c r="A198" t="s">
        <v>593</v>
      </c>
      <c r="B198" s="31">
        <v>0</v>
      </c>
      <c r="C198" s="31">
        <v>0</v>
      </c>
      <c r="D198" s="31">
        <v>0</v>
      </c>
      <c r="E198" s="31">
        <v>0</v>
      </c>
      <c r="F198" s="31">
        <v>0</v>
      </c>
      <c r="G198" s="31">
        <v>0</v>
      </c>
      <c r="H198" s="31">
        <v>0</v>
      </c>
      <c r="I198" s="31">
        <v>0</v>
      </c>
      <c r="J198" s="31">
        <v>0</v>
      </c>
      <c r="K198" s="31">
        <v>0</v>
      </c>
    </row>
    <row r="199" spans="1:11" x14ac:dyDescent="0.25">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5">
      <c r="A200" t="s">
        <v>595</v>
      </c>
      <c r="B200" s="31">
        <v>0</v>
      </c>
      <c r="C200" s="31">
        <v>0</v>
      </c>
      <c r="D200" s="31">
        <v>0</v>
      </c>
      <c r="E200" s="31">
        <v>0</v>
      </c>
      <c r="F200" s="31">
        <v>0</v>
      </c>
      <c r="G200" s="31">
        <v>0</v>
      </c>
      <c r="H200" s="31">
        <v>0</v>
      </c>
      <c r="I200" s="31">
        <v>0</v>
      </c>
      <c r="J200" s="31">
        <v>0</v>
      </c>
      <c r="K200" s="31">
        <v>0</v>
      </c>
    </row>
    <row r="201" spans="1:11" x14ac:dyDescent="0.25">
      <c r="A201" t="s">
        <v>596</v>
      </c>
      <c r="B201" s="31">
        <v>0</v>
      </c>
      <c r="C201" s="31">
        <v>0</v>
      </c>
      <c r="D201" s="31">
        <v>0</v>
      </c>
      <c r="E201" s="31">
        <v>0</v>
      </c>
      <c r="F201" s="31">
        <v>0</v>
      </c>
      <c r="G201" s="31">
        <v>0</v>
      </c>
      <c r="H201" s="31">
        <v>0</v>
      </c>
      <c r="I201" s="31">
        <v>0</v>
      </c>
      <c r="J201" s="31">
        <v>0</v>
      </c>
      <c r="K201" s="31">
        <v>0</v>
      </c>
    </row>
    <row r="202" spans="1:11" x14ac:dyDescent="0.25">
      <c r="A202" t="s">
        <v>597</v>
      </c>
      <c r="B202" s="31">
        <v>0</v>
      </c>
      <c r="C202" s="31">
        <v>0</v>
      </c>
      <c r="D202" s="31">
        <v>0</v>
      </c>
      <c r="E202" s="31">
        <v>0</v>
      </c>
      <c r="F202" s="31">
        <v>0</v>
      </c>
      <c r="G202" s="31">
        <v>0</v>
      </c>
      <c r="H202" s="31">
        <v>0</v>
      </c>
      <c r="I202" s="31">
        <v>0</v>
      </c>
      <c r="J202" s="31">
        <v>0</v>
      </c>
      <c r="K202" s="31">
        <v>0</v>
      </c>
    </row>
    <row r="203" spans="1:11" x14ac:dyDescent="0.25">
      <c r="A203" t="s">
        <v>232</v>
      </c>
      <c r="B203" s="31">
        <v>0</v>
      </c>
      <c r="C203" s="31">
        <v>0</v>
      </c>
      <c r="D203" s="31">
        <v>0</v>
      </c>
      <c r="E203" s="31">
        <v>0</v>
      </c>
      <c r="F203" s="31">
        <v>0</v>
      </c>
      <c r="G203" s="31">
        <v>0</v>
      </c>
      <c r="H203" s="31">
        <v>0</v>
      </c>
      <c r="I203" s="31">
        <v>0</v>
      </c>
      <c r="J203" s="31">
        <v>0</v>
      </c>
      <c r="K203" s="31">
        <v>0</v>
      </c>
    </row>
    <row r="204" spans="1:11" x14ac:dyDescent="0.25">
      <c r="A204" t="s">
        <v>598</v>
      </c>
      <c r="B204" s="31">
        <v>0</v>
      </c>
      <c r="C204" s="31">
        <v>0</v>
      </c>
      <c r="D204" s="31">
        <v>0</v>
      </c>
      <c r="E204" s="31">
        <v>0.5</v>
      </c>
      <c r="F204" s="31">
        <v>0.5</v>
      </c>
      <c r="G204" s="31">
        <v>0.5</v>
      </c>
      <c r="H204" s="31">
        <v>0</v>
      </c>
      <c r="I204" s="31">
        <v>0</v>
      </c>
      <c r="J204" s="31">
        <v>0</v>
      </c>
      <c r="K204" s="31">
        <v>0</v>
      </c>
    </row>
    <row r="205" spans="1:11" x14ac:dyDescent="0.25">
      <c r="A205" t="s">
        <v>233</v>
      </c>
      <c r="B205" s="31">
        <v>0</v>
      </c>
      <c r="C205" s="31">
        <v>0</v>
      </c>
      <c r="D205" s="31">
        <v>0</v>
      </c>
      <c r="E205" s="31">
        <v>0.75</v>
      </c>
      <c r="F205" s="31">
        <v>0.5</v>
      </c>
      <c r="G205" s="31">
        <v>0.5</v>
      </c>
      <c r="H205" s="31">
        <v>0</v>
      </c>
      <c r="I205" s="31">
        <v>0</v>
      </c>
      <c r="J205" s="31">
        <v>0</v>
      </c>
      <c r="K205" s="31">
        <v>0</v>
      </c>
    </row>
    <row r="206" spans="1:11" x14ac:dyDescent="0.25">
      <c r="A206" t="s">
        <v>234</v>
      </c>
      <c r="B206" s="31">
        <v>0</v>
      </c>
      <c r="C206" s="31">
        <v>0</v>
      </c>
      <c r="D206" s="31">
        <v>0</v>
      </c>
      <c r="E206" s="31">
        <v>0</v>
      </c>
      <c r="F206" s="31">
        <v>0</v>
      </c>
      <c r="G206" s="31">
        <v>0</v>
      </c>
      <c r="H206" s="31">
        <v>0</v>
      </c>
      <c r="I206" s="31">
        <v>0</v>
      </c>
      <c r="J206" s="31">
        <v>0</v>
      </c>
      <c r="K206" s="31">
        <v>0</v>
      </c>
    </row>
    <row r="207" spans="1:11" x14ac:dyDescent="0.25">
      <c r="A207" t="s">
        <v>599</v>
      </c>
      <c r="B207" s="31" t="s">
        <v>411</v>
      </c>
      <c r="C207" s="31">
        <v>0.5</v>
      </c>
      <c r="D207" s="31">
        <v>0</v>
      </c>
      <c r="E207" s="31">
        <v>1</v>
      </c>
      <c r="F207" s="31">
        <v>1</v>
      </c>
      <c r="G207" s="31">
        <v>1</v>
      </c>
      <c r="H207" s="31" t="s">
        <v>408</v>
      </c>
      <c r="I207" s="31" t="s">
        <v>408</v>
      </c>
      <c r="J207" s="31" t="s">
        <v>408</v>
      </c>
      <c r="K207" s="31" t="s">
        <v>408</v>
      </c>
    </row>
    <row r="208" spans="1:11" x14ac:dyDescent="0.25">
      <c r="A208" t="s">
        <v>600</v>
      </c>
      <c r="B208" s="31">
        <v>0</v>
      </c>
      <c r="C208" s="31">
        <v>0</v>
      </c>
      <c r="D208" s="31">
        <v>0</v>
      </c>
      <c r="E208" s="31">
        <v>0</v>
      </c>
      <c r="F208" s="31">
        <v>0</v>
      </c>
      <c r="G208" s="31">
        <v>0</v>
      </c>
      <c r="H208" s="31">
        <v>0</v>
      </c>
      <c r="I208" s="31">
        <v>0</v>
      </c>
      <c r="J208" s="31">
        <v>0</v>
      </c>
      <c r="K208" s="31">
        <v>0</v>
      </c>
    </row>
    <row r="209" spans="1:11" x14ac:dyDescent="0.25">
      <c r="A209" t="s">
        <v>601</v>
      </c>
      <c r="B209" s="31">
        <v>0</v>
      </c>
      <c r="C209" s="31">
        <v>0</v>
      </c>
      <c r="D209" s="31">
        <v>0</v>
      </c>
      <c r="E209" s="31">
        <v>0</v>
      </c>
      <c r="F209" s="31">
        <v>0</v>
      </c>
      <c r="G209" s="31">
        <v>0</v>
      </c>
      <c r="H209" s="31">
        <v>0</v>
      </c>
      <c r="I209" s="31">
        <v>0</v>
      </c>
      <c r="J209" s="31">
        <v>0</v>
      </c>
      <c r="K209" s="31">
        <v>0</v>
      </c>
    </row>
    <row r="210" spans="1:11" x14ac:dyDescent="0.25">
      <c r="A210" t="s">
        <v>602</v>
      </c>
      <c r="B210" s="31">
        <v>0</v>
      </c>
      <c r="C210" s="31">
        <v>0</v>
      </c>
      <c r="D210" s="31">
        <v>0</v>
      </c>
      <c r="E210" s="31">
        <v>0</v>
      </c>
      <c r="F210" s="31">
        <v>0</v>
      </c>
      <c r="G210" s="31">
        <v>0</v>
      </c>
      <c r="H210" s="31">
        <v>0</v>
      </c>
      <c r="I210" s="31">
        <v>0</v>
      </c>
      <c r="J210" s="31">
        <v>0</v>
      </c>
      <c r="K210" s="31">
        <v>0</v>
      </c>
    </row>
    <row r="211" spans="1:11" x14ac:dyDescent="0.25">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5">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5">
      <c r="A213" t="s">
        <v>605</v>
      </c>
      <c r="B213" s="31">
        <v>0</v>
      </c>
      <c r="C213" s="31">
        <v>0</v>
      </c>
      <c r="D213" s="31">
        <v>0</v>
      </c>
      <c r="E213" s="31">
        <v>0</v>
      </c>
      <c r="F213" s="31">
        <v>0</v>
      </c>
      <c r="G213" s="31">
        <v>0</v>
      </c>
      <c r="H213" s="31">
        <v>0</v>
      </c>
      <c r="I213" s="31">
        <v>0</v>
      </c>
      <c r="J213" s="31">
        <v>0</v>
      </c>
      <c r="K213" s="31">
        <v>0</v>
      </c>
    </row>
    <row r="214" spans="1:11" x14ac:dyDescent="0.25">
      <c r="A214" t="s">
        <v>606</v>
      </c>
      <c r="B214" s="31">
        <v>0</v>
      </c>
      <c r="C214" s="31">
        <v>0</v>
      </c>
      <c r="D214" s="31">
        <v>0</v>
      </c>
      <c r="E214" s="31">
        <v>0.5</v>
      </c>
      <c r="F214" s="31">
        <v>0.5</v>
      </c>
      <c r="G214" s="31">
        <v>0.5</v>
      </c>
      <c r="H214" s="31">
        <v>0</v>
      </c>
      <c r="I214" s="31">
        <v>0</v>
      </c>
      <c r="J214" s="31">
        <v>0</v>
      </c>
      <c r="K214" s="31">
        <v>0</v>
      </c>
    </row>
    <row r="215" spans="1:11" x14ac:dyDescent="0.25">
      <c r="A215" t="s">
        <v>235</v>
      </c>
      <c r="B215" s="31">
        <v>0</v>
      </c>
      <c r="C215" s="31">
        <v>0</v>
      </c>
      <c r="D215" s="31">
        <v>0</v>
      </c>
      <c r="E215" s="31">
        <v>0.5</v>
      </c>
      <c r="F215" s="31">
        <v>0.5</v>
      </c>
      <c r="G215" s="31">
        <v>0.5</v>
      </c>
      <c r="H215" s="31">
        <v>0</v>
      </c>
      <c r="I215" s="31">
        <v>0</v>
      </c>
      <c r="J215" s="31">
        <v>0</v>
      </c>
      <c r="K215" s="31">
        <v>0</v>
      </c>
    </row>
    <row r="216" spans="1:11" x14ac:dyDescent="0.25">
      <c r="A216" t="s">
        <v>236</v>
      </c>
      <c r="B216" s="31">
        <v>0</v>
      </c>
      <c r="C216" s="31">
        <v>0</v>
      </c>
      <c r="D216" s="31">
        <v>0</v>
      </c>
      <c r="E216" s="31">
        <v>0</v>
      </c>
      <c r="F216" s="31">
        <v>0</v>
      </c>
      <c r="G216" s="31">
        <v>0</v>
      </c>
      <c r="H216" s="31">
        <v>0</v>
      </c>
      <c r="I216" s="31">
        <v>0</v>
      </c>
      <c r="J216" s="31">
        <v>0</v>
      </c>
      <c r="K216" s="31">
        <v>0</v>
      </c>
    </row>
    <row r="217" spans="1:11" x14ac:dyDescent="0.25">
      <c r="A217" t="s">
        <v>237</v>
      </c>
      <c r="B217" s="31">
        <v>0</v>
      </c>
      <c r="C217" s="31">
        <v>0</v>
      </c>
      <c r="D217" s="31">
        <v>0</v>
      </c>
      <c r="E217" s="31">
        <v>0.5</v>
      </c>
      <c r="F217" s="31">
        <v>0.5</v>
      </c>
      <c r="G217" s="31">
        <v>0.5</v>
      </c>
      <c r="H217" s="31">
        <v>0</v>
      </c>
      <c r="I217" s="31">
        <v>0</v>
      </c>
      <c r="J217" s="31">
        <v>0</v>
      </c>
      <c r="K217" s="31">
        <v>0</v>
      </c>
    </row>
    <row r="218" spans="1:11" x14ac:dyDescent="0.25">
      <c r="A218" t="s">
        <v>607</v>
      </c>
      <c r="B218" s="31">
        <v>0</v>
      </c>
      <c r="C218" s="31">
        <v>0</v>
      </c>
      <c r="D218" s="31">
        <v>0</v>
      </c>
      <c r="E218" s="31">
        <v>0.5</v>
      </c>
      <c r="F218" s="31">
        <v>0.5</v>
      </c>
      <c r="G218" s="31">
        <v>0.5</v>
      </c>
      <c r="H218" s="31">
        <v>0</v>
      </c>
      <c r="I218" s="31">
        <v>0</v>
      </c>
      <c r="J218" s="31">
        <v>0</v>
      </c>
      <c r="K218" s="31">
        <v>0</v>
      </c>
    </row>
    <row r="219" spans="1:11" x14ac:dyDescent="0.25">
      <c r="A219" t="s">
        <v>608</v>
      </c>
      <c r="B219" s="31">
        <v>0</v>
      </c>
      <c r="C219" s="31">
        <v>0</v>
      </c>
      <c r="D219" s="31">
        <v>0</v>
      </c>
      <c r="E219" s="31">
        <v>0.5</v>
      </c>
      <c r="F219" s="31">
        <v>0.5</v>
      </c>
      <c r="G219" s="31">
        <v>0.5</v>
      </c>
      <c r="H219" s="31">
        <v>0</v>
      </c>
      <c r="I219" s="31">
        <v>0</v>
      </c>
      <c r="J219" s="31">
        <v>0</v>
      </c>
      <c r="K219" s="31">
        <v>0</v>
      </c>
    </row>
    <row r="220" spans="1:11" x14ac:dyDescent="0.25">
      <c r="A220" t="s">
        <v>609</v>
      </c>
      <c r="B220" s="31">
        <v>0</v>
      </c>
      <c r="C220" s="31">
        <v>0</v>
      </c>
      <c r="D220" s="31">
        <v>0</v>
      </c>
      <c r="E220" s="31">
        <v>0</v>
      </c>
      <c r="F220" s="31">
        <v>0</v>
      </c>
      <c r="G220" s="31">
        <v>0</v>
      </c>
      <c r="H220" s="31">
        <v>0</v>
      </c>
      <c r="I220" s="31">
        <v>0</v>
      </c>
      <c r="J220" s="31">
        <v>0</v>
      </c>
      <c r="K220" s="31">
        <v>0</v>
      </c>
    </row>
    <row r="221" spans="1:11" x14ac:dyDescent="0.25">
      <c r="A221" t="s">
        <v>610</v>
      </c>
      <c r="B221" s="31">
        <v>0</v>
      </c>
      <c r="C221" s="31">
        <v>0</v>
      </c>
      <c r="D221" s="31">
        <v>0</v>
      </c>
      <c r="E221" s="31">
        <v>0</v>
      </c>
      <c r="F221" s="31">
        <v>0</v>
      </c>
      <c r="G221" s="31">
        <v>0</v>
      </c>
      <c r="H221" s="31">
        <v>0</v>
      </c>
      <c r="I221" s="31">
        <v>0</v>
      </c>
      <c r="J221" s="31">
        <v>0</v>
      </c>
      <c r="K221" s="31">
        <v>0</v>
      </c>
    </row>
    <row r="222" spans="1:11" x14ac:dyDescent="0.25">
      <c r="A222" t="s">
        <v>476</v>
      </c>
      <c r="B222" s="31">
        <v>0</v>
      </c>
      <c r="C222" s="31">
        <v>0</v>
      </c>
      <c r="D222" s="31">
        <v>0</v>
      </c>
      <c r="E222" s="31">
        <v>0</v>
      </c>
      <c r="F222" s="31">
        <v>0</v>
      </c>
      <c r="G222" s="31">
        <v>0</v>
      </c>
      <c r="H222" s="31">
        <v>0</v>
      </c>
      <c r="I222" s="31">
        <v>0</v>
      </c>
      <c r="J222" s="31">
        <v>0</v>
      </c>
      <c r="K222" s="31">
        <v>0</v>
      </c>
    </row>
    <row r="223" spans="1:11" x14ac:dyDescent="0.25">
      <c r="A223" t="s">
        <v>611</v>
      </c>
      <c r="B223" s="31">
        <v>0</v>
      </c>
      <c r="C223" s="31">
        <v>0</v>
      </c>
      <c r="D223" s="31">
        <v>0</v>
      </c>
      <c r="E223" s="31">
        <v>0</v>
      </c>
      <c r="F223" s="31">
        <v>0</v>
      </c>
      <c r="G223" s="31">
        <v>0</v>
      </c>
      <c r="H223" s="31">
        <v>0</v>
      </c>
      <c r="I223" s="31">
        <v>0</v>
      </c>
      <c r="J223" s="31">
        <v>0</v>
      </c>
      <c r="K223" s="31">
        <v>0</v>
      </c>
    </row>
    <row r="224" spans="1:11" x14ac:dyDescent="0.25">
      <c r="A224" t="s">
        <v>612</v>
      </c>
      <c r="B224" s="31">
        <v>0</v>
      </c>
      <c r="C224" s="31">
        <v>0</v>
      </c>
      <c r="D224" s="31">
        <v>0</v>
      </c>
      <c r="E224" s="31">
        <v>0</v>
      </c>
      <c r="F224" s="31">
        <v>0</v>
      </c>
      <c r="G224" s="31">
        <v>0</v>
      </c>
      <c r="H224" s="31">
        <v>0</v>
      </c>
      <c r="I224" s="31">
        <v>0</v>
      </c>
      <c r="J224" s="31">
        <v>0</v>
      </c>
      <c r="K224" s="31">
        <v>0</v>
      </c>
    </row>
    <row r="225" spans="1:11" x14ac:dyDescent="0.25">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5">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5">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5">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5">
      <c r="A229" t="s">
        <v>615</v>
      </c>
      <c r="B229" s="31">
        <v>0</v>
      </c>
      <c r="C229" s="31">
        <v>0</v>
      </c>
      <c r="D229" s="31">
        <v>0</v>
      </c>
      <c r="E229" s="31">
        <v>0</v>
      </c>
      <c r="F229" s="31">
        <v>0</v>
      </c>
      <c r="G229" s="31">
        <v>0</v>
      </c>
      <c r="H229" s="31">
        <v>0</v>
      </c>
      <c r="I229" s="31">
        <v>0</v>
      </c>
      <c r="J229" s="31">
        <v>0</v>
      </c>
      <c r="K229" s="31">
        <v>0</v>
      </c>
    </row>
    <row r="230" spans="1:11" x14ac:dyDescent="0.25">
      <c r="A230" t="s">
        <v>616</v>
      </c>
      <c r="B230" s="31">
        <v>0</v>
      </c>
      <c r="C230" s="31">
        <v>0</v>
      </c>
      <c r="D230" s="31">
        <v>0</v>
      </c>
      <c r="E230" s="31">
        <v>0.5</v>
      </c>
      <c r="F230" s="31">
        <v>0.5</v>
      </c>
      <c r="G230" s="31">
        <v>0.5</v>
      </c>
      <c r="H230" s="31">
        <v>0</v>
      </c>
      <c r="I230" s="31">
        <v>0</v>
      </c>
      <c r="J230" s="31">
        <v>0</v>
      </c>
      <c r="K230" s="31">
        <v>0</v>
      </c>
    </row>
    <row r="231" spans="1:11" x14ac:dyDescent="0.25">
      <c r="A231" t="s">
        <v>240</v>
      </c>
      <c r="B231" s="31">
        <v>0</v>
      </c>
      <c r="C231" s="31">
        <v>0</v>
      </c>
      <c r="D231" s="31">
        <v>0</v>
      </c>
      <c r="E231" s="31">
        <v>0</v>
      </c>
      <c r="F231" s="31">
        <v>0</v>
      </c>
      <c r="G231" s="31">
        <v>0</v>
      </c>
      <c r="H231" s="31">
        <v>0</v>
      </c>
      <c r="I231" s="31">
        <v>0</v>
      </c>
      <c r="J231" s="31">
        <v>0</v>
      </c>
      <c r="K231" s="31">
        <v>0</v>
      </c>
    </row>
    <row r="232" spans="1:11" x14ac:dyDescent="0.25">
      <c r="A232" t="s">
        <v>241</v>
      </c>
      <c r="B232" s="31">
        <v>0</v>
      </c>
      <c r="C232" s="31">
        <v>0</v>
      </c>
      <c r="D232" s="31">
        <v>0</v>
      </c>
      <c r="E232" s="31">
        <v>0</v>
      </c>
      <c r="F232" s="31">
        <v>0</v>
      </c>
      <c r="G232" s="31">
        <v>0</v>
      </c>
      <c r="H232" s="31">
        <v>0</v>
      </c>
      <c r="I232" s="31">
        <v>0</v>
      </c>
      <c r="J232" s="31">
        <v>0</v>
      </c>
      <c r="K232" s="31">
        <v>0</v>
      </c>
    </row>
    <row r="233" spans="1:11" x14ac:dyDescent="0.25">
      <c r="A233" t="s">
        <v>617</v>
      </c>
      <c r="B233" s="31">
        <v>0</v>
      </c>
      <c r="C233" s="31">
        <v>0</v>
      </c>
      <c r="D233" s="31">
        <v>0</v>
      </c>
      <c r="E233" s="31">
        <v>0</v>
      </c>
      <c r="F233" s="31">
        <v>0</v>
      </c>
      <c r="G233" s="31">
        <v>0</v>
      </c>
      <c r="H233" s="31">
        <v>0</v>
      </c>
      <c r="I233" s="31">
        <v>0</v>
      </c>
      <c r="J233" s="31">
        <v>0</v>
      </c>
      <c r="K233" s="31">
        <v>0</v>
      </c>
    </row>
    <row r="234" spans="1:11" x14ac:dyDescent="0.25">
      <c r="A234" t="s">
        <v>618</v>
      </c>
      <c r="B234" s="31">
        <v>0</v>
      </c>
      <c r="C234" s="31">
        <v>0</v>
      </c>
      <c r="D234" s="31">
        <v>0</v>
      </c>
      <c r="E234" s="31">
        <v>0</v>
      </c>
      <c r="F234" s="31">
        <v>0</v>
      </c>
      <c r="G234" s="31">
        <v>0</v>
      </c>
      <c r="H234" s="31">
        <v>0</v>
      </c>
      <c r="I234" s="31">
        <v>0</v>
      </c>
      <c r="J234" s="31">
        <v>0</v>
      </c>
      <c r="K234" s="31">
        <v>0</v>
      </c>
    </row>
    <row r="235" spans="1:11" x14ac:dyDescent="0.25">
      <c r="A235" t="s">
        <v>619</v>
      </c>
      <c r="B235" s="31">
        <v>0</v>
      </c>
      <c r="C235" s="31">
        <v>0</v>
      </c>
      <c r="D235" s="31">
        <v>0</v>
      </c>
      <c r="E235" s="31">
        <v>0</v>
      </c>
      <c r="F235" s="31">
        <v>0</v>
      </c>
      <c r="G235" s="31">
        <v>0</v>
      </c>
      <c r="H235" s="31">
        <v>0</v>
      </c>
      <c r="I235" s="31">
        <v>0</v>
      </c>
      <c r="J235" s="31">
        <v>0</v>
      </c>
      <c r="K235" s="31">
        <v>0</v>
      </c>
    </row>
    <row r="236" spans="1:11" x14ac:dyDescent="0.25">
      <c r="A236" t="s">
        <v>242</v>
      </c>
      <c r="B236" s="31">
        <v>0</v>
      </c>
      <c r="C236" s="31">
        <v>0</v>
      </c>
      <c r="D236" s="31">
        <v>0</v>
      </c>
      <c r="E236" s="31">
        <v>0</v>
      </c>
      <c r="F236" s="31">
        <v>0</v>
      </c>
      <c r="G236" s="31">
        <v>0</v>
      </c>
      <c r="H236" s="31">
        <v>0</v>
      </c>
      <c r="I236" s="31">
        <v>0</v>
      </c>
      <c r="J236" s="31">
        <v>0</v>
      </c>
      <c r="K236" s="31">
        <v>0</v>
      </c>
    </row>
    <row r="237" spans="1:11" x14ac:dyDescent="0.25">
      <c r="A237" t="s">
        <v>620</v>
      </c>
      <c r="B237" s="31">
        <v>0</v>
      </c>
      <c r="C237" s="31">
        <v>0</v>
      </c>
      <c r="D237" s="31">
        <v>0</v>
      </c>
      <c r="E237" s="31">
        <v>0</v>
      </c>
      <c r="F237" s="31">
        <v>0</v>
      </c>
      <c r="G237" s="31">
        <v>0</v>
      </c>
      <c r="H237" s="31">
        <v>0</v>
      </c>
      <c r="I237" s="31">
        <v>0</v>
      </c>
      <c r="J237" s="31">
        <v>0</v>
      </c>
      <c r="K237" s="31">
        <v>0</v>
      </c>
    </row>
    <row r="238" spans="1:11" x14ac:dyDescent="0.25">
      <c r="A238" t="s">
        <v>621</v>
      </c>
      <c r="B238" s="31">
        <v>0</v>
      </c>
      <c r="C238" s="31">
        <v>0</v>
      </c>
      <c r="D238" s="31">
        <v>0</v>
      </c>
      <c r="E238" s="31">
        <v>0.5</v>
      </c>
      <c r="F238" s="31">
        <v>0.5</v>
      </c>
      <c r="G238" s="31">
        <v>0.5</v>
      </c>
      <c r="H238" s="31">
        <v>0</v>
      </c>
      <c r="I238" s="31">
        <v>0</v>
      </c>
      <c r="J238" s="31">
        <v>0</v>
      </c>
      <c r="K238" s="31">
        <v>0</v>
      </c>
    </row>
    <row r="239" spans="1:11" x14ac:dyDescent="0.25">
      <c r="A239" t="s">
        <v>622</v>
      </c>
      <c r="B239" s="31">
        <v>0</v>
      </c>
      <c r="C239" s="31">
        <v>0</v>
      </c>
      <c r="D239" s="31">
        <v>0</v>
      </c>
      <c r="E239" s="31">
        <v>0</v>
      </c>
      <c r="F239" s="31">
        <v>0</v>
      </c>
      <c r="G239" s="31">
        <v>0</v>
      </c>
      <c r="H239" s="31">
        <v>0</v>
      </c>
      <c r="I239" s="31">
        <v>0</v>
      </c>
      <c r="J239" s="31">
        <v>0</v>
      </c>
      <c r="K239" s="31">
        <v>0</v>
      </c>
    </row>
    <row r="240" spans="1:11" x14ac:dyDescent="0.25">
      <c r="A240" t="s">
        <v>623</v>
      </c>
      <c r="B240" s="31">
        <v>0</v>
      </c>
      <c r="C240" s="31">
        <v>0</v>
      </c>
      <c r="D240" s="31">
        <v>0</v>
      </c>
      <c r="E240" s="31">
        <v>0.5</v>
      </c>
      <c r="F240" s="31">
        <v>0.5</v>
      </c>
      <c r="G240" s="31">
        <v>0.5</v>
      </c>
      <c r="H240" s="31">
        <v>0</v>
      </c>
      <c r="I240" s="31">
        <v>0</v>
      </c>
      <c r="J240" s="31">
        <v>0</v>
      </c>
      <c r="K240" s="31">
        <v>0</v>
      </c>
    </row>
    <row r="241" spans="1:11" x14ac:dyDescent="0.25">
      <c r="A241" t="s">
        <v>243</v>
      </c>
      <c r="B241" s="31">
        <v>0</v>
      </c>
      <c r="C241" s="31">
        <v>0</v>
      </c>
      <c r="D241" s="31">
        <v>0</v>
      </c>
      <c r="E241" s="31">
        <v>1</v>
      </c>
      <c r="F241" s="31">
        <v>1</v>
      </c>
      <c r="G241" s="31">
        <v>0.5</v>
      </c>
      <c r="H241" s="31">
        <v>0</v>
      </c>
      <c r="I241" s="31">
        <v>0</v>
      </c>
      <c r="J241" s="31">
        <v>0</v>
      </c>
      <c r="K241" s="31">
        <v>0</v>
      </c>
    </row>
    <row r="242" spans="1:11" x14ac:dyDescent="0.25">
      <c r="A242" t="s">
        <v>244</v>
      </c>
      <c r="B242" s="31">
        <v>0</v>
      </c>
      <c r="C242" s="31">
        <v>0</v>
      </c>
      <c r="D242" s="31">
        <v>0</v>
      </c>
      <c r="E242" s="31">
        <v>0</v>
      </c>
      <c r="F242" s="31">
        <v>0</v>
      </c>
      <c r="G242" s="31">
        <v>0</v>
      </c>
      <c r="H242" s="31">
        <v>0</v>
      </c>
      <c r="I242" s="31">
        <v>0</v>
      </c>
      <c r="J242" s="31">
        <v>0</v>
      </c>
      <c r="K242" s="31">
        <v>0</v>
      </c>
    </row>
    <row r="243" spans="1:11" x14ac:dyDescent="0.25">
      <c r="A243" t="s">
        <v>624</v>
      </c>
      <c r="B243" s="31">
        <v>0</v>
      </c>
      <c r="C243" s="31">
        <v>0</v>
      </c>
      <c r="D243" s="31">
        <v>0</v>
      </c>
      <c r="E243" s="31">
        <v>0.5</v>
      </c>
      <c r="F243" s="31">
        <v>0.5</v>
      </c>
      <c r="G243" s="31">
        <v>0.5</v>
      </c>
      <c r="H243" s="31">
        <v>0</v>
      </c>
      <c r="I243" s="31">
        <v>0</v>
      </c>
      <c r="J243" s="31">
        <v>0</v>
      </c>
      <c r="K243" s="31">
        <v>0</v>
      </c>
    </row>
    <row r="244" spans="1:11" x14ac:dyDescent="0.25">
      <c r="A244" t="s">
        <v>245</v>
      </c>
      <c r="B244" s="31">
        <v>0</v>
      </c>
      <c r="C244" s="31">
        <v>0</v>
      </c>
      <c r="D244" s="31">
        <v>0</v>
      </c>
      <c r="E244" s="31">
        <v>0</v>
      </c>
      <c r="F244" s="31">
        <v>0</v>
      </c>
      <c r="G244" s="31">
        <v>0</v>
      </c>
      <c r="H244" s="31">
        <v>0</v>
      </c>
      <c r="I244" s="31">
        <v>0</v>
      </c>
      <c r="J244" s="31">
        <v>0</v>
      </c>
      <c r="K244" s="31">
        <v>0</v>
      </c>
    </row>
    <row r="245" spans="1:11" x14ac:dyDescent="0.25">
      <c r="A245" t="s">
        <v>625</v>
      </c>
      <c r="B245" s="31">
        <v>0</v>
      </c>
      <c r="C245" s="31">
        <v>0</v>
      </c>
      <c r="D245" s="31">
        <v>0</v>
      </c>
      <c r="E245" s="31">
        <v>0</v>
      </c>
      <c r="F245" s="31">
        <v>0</v>
      </c>
      <c r="G245" s="31">
        <v>0</v>
      </c>
      <c r="H245" s="31">
        <v>0</v>
      </c>
      <c r="I245" s="31">
        <v>0</v>
      </c>
      <c r="J245" s="31">
        <v>0</v>
      </c>
      <c r="K245" s="31">
        <v>0</v>
      </c>
    </row>
    <row r="246" spans="1:11" x14ac:dyDescent="0.25">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5">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5">
      <c r="A248" t="s">
        <v>626</v>
      </c>
      <c r="B248" s="31">
        <v>0</v>
      </c>
      <c r="C248" s="31">
        <v>0</v>
      </c>
      <c r="D248" s="31">
        <v>0</v>
      </c>
      <c r="E248" s="31">
        <v>0.5</v>
      </c>
      <c r="F248" s="31">
        <v>0.5</v>
      </c>
      <c r="G248" s="31">
        <v>0.5</v>
      </c>
      <c r="H248" s="31">
        <v>0</v>
      </c>
      <c r="I248" s="31">
        <v>0</v>
      </c>
      <c r="J248" s="31">
        <v>0</v>
      </c>
      <c r="K248" s="31">
        <v>0</v>
      </c>
    </row>
    <row r="249" spans="1:11" x14ac:dyDescent="0.25">
      <c r="A249" t="s">
        <v>248</v>
      </c>
      <c r="B249" s="31">
        <v>0</v>
      </c>
      <c r="C249" s="31">
        <v>0.5</v>
      </c>
      <c r="D249" s="31">
        <v>0</v>
      </c>
      <c r="E249" s="31">
        <v>0.5</v>
      </c>
      <c r="F249" s="31">
        <v>0.5</v>
      </c>
      <c r="G249" s="31">
        <v>0.5</v>
      </c>
      <c r="H249" s="31">
        <v>0</v>
      </c>
      <c r="I249" s="31">
        <v>0</v>
      </c>
      <c r="J249" s="31">
        <v>0</v>
      </c>
      <c r="K249" s="31">
        <v>0</v>
      </c>
    </row>
    <row r="250" spans="1:11" x14ac:dyDescent="0.25">
      <c r="A250" t="s">
        <v>249</v>
      </c>
      <c r="B250" s="31">
        <v>0</v>
      </c>
      <c r="C250" s="31">
        <v>0</v>
      </c>
      <c r="D250" s="31">
        <v>0</v>
      </c>
      <c r="E250" s="31">
        <v>0</v>
      </c>
      <c r="F250" s="31">
        <v>0</v>
      </c>
      <c r="G250" s="31">
        <v>0</v>
      </c>
      <c r="H250" s="31">
        <v>0</v>
      </c>
      <c r="I250" s="31">
        <v>0</v>
      </c>
      <c r="J250" s="31">
        <v>0</v>
      </c>
      <c r="K250" s="31">
        <v>0</v>
      </c>
    </row>
    <row r="251" spans="1:11" x14ac:dyDescent="0.25">
      <c r="A251" t="s">
        <v>250</v>
      </c>
      <c r="B251" s="31">
        <v>0</v>
      </c>
      <c r="C251" s="31">
        <v>0</v>
      </c>
      <c r="D251" s="31">
        <v>0</v>
      </c>
      <c r="E251" s="31">
        <v>0.5</v>
      </c>
      <c r="F251" s="31">
        <v>0.5</v>
      </c>
      <c r="G251" s="31">
        <v>0.5</v>
      </c>
      <c r="H251" s="31">
        <v>0</v>
      </c>
      <c r="I251" s="31">
        <v>0</v>
      </c>
      <c r="J251" s="31">
        <v>0</v>
      </c>
      <c r="K251" s="31">
        <v>0</v>
      </c>
    </row>
    <row r="252" spans="1:11" x14ac:dyDescent="0.25">
      <c r="A252" t="s">
        <v>251</v>
      </c>
      <c r="B252" s="31">
        <v>0</v>
      </c>
      <c r="C252" s="31">
        <v>0</v>
      </c>
      <c r="D252" s="31">
        <v>0</v>
      </c>
      <c r="E252" s="31">
        <v>0</v>
      </c>
      <c r="F252" s="31">
        <v>0</v>
      </c>
      <c r="G252" s="31">
        <v>0</v>
      </c>
      <c r="H252" s="31">
        <v>0</v>
      </c>
      <c r="I252" s="31">
        <v>0</v>
      </c>
      <c r="J252" s="31">
        <v>0</v>
      </c>
      <c r="K252" s="31">
        <v>0</v>
      </c>
    </row>
    <row r="253" spans="1:11" x14ac:dyDescent="0.25">
      <c r="A253" t="s">
        <v>627</v>
      </c>
      <c r="B253" s="31">
        <v>0</v>
      </c>
      <c r="C253" s="31">
        <v>0</v>
      </c>
      <c r="D253" s="31">
        <v>0</v>
      </c>
      <c r="E253" s="31">
        <v>0</v>
      </c>
      <c r="F253" s="31">
        <v>0</v>
      </c>
      <c r="G253" s="31">
        <v>0</v>
      </c>
      <c r="H253" s="31">
        <v>0</v>
      </c>
      <c r="I253" s="31">
        <v>0</v>
      </c>
      <c r="J253" s="31">
        <v>0</v>
      </c>
      <c r="K253" s="31">
        <v>0</v>
      </c>
    </row>
    <row r="254" spans="1:11" x14ac:dyDescent="0.25">
      <c r="A254" t="s">
        <v>628</v>
      </c>
      <c r="B254" s="31">
        <v>0</v>
      </c>
      <c r="C254" s="31">
        <v>0</v>
      </c>
      <c r="D254" s="31">
        <v>0</v>
      </c>
      <c r="E254" s="31">
        <v>0</v>
      </c>
      <c r="F254" s="31">
        <v>0</v>
      </c>
      <c r="G254" s="31">
        <v>0</v>
      </c>
      <c r="H254" s="31">
        <v>0</v>
      </c>
      <c r="I254" s="31">
        <v>0</v>
      </c>
      <c r="J254" s="31">
        <v>0</v>
      </c>
      <c r="K254" s="31">
        <v>0</v>
      </c>
    </row>
    <row r="255" spans="1:11" x14ac:dyDescent="0.25">
      <c r="A255" t="s">
        <v>629</v>
      </c>
      <c r="B255" s="31">
        <v>0</v>
      </c>
      <c r="C255" s="31">
        <v>0</v>
      </c>
      <c r="D255" s="31">
        <v>0</v>
      </c>
      <c r="E255" s="31">
        <v>0</v>
      </c>
      <c r="F255" s="31">
        <v>0</v>
      </c>
      <c r="G255" s="31">
        <v>0</v>
      </c>
      <c r="H255" s="31">
        <v>0</v>
      </c>
      <c r="I255" s="31">
        <v>0</v>
      </c>
      <c r="J255" s="31">
        <v>0</v>
      </c>
      <c r="K255" s="31">
        <v>0</v>
      </c>
    </row>
    <row r="256" spans="1:11" x14ac:dyDescent="0.25">
      <c r="A256" t="s">
        <v>630</v>
      </c>
      <c r="B256" s="31">
        <v>0</v>
      </c>
      <c r="C256" s="31">
        <v>0</v>
      </c>
      <c r="D256" s="31">
        <v>0</v>
      </c>
      <c r="E256" s="31">
        <v>0.5</v>
      </c>
      <c r="F256" s="31">
        <v>0.5</v>
      </c>
      <c r="G256" s="31">
        <v>0.5</v>
      </c>
      <c r="H256" s="31">
        <v>0</v>
      </c>
      <c r="I256" s="31">
        <v>0</v>
      </c>
      <c r="J256" s="31">
        <v>0</v>
      </c>
      <c r="K256" s="31">
        <v>0</v>
      </c>
    </row>
    <row r="257" spans="1:11" x14ac:dyDescent="0.25">
      <c r="A257" t="s">
        <v>631</v>
      </c>
      <c r="B257" s="31">
        <v>0</v>
      </c>
      <c r="C257" s="31">
        <v>0</v>
      </c>
      <c r="D257" s="31">
        <v>0</v>
      </c>
      <c r="E257" s="31">
        <v>0</v>
      </c>
      <c r="F257" s="31">
        <v>0</v>
      </c>
      <c r="G257" s="31">
        <v>0</v>
      </c>
      <c r="H257" s="31">
        <v>0</v>
      </c>
      <c r="I257" s="31">
        <v>0</v>
      </c>
      <c r="J257" s="31">
        <v>0</v>
      </c>
      <c r="K257" s="31">
        <v>0</v>
      </c>
    </row>
    <row r="258" spans="1:11" x14ac:dyDescent="0.25">
      <c r="A258" t="s">
        <v>252</v>
      </c>
      <c r="B258" s="31">
        <v>0</v>
      </c>
      <c r="C258" s="31">
        <v>0</v>
      </c>
      <c r="D258" s="31">
        <v>0</v>
      </c>
      <c r="E258" s="31">
        <v>0</v>
      </c>
      <c r="F258" s="31">
        <v>0</v>
      </c>
      <c r="G258" s="31">
        <v>0</v>
      </c>
      <c r="H258" s="31">
        <v>0</v>
      </c>
      <c r="I258" s="31">
        <v>0</v>
      </c>
      <c r="J258" s="31">
        <v>0</v>
      </c>
      <c r="K258" s="31">
        <v>0</v>
      </c>
    </row>
    <row r="259" spans="1:11" x14ac:dyDescent="0.25">
      <c r="A259" t="s">
        <v>632</v>
      </c>
      <c r="B259" s="31">
        <v>0</v>
      </c>
      <c r="C259" s="31">
        <v>0</v>
      </c>
      <c r="D259" s="31">
        <v>0</v>
      </c>
      <c r="E259" s="31">
        <v>0</v>
      </c>
      <c r="F259" s="31">
        <v>0</v>
      </c>
      <c r="G259" s="31">
        <v>0</v>
      </c>
      <c r="H259" s="31">
        <v>0</v>
      </c>
      <c r="I259" s="31">
        <v>0</v>
      </c>
      <c r="J259" s="31">
        <v>0</v>
      </c>
      <c r="K259" s="31">
        <v>0</v>
      </c>
    </row>
    <row r="260" spans="1:11" x14ac:dyDescent="0.25">
      <c r="A260" t="s">
        <v>256</v>
      </c>
      <c r="B260" s="31">
        <v>0</v>
      </c>
      <c r="C260" s="31">
        <v>0</v>
      </c>
      <c r="D260" s="31">
        <v>0</v>
      </c>
      <c r="E260" s="31">
        <v>0.5</v>
      </c>
      <c r="F260" s="31">
        <v>0.5</v>
      </c>
      <c r="G260" s="31">
        <v>0.5</v>
      </c>
      <c r="H260" s="31">
        <v>0</v>
      </c>
      <c r="I260" s="31">
        <v>0</v>
      </c>
      <c r="J260" s="31">
        <v>0</v>
      </c>
      <c r="K260" s="31">
        <v>0</v>
      </c>
    </row>
    <row r="261" spans="1:11" x14ac:dyDescent="0.25">
      <c r="A261" t="s">
        <v>494</v>
      </c>
      <c r="B261" s="31">
        <v>0</v>
      </c>
      <c r="C261" s="31">
        <v>0</v>
      </c>
      <c r="D261" s="31">
        <v>0</v>
      </c>
      <c r="E261" s="31">
        <v>0.5</v>
      </c>
      <c r="F261" s="31">
        <v>0.5</v>
      </c>
      <c r="G261" s="31">
        <v>0.5</v>
      </c>
      <c r="H261" s="31">
        <v>0</v>
      </c>
      <c r="I261" s="31">
        <v>0</v>
      </c>
      <c r="J261" s="31">
        <v>0</v>
      </c>
      <c r="K261" s="31">
        <v>0</v>
      </c>
    </row>
    <row r="262" spans="1:11" x14ac:dyDescent="0.25">
      <c r="A262" t="s">
        <v>259</v>
      </c>
      <c r="B262" s="31">
        <v>0</v>
      </c>
      <c r="C262" s="31">
        <v>0</v>
      </c>
      <c r="D262" s="31">
        <v>0</v>
      </c>
      <c r="E262" s="31">
        <v>0</v>
      </c>
      <c r="F262" s="31">
        <v>0</v>
      </c>
      <c r="G262" s="31">
        <v>0</v>
      </c>
      <c r="H262" s="31">
        <v>0</v>
      </c>
      <c r="I262" s="31">
        <v>0</v>
      </c>
      <c r="J262" s="31">
        <v>0</v>
      </c>
      <c r="K262" s="31">
        <v>0</v>
      </c>
    </row>
    <row r="263" spans="1:11" x14ac:dyDescent="0.25">
      <c r="A263" t="s">
        <v>264</v>
      </c>
      <c r="B263" s="31">
        <v>0</v>
      </c>
      <c r="C263" s="31">
        <v>0</v>
      </c>
      <c r="D263" s="31">
        <v>0</v>
      </c>
      <c r="E263" s="31">
        <v>0.5</v>
      </c>
      <c r="F263" s="31">
        <v>0.5</v>
      </c>
      <c r="G263" s="31">
        <v>0.5</v>
      </c>
      <c r="H263" s="31">
        <v>0</v>
      </c>
      <c r="I263" s="31">
        <v>0</v>
      </c>
      <c r="J263" s="31">
        <v>0</v>
      </c>
      <c r="K263" s="31">
        <v>0</v>
      </c>
    </row>
    <row r="264" spans="1:11" x14ac:dyDescent="0.25">
      <c r="A264" t="s">
        <v>266</v>
      </c>
      <c r="B264" s="31">
        <v>0</v>
      </c>
      <c r="C264" s="31">
        <v>0</v>
      </c>
      <c r="D264" s="31">
        <v>0</v>
      </c>
      <c r="E264" s="31">
        <v>0</v>
      </c>
      <c r="F264" s="31">
        <v>0</v>
      </c>
      <c r="G264" s="31">
        <v>0</v>
      </c>
      <c r="H264" s="31">
        <v>0</v>
      </c>
      <c r="I264" s="31">
        <v>0</v>
      </c>
      <c r="J264" s="31">
        <v>0</v>
      </c>
      <c r="K264" s="31">
        <v>0</v>
      </c>
    </row>
    <row r="265" spans="1:11" x14ac:dyDescent="0.25">
      <c r="A265" t="s">
        <v>254</v>
      </c>
      <c r="B265" s="31">
        <v>0</v>
      </c>
      <c r="C265" s="31">
        <v>0</v>
      </c>
      <c r="D265" s="31">
        <v>0</v>
      </c>
      <c r="E265" s="31">
        <v>0.75</v>
      </c>
      <c r="F265" s="31">
        <v>0.5</v>
      </c>
      <c r="G265" s="31">
        <v>0.5</v>
      </c>
      <c r="H265" s="31">
        <v>0</v>
      </c>
      <c r="I265" s="31">
        <v>0</v>
      </c>
      <c r="J265" s="31">
        <v>0</v>
      </c>
      <c r="K265" s="31">
        <v>0</v>
      </c>
    </row>
    <row r="266" spans="1:11" x14ac:dyDescent="0.25">
      <c r="A266" t="s">
        <v>255</v>
      </c>
      <c r="B266" s="31">
        <v>0</v>
      </c>
      <c r="C266" s="31">
        <v>0</v>
      </c>
      <c r="D266" s="31">
        <v>0</v>
      </c>
      <c r="E266" s="31">
        <v>0.75</v>
      </c>
      <c r="F266" s="31">
        <v>0.5</v>
      </c>
      <c r="G266" s="31">
        <v>0.5</v>
      </c>
      <c r="H266" s="31">
        <v>0</v>
      </c>
      <c r="I266" s="31">
        <v>0</v>
      </c>
      <c r="J266" s="31">
        <v>0</v>
      </c>
      <c r="K266" s="31">
        <v>0</v>
      </c>
    </row>
    <row r="267" spans="1:11" x14ac:dyDescent="0.25">
      <c r="A267" t="s">
        <v>257</v>
      </c>
      <c r="B267" s="31">
        <v>0</v>
      </c>
      <c r="C267" s="31">
        <v>0</v>
      </c>
      <c r="D267" s="31">
        <v>0</v>
      </c>
      <c r="E267" s="31">
        <v>0.5</v>
      </c>
      <c r="F267" s="31">
        <v>0.5</v>
      </c>
      <c r="G267" s="31">
        <v>0.5</v>
      </c>
      <c r="H267" s="31">
        <v>0</v>
      </c>
      <c r="I267" s="31">
        <v>0</v>
      </c>
      <c r="J267" s="31">
        <v>0</v>
      </c>
      <c r="K267" s="31">
        <v>0</v>
      </c>
    </row>
    <row r="268" spans="1:11" x14ac:dyDescent="0.25">
      <c r="A268" t="s">
        <v>258</v>
      </c>
      <c r="B268" s="31" t="s">
        <v>411</v>
      </c>
      <c r="C268" s="31">
        <v>0.5</v>
      </c>
      <c r="D268" s="31">
        <v>0</v>
      </c>
      <c r="E268" s="31">
        <v>1</v>
      </c>
      <c r="F268" s="31">
        <v>1</v>
      </c>
      <c r="G268" s="31">
        <v>1</v>
      </c>
      <c r="H268" s="31" t="s">
        <v>408</v>
      </c>
      <c r="I268" s="31" t="s">
        <v>408</v>
      </c>
      <c r="J268" s="31" t="s">
        <v>408</v>
      </c>
      <c r="K268" s="31" t="s">
        <v>408</v>
      </c>
    </row>
    <row r="269" spans="1:11" x14ac:dyDescent="0.25">
      <c r="A269" t="s">
        <v>260</v>
      </c>
      <c r="B269" s="31">
        <v>0</v>
      </c>
      <c r="C269" s="31">
        <v>0</v>
      </c>
      <c r="D269" s="31">
        <v>0</v>
      </c>
      <c r="E269" s="31">
        <v>0</v>
      </c>
      <c r="F269" s="31">
        <v>0</v>
      </c>
      <c r="G269" s="31">
        <v>0</v>
      </c>
      <c r="H269" s="31">
        <v>0</v>
      </c>
      <c r="I269" s="31">
        <v>0</v>
      </c>
      <c r="J269" s="31">
        <v>0</v>
      </c>
      <c r="K269" s="31">
        <v>0</v>
      </c>
    </row>
    <row r="270" spans="1:11" x14ac:dyDescent="0.25">
      <c r="A270" t="s">
        <v>635</v>
      </c>
      <c r="B270" s="31">
        <v>0</v>
      </c>
      <c r="C270" s="31">
        <v>0</v>
      </c>
      <c r="D270" s="31">
        <v>0</v>
      </c>
      <c r="E270" s="31">
        <v>0</v>
      </c>
      <c r="F270" s="31">
        <v>0</v>
      </c>
      <c r="G270" s="31">
        <v>0</v>
      </c>
      <c r="H270" s="31">
        <v>0</v>
      </c>
      <c r="I270" s="31">
        <v>0</v>
      </c>
      <c r="J270" s="31">
        <v>0</v>
      </c>
      <c r="K270" s="31">
        <v>0</v>
      </c>
    </row>
    <row r="271" spans="1:11" x14ac:dyDescent="0.25">
      <c r="A271" t="s">
        <v>636</v>
      </c>
      <c r="B271" s="31">
        <v>0</v>
      </c>
      <c r="C271" s="31">
        <v>0</v>
      </c>
      <c r="D271" s="31">
        <v>0</v>
      </c>
      <c r="E271" s="31">
        <v>0</v>
      </c>
      <c r="F271" s="31">
        <v>0</v>
      </c>
      <c r="G271" s="31">
        <v>0</v>
      </c>
      <c r="H271" s="31">
        <v>0</v>
      </c>
      <c r="I271" s="31">
        <v>0</v>
      </c>
      <c r="J271" s="31">
        <v>0</v>
      </c>
      <c r="K271" s="31">
        <v>0</v>
      </c>
    </row>
    <row r="272" spans="1:11" x14ac:dyDescent="0.25">
      <c r="A272" t="s">
        <v>637</v>
      </c>
      <c r="B272" s="31">
        <v>0</v>
      </c>
      <c r="C272" s="31">
        <v>0</v>
      </c>
      <c r="D272" s="31">
        <v>0</v>
      </c>
      <c r="E272" s="31">
        <v>0</v>
      </c>
      <c r="F272" s="31">
        <v>0</v>
      </c>
      <c r="G272" s="31">
        <v>0</v>
      </c>
      <c r="H272" s="31">
        <v>0</v>
      </c>
      <c r="I272" s="31">
        <v>0</v>
      </c>
      <c r="J272" s="31">
        <v>0</v>
      </c>
      <c r="K272" s="31">
        <v>0</v>
      </c>
    </row>
    <row r="273" spans="1:11" x14ac:dyDescent="0.25">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5">
      <c r="A274" t="s">
        <v>253</v>
      </c>
      <c r="B274" s="31" t="s">
        <v>411</v>
      </c>
      <c r="C274" s="31">
        <v>0.5</v>
      </c>
      <c r="D274" s="31" t="s">
        <v>408</v>
      </c>
      <c r="E274" s="31">
        <v>1</v>
      </c>
      <c r="F274" s="31">
        <v>1</v>
      </c>
      <c r="G274" s="31">
        <v>1</v>
      </c>
      <c r="H274" s="31" t="s">
        <v>408</v>
      </c>
      <c r="I274" s="31" t="s">
        <v>408</v>
      </c>
      <c r="J274" s="31" t="s">
        <v>408</v>
      </c>
      <c r="K274" s="31" t="s">
        <v>408</v>
      </c>
    </row>
    <row r="275" spans="1:11" x14ac:dyDescent="0.25">
      <c r="A275" t="s">
        <v>638</v>
      </c>
      <c r="B275" s="31">
        <v>0</v>
      </c>
      <c r="C275" s="31">
        <v>0</v>
      </c>
      <c r="D275" s="31">
        <v>0</v>
      </c>
      <c r="E275" s="31">
        <v>0</v>
      </c>
      <c r="F275" s="31">
        <v>0</v>
      </c>
      <c r="G275" s="31">
        <v>0</v>
      </c>
      <c r="H275" s="31">
        <v>0</v>
      </c>
      <c r="I275" s="31">
        <v>0</v>
      </c>
      <c r="J275" s="31">
        <v>0</v>
      </c>
      <c r="K275" s="31">
        <v>0</v>
      </c>
    </row>
    <row r="276" spans="1:11" x14ac:dyDescent="0.25">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5">
      <c r="A277" t="s">
        <v>262</v>
      </c>
      <c r="B277" s="31">
        <v>0</v>
      </c>
      <c r="C277" s="31">
        <v>0</v>
      </c>
      <c r="D277" s="31">
        <v>0</v>
      </c>
      <c r="E277" s="31">
        <v>0.75</v>
      </c>
      <c r="F277" s="31">
        <v>0.5</v>
      </c>
      <c r="G277" s="31">
        <v>0.5</v>
      </c>
      <c r="H277" s="31">
        <v>0</v>
      </c>
      <c r="I277" s="31">
        <v>0</v>
      </c>
      <c r="J277" s="31">
        <v>0</v>
      </c>
      <c r="K277" s="31">
        <v>0</v>
      </c>
    </row>
    <row r="278" spans="1:11" x14ac:dyDescent="0.25">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5">
      <c r="A279" t="s">
        <v>640</v>
      </c>
      <c r="B279" s="31">
        <v>0</v>
      </c>
      <c r="C279" s="31">
        <v>0</v>
      </c>
      <c r="D279" s="31">
        <v>0</v>
      </c>
      <c r="E279" s="31">
        <v>0</v>
      </c>
      <c r="F279" s="31">
        <v>0</v>
      </c>
      <c r="G279" s="31">
        <v>0</v>
      </c>
      <c r="H279" s="31">
        <v>0</v>
      </c>
      <c r="I279" s="31">
        <v>0</v>
      </c>
      <c r="J279" s="31">
        <v>0</v>
      </c>
      <c r="K279" s="31">
        <v>0</v>
      </c>
    </row>
    <row r="280" spans="1:11" x14ac:dyDescent="0.25">
      <c r="A280" t="s">
        <v>265</v>
      </c>
      <c r="B280" s="31">
        <v>0</v>
      </c>
      <c r="C280" s="31">
        <v>0</v>
      </c>
      <c r="D280" s="31">
        <v>0</v>
      </c>
      <c r="E280" s="31">
        <v>0</v>
      </c>
      <c r="F280" s="31">
        <v>0</v>
      </c>
      <c r="G280" s="31">
        <v>0</v>
      </c>
      <c r="H280" s="31">
        <v>0</v>
      </c>
      <c r="I280" s="31">
        <v>0</v>
      </c>
      <c r="J280" s="31">
        <v>0</v>
      </c>
      <c r="K280" s="31">
        <v>0</v>
      </c>
    </row>
    <row r="281" spans="1:11" x14ac:dyDescent="0.25">
      <c r="A281" t="s">
        <v>642</v>
      </c>
      <c r="B281" s="31">
        <v>0</v>
      </c>
      <c r="C281" s="31">
        <v>0</v>
      </c>
      <c r="D281" s="31">
        <v>0</v>
      </c>
      <c r="E281" s="31">
        <v>0</v>
      </c>
      <c r="F281" s="31">
        <v>0</v>
      </c>
      <c r="G281" s="31">
        <v>0</v>
      </c>
      <c r="H281" s="31">
        <v>0</v>
      </c>
      <c r="I281" s="31">
        <v>0</v>
      </c>
      <c r="J281" s="31">
        <v>0</v>
      </c>
      <c r="K281" s="31">
        <v>0</v>
      </c>
    </row>
    <row r="282" spans="1:11" x14ac:dyDescent="0.25">
      <c r="A282" t="s">
        <v>643</v>
      </c>
      <c r="B282" s="31">
        <v>0</v>
      </c>
      <c r="C282" s="31">
        <v>0</v>
      </c>
      <c r="D282" s="31">
        <v>0</v>
      </c>
      <c r="E282" s="31">
        <v>0</v>
      </c>
      <c r="F282" s="31">
        <v>0</v>
      </c>
      <c r="G282" s="31">
        <v>0</v>
      </c>
      <c r="H282" s="31">
        <v>0</v>
      </c>
      <c r="I282" s="31">
        <v>0</v>
      </c>
      <c r="J282" s="31">
        <v>0</v>
      </c>
      <c r="K282" s="31">
        <v>0</v>
      </c>
    </row>
    <row r="283" spans="1:11" x14ac:dyDescent="0.25">
      <c r="A283" t="s">
        <v>267</v>
      </c>
      <c r="B283" s="31">
        <v>0</v>
      </c>
      <c r="C283" s="31">
        <v>1</v>
      </c>
      <c r="D283" s="31">
        <v>0</v>
      </c>
      <c r="E283" s="31">
        <v>1</v>
      </c>
      <c r="F283" s="31">
        <v>1</v>
      </c>
      <c r="G283" s="31">
        <v>1</v>
      </c>
      <c r="H283" s="31">
        <v>0</v>
      </c>
      <c r="I283" s="31">
        <v>0</v>
      </c>
      <c r="J283" s="31">
        <v>0</v>
      </c>
      <c r="K283" s="31">
        <v>0</v>
      </c>
    </row>
    <row r="284" spans="1:11" x14ac:dyDescent="0.25">
      <c r="A284" t="s">
        <v>644</v>
      </c>
      <c r="B284" s="31">
        <v>0</v>
      </c>
      <c r="C284" s="31">
        <v>0</v>
      </c>
      <c r="D284" s="31">
        <v>0</v>
      </c>
      <c r="E284" s="31">
        <v>0</v>
      </c>
      <c r="F284" s="31">
        <v>0</v>
      </c>
      <c r="G284" s="31">
        <v>0</v>
      </c>
      <c r="H284" s="31">
        <v>0</v>
      </c>
      <c r="I284" s="31">
        <v>0</v>
      </c>
      <c r="J284" s="31">
        <v>0</v>
      </c>
      <c r="K284" s="31">
        <v>0</v>
      </c>
    </row>
    <row r="285" spans="1:11" x14ac:dyDescent="0.25">
      <c r="A285" t="s">
        <v>268</v>
      </c>
      <c r="B285" s="31">
        <v>0</v>
      </c>
      <c r="C285" s="31">
        <v>0</v>
      </c>
      <c r="D285" s="31">
        <v>0</v>
      </c>
      <c r="E285" s="31">
        <v>0</v>
      </c>
      <c r="F285" s="31">
        <v>0</v>
      </c>
      <c r="G285" s="31">
        <v>0</v>
      </c>
      <c r="H285" s="31">
        <v>0</v>
      </c>
      <c r="I285" s="31">
        <v>0</v>
      </c>
      <c r="J285" s="31">
        <v>0</v>
      </c>
      <c r="K285" s="31">
        <v>0</v>
      </c>
    </row>
    <row r="286" spans="1:11" x14ac:dyDescent="0.25">
      <c r="A286" t="s">
        <v>645</v>
      </c>
      <c r="B286" s="31">
        <v>0</v>
      </c>
      <c r="C286" s="31">
        <v>0</v>
      </c>
      <c r="D286" s="31">
        <v>0</v>
      </c>
      <c r="E286" s="31">
        <v>0</v>
      </c>
      <c r="F286" s="31">
        <v>0</v>
      </c>
      <c r="G286" s="31">
        <v>0</v>
      </c>
      <c r="H286" s="31">
        <v>0</v>
      </c>
      <c r="I286" s="31">
        <v>0</v>
      </c>
      <c r="J286" s="31">
        <v>0</v>
      </c>
      <c r="K286" s="31">
        <v>0</v>
      </c>
    </row>
    <row r="287" spans="1:11" x14ac:dyDescent="0.25">
      <c r="A287" t="s">
        <v>269</v>
      </c>
      <c r="B287" s="31">
        <v>0</v>
      </c>
      <c r="C287" s="31">
        <v>0</v>
      </c>
      <c r="D287" s="31">
        <v>0</v>
      </c>
      <c r="E287" s="31">
        <v>0.5</v>
      </c>
      <c r="F287" s="31">
        <v>0.5</v>
      </c>
      <c r="G287" s="31">
        <v>0.5</v>
      </c>
      <c r="H287" s="31">
        <v>0</v>
      </c>
      <c r="I287" s="31">
        <v>0</v>
      </c>
      <c r="J287" s="31">
        <v>0</v>
      </c>
      <c r="K287" s="31">
        <v>0</v>
      </c>
    </row>
    <row r="288" spans="1:11" x14ac:dyDescent="0.25">
      <c r="A288" t="s">
        <v>270</v>
      </c>
      <c r="B288" s="31">
        <v>0</v>
      </c>
      <c r="C288" s="31">
        <v>0</v>
      </c>
      <c r="D288" s="31">
        <v>0</v>
      </c>
      <c r="E288" s="31">
        <v>0.75</v>
      </c>
      <c r="F288" s="31">
        <v>0.5</v>
      </c>
      <c r="G288" s="31">
        <v>0.5</v>
      </c>
      <c r="H288" s="31">
        <v>0</v>
      </c>
      <c r="I288" s="31">
        <v>0</v>
      </c>
      <c r="J288" s="31">
        <v>0</v>
      </c>
      <c r="K288" s="31">
        <v>0</v>
      </c>
    </row>
    <row r="289" spans="1:11" x14ac:dyDescent="0.25">
      <c r="A289" t="s">
        <v>646</v>
      </c>
      <c r="B289" s="31">
        <v>0</v>
      </c>
      <c r="C289" s="31">
        <v>0</v>
      </c>
      <c r="D289" s="31">
        <v>0</v>
      </c>
      <c r="E289" s="31">
        <v>0</v>
      </c>
      <c r="F289" s="31">
        <v>0</v>
      </c>
      <c r="G289" s="31">
        <v>0</v>
      </c>
      <c r="H289" s="31">
        <v>0</v>
      </c>
      <c r="I289" s="31">
        <v>0</v>
      </c>
      <c r="J289" s="31">
        <v>0</v>
      </c>
      <c r="K289" s="31">
        <v>0</v>
      </c>
    </row>
    <row r="290" spans="1:11" x14ac:dyDescent="0.25">
      <c r="A290" t="s">
        <v>271</v>
      </c>
      <c r="B290" s="31">
        <v>0</v>
      </c>
      <c r="C290" s="31">
        <v>0</v>
      </c>
      <c r="D290" s="31">
        <v>0</v>
      </c>
      <c r="E290" s="31">
        <v>0.5</v>
      </c>
      <c r="F290" s="31">
        <v>0.5</v>
      </c>
      <c r="G290" s="31">
        <v>0.5</v>
      </c>
      <c r="H290" s="31">
        <v>0</v>
      </c>
      <c r="I290" s="31">
        <v>0</v>
      </c>
      <c r="J290" s="31">
        <v>0</v>
      </c>
      <c r="K290" s="31">
        <v>0</v>
      </c>
    </row>
    <row r="291" spans="1:11" x14ac:dyDescent="0.25">
      <c r="A291" t="s">
        <v>647</v>
      </c>
      <c r="B291" s="31">
        <v>0</v>
      </c>
      <c r="C291" s="31">
        <v>0</v>
      </c>
      <c r="D291" s="31">
        <v>0</v>
      </c>
      <c r="E291" s="31">
        <v>0</v>
      </c>
      <c r="F291" s="31">
        <v>0</v>
      </c>
      <c r="G291" s="31">
        <v>0</v>
      </c>
      <c r="H291" s="31">
        <v>0</v>
      </c>
      <c r="I291" s="31">
        <v>0</v>
      </c>
      <c r="J291" s="31">
        <v>0</v>
      </c>
      <c r="K291" s="31">
        <v>0</v>
      </c>
    </row>
    <row r="292" spans="1:11" x14ac:dyDescent="0.25">
      <c r="A292" t="s">
        <v>272</v>
      </c>
      <c r="B292" s="31">
        <v>0</v>
      </c>
      <c r="C292" s="31">
        <v>0</v>
      </c>
      <c r="D292" s="31">
        <v>0</v>
      </c>
      <c r="E292" s="31">
        <v>0</v>
      </c>
      <c r="F292" s="31">
        <v>0</v>
      </c>
      <c r="G292" s="31">
        <v>0</v>
      </c>
      <c r="H292" s="31">
        <v>0</v>
      </c>
      <c r="I292" s="31">
        <v>0</v>
      </c>
      <c r="J292" s="31">
        <v>0</v>
      </c>
      <c r="K292" s="31">
        <v>0</v>
      </c>
    </row>
    <row r="293" spans="1:11" x14ac:dyDescent="0.25">
      <c r="A293" t="s">
        <v>273</v>
      </c>
      <c r="B293" s="31" t="s">
        <v>411</v>
      </c>
      <c r="C293" s="31">
        <v>1</v>
      </c>
      <c r="D293" s="31">
        <v>0</v>
      </c>
      <c r="E293" s="31">
        <v>1</v>
      </c>
      <c r="F293" s="31">
        <v>1</v>
      </c>
      <c r="G293" s="31">
        <v>1</v>
      </c>
      <c r="H293" s="31">
        <v>0</v>
      </c>
      <c r="I293" s="31">
        <v>0</v>
      </c>
      <c r="J293" s="31">
        <v>0</v>
      </c>
      <c r="K293" s="31">
        <v>0</v>
      </c>
    </row>
    <row r="294" spans="1:11" x14ac:dyDescent="0.25">
      <c r="A294" t="s">
        <v>274</v>
      </c>
      <c r="B294" s="31">
        <v>0</v>
      </c>
      <c r="C294" s="31">
        <v>0</v>
      </c>
      <c r="D294" s="31">
        <v>0</v>
      </c>
      <c r="E294" s="31">
        <v>0.5</v>
      </c>
      <c r="F294" s="31">
        <v>0</v>
      </c>
      <c r="G294" s="31">
        <v>0.5</v>
      </c>
      <c r="H294" s="31">
        <v>0</v>
      </c>
      <c r="I294" s="31">
        <v>0</v>
      </c>
      <c r="J294" s="31">
        <v>0</v>
      </c>
      <c r="K294" s="31">
        <v>0</v>
      </c>
    </row>
    <row r="295" spans="1:11" x14ac:dyDescent="0.25">
      <c r="A295" t="s">
        <v>648</v>
      </c>
      <c r="B295" s="31">
        <v>0</v>
      </c>
      <c r="C295" s="31">
        <v>0</v>
      </c>
      <c r="D295" s="31">
        <v>0</v>
      </c>
      <c r="E295" s="31">
        <v>0</v>
      </c>
      <c r="F295" s="31">
        <v>0</v>
      </c>
      <c r="G295" s="31">
        <v>0</v>
      </c>
      <c r="H295" s="31">
        <v>0</v>
      </c>
      <c r="I295" s="31">
        <v>0</v>
      </c>
      <c r="J295" s="31">
        <v>0</v>
      </c>
      <c r="K295" s="31">
        <v>0</v>
      </c>
    </row>
    <row r="296" spans="1:11" x14ac:dyDescent="0.25">
      <c r="A296" t="s">
        <v>649</v>
      </c>
      <c r="B296" s="31">
        <v>0</v>
      </c>
      <c r="C296" s="31">
        <v>0</v>
      </c>
      <c r="D296" s="31">
        <v>0</v>
      </c>
      <c r="E296" s="31">
        <v>0</v>
      </c>
      <c r="F296" s="31">
        <v>0</v>
      </c>
      <c r="G296" s="31">
        <v>0</v>
      </c>
      <c r="H296" s="31">
        <v>0</v>
      </c>
      <c r="I296" s="31">
        <v>0</v>
      </c>
      <c r="J296" s="31">
        <v>0</v>
      </c>
      <c r="K296" s="31">
        <v>0</v>
      </c>
    </row>
    <row r="297" spans="1:11" x14ac:dyDescent="0.25">
      <c r="A297" t="s">
        <v>650</v>
      </c>
      <c r="B297" s="31">
        <v>0</v>
      </c>
      <c r="C297" s="31">
        <v>0</v>
      </c>
      <c r="D297" s="31">
        <v>0</v>
      </c>
      <c r="E297" s="31">
        <v>0</v>
      </c>
      <c r="F297" s="31">
        <v>0</v>
      </c>
      <c r="G297" s="31">
        <v>0</v>
      </c>
      <c r="H297" s="31">
        <v>0</v>
      </c>
      <c r="I297" s="31">
        <v>0</v>
      </c>
      <c r="J297" s="31">
        <v>0</v>
      </c>
      <c r="K297" s="31">
        <v>0</v>
      </c>
    </row>
    <row r="298" spans="1:11" x14ac:dyDescent="0.25">
      <c r="A298" t="s">
        <v>651</v>
      </c>
      <c r="B298" s="31">
        <v>0</v>
      </c>
      <c r="C298" s="31">
        <v>0</v>
      </c>
      <c r="D298" s="31">
        <v>0</v>
      </c>
      <c r="E298" s="31">
        <v>0</v>
      </c>
      <c r="F298" s="31">
        <v>0</v>
      </c>
      <c r="G298" s="31">
        <v>0</v>
      </c>
      <c r="H298" s="31">
        <v>0</v>
      </c>
      <c r="I298" s="31">
        <v>0</v>
      </c>
      <c r="J298" s="31">
        <v>0</v>
      </c>
      <c r="K298" s="31">
        <v>0</v>
      </c>
    </row>
    <row r="299" spans="1:11" x14ac:dyDescent="0.25">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5">
      <c r="A300" t="s">
        <v>498</v>
      </c>
      <c r="B300" s="31">
        <v>0</v>
      </c>
      <c r="C300" s="31">
        <v>0</v>
      </c>
      <c r="D300" s="31">
        <v>0</v>
      </c>
      <c r="E300" s="31">
        <v>0</v>
      </c>
      <c r="F300" s="31">
        <v>0</v>
      </c>
      <c r="G300" s="31">
        <v>0</v>
      </c>
      <c r="H300" s="31">
        <v>0</v>
      </c>
      <c r="I300" s="31">
        <v>0</v>
      </c>
      <c r="J300" s="31">
        <v>0</v>
      </c>
      <c r="K300" s="31">
        <v>0</v>
      </c>
    </row>
    <row r="301" spans="1:11" x14ac:dyDescent="0.25">
      <c r="A301" t="s">
        <v>276</v>
      </c>
      <c r="B301" s="31">
        <v>0</v>
      </c>
      <c r="C301" s="31">
        <v>0</v>
      </c>
      <c r="D301" s="31">
        <v>0</v>
      </c>
      <c r="E301" s="31">
        <v>0.5</v>
      </c>
      <c r="F301" s="31">
        <v>0.5</v>
      </c>
      <c r="G301" s="31">
        <v>0.5</v>
      </c>
      <c r="H301" s="31">
        <v>0</v>
      </c>
      <c r="I301" s="31">
        <v>0</v>
      </c>
      <c r="J301" s="31">
        <v>0</v>
      </c>
      <c r="K301" s="31">
        <v>0</v>
      </c>
    </row>
    <row r="302" spans="1:11" x14ac:dyDescent="0.25">
      <c r="A302" t="s">
        <v>652</v>
      </c>
      <c r="B302" s="31">
        <v>0</v>
      </c>
      <c r="C302" s="31">
        <v>0</v>
      </c>
      <c r="D302" s="31">
        <v>0</v>
      </c>
      <c r="E302" s="31">
        <v>0</v>
      </c>
      <c r="F302" s="31">
        <v>0</v>
      </c>
      <c r="G302" s="31">
        <v>0</v>
      </c>
      <c r="H302" s="31">
        <v>0</v>
      </c>
      <c r="I302" s="31">
        <v>0</v>
      </c>
      <c r="J302" s="31">
        <v>0</v>
      </c>
      <c r="K302" s="31">
        <v>0</v>
      </c>
    </row>
    <row r="303" spans="1:11" x14ac:dyDescent="0.25">
      <c r="A303" t="s">
        <v>277</v>
      </c>
      <c r="B303" s="31">
        <v>0</v>
      </c>
      <c r="C303" s="31">
        <v>0</v>
      </c>
      <c r="D303" s="31">
        <v>0</v>
      </c>
      <c r="E303" s="31">
        <v>0</v>
      </c>
      <c r="F303" s="31">
        <v>0</v>
      </c>
      <c r="G303" s="31">
        <v>0</v>
      </c>
      <c r="H303" s="31">
        <v>0</v>
      </c>
      <c r="I303" s="31">
        <v>0</v>
      </c>
      <c r="J303" s="31">
        <v>0</v>
      </c>
      <c r="K303" s="31">
        <v>0</v>
      </c>
    </row>
    <row r="304" spans="1:11" x14ac:dyDescent="0.25">
      <c r="A304" t="s">
        <v>278</v>
      </c>
      <c r="B304" s="31">
        <v>0</v>
      </c>
      <c r="C304" s="31">
        <v>0</v>
      </c>
      <c r="D304" s="31">
        <v>0</v>
      </c>
      <c r="E304" s="31">
        <v>0</v>
      </c>
      <c r="F304" s="31">
        <v>0</v>
      </c>
      <c r="G304" s="31">
        <v>0</v>
      </c>
      <c r="H304" s="31">
        <v>0</v>
      </c>
      <c r="I304" s="31">
        <v>0</v>
      </c>
      <c r="J304" s="31">
        <v>0</v>
      </c>
      <c r="K304" s="31">
        <v>0</v>
      </c>
    </row>
    <row r="305" spans="1:11" x14ac:dyDescent="0.25">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5">
      <c r="A306" t="s">
        <v>654</v>
      </c>
      <c r="B306" s="31">
        <v>0</v>
      </c>
      <c r="C306" s="31">
        <v>0</v>
      </c>
      <c r="D306" s="31">
        <v>0</v>
      </c>
      <c r="E306" s="31">
        <v>0</v>
      </c>
      <c r="F306" s="31">
        <v>0</v>
      </c>
      <c r="G306" s="31">
        <v>0</v>
      </c>
      <c r="H306" s="31">
        <v>0</v>
      </c>
      <c r="I306" s="31">
        <v>0</v>
      </c>
      <c r="J306" s="31">
        <v>0</v>
      </c>
      <c r="K306" s="31">
        <v>0</v>
      </c>
    </row>
    <row r="307" spans="1:11" x14ac:dyDescent="0.25">
      <c r="A307" t="s">
        <v>279</v>
      </c>
      <c r="B307" s="31">
        <v>0</v>
      </c>
      <c r="C307" s="31">
        <v>0</v>
      </c>
      <c r="D307" s="31">
        <v>0</v>
      </c>
      <c r="E307" s="31">
        <v>0</v>
      </c>
      <c r="F307" s="31">
        <v>0</v>
      </c>
      <c r="G307" s="31">
        <v>0</v>
      </c>
      <c r="H307" s="31">
        <v>0</v>
      </c>
      <c r="I307" s="31">
        <v>0</v>
      </c>
      <c r="J307" s="31">
        <v>0</v>
      </c>
      <c r="K307" s="31">
        <v>0</v>
      </c>
    </row>
    <row r="308" spans="1:11" x14ac:dyDescent="0.25">
      <c r="A308" t="s">
        <v>280</v>
      </c>
      <c r="B308" s="31">
        <v>0</v>
      </c>
      <c r="C308" s="31">
        <v>0</v>
      </c>
      <c r="D308" s="31">
        <v>0</v>
      </c>
      <c r="E308" s="31">
        <v>0</v>
      </c>
      <c r="F308" s="31">
        <v>0</v>
      </c>
      <c r="G308" s="31">
        <v>0</v>
      </c>
      <c r="H308" s="31">
        <v>0</v>
      </c>
      <c r="I308" s="31">
        <v>0</v>
      </c>
      <c r="J308" s="31">
        <v>0</v>
      </c>
      <c r="K308" s="31">
        <v>0</v>
      </c>
    </row>
    <row r="309" spans="1:11" x14ac:dyDescent="0.25">
      <c r="A309" t="s">
        <v>503</v>
      </c>
      <c r="B309" s="31">
        <v>0</v>
      </c>
      <c r="C309" s="31">
        <v>0</v>
      </c>
      <c r="D309" s="31">
        <v>0</v>
      </c>
      <c r="E309" s="31">
        <v>0</v>
      </c>
      <c r="F309" s="31">
        <v>0</v>
      </c>
      <c r="G309" s="31">
        <v>0</v>
      </c>
      <c r="H309" s="31">
        <v>0</v>
      </c>
      <c r="I309" s="31">
        <v>0</v>
      </c>
      <c r="J309" s="31">
        <v>0</v>
      </c>
      <c r="K309" s="31">
        <v>0</v>
      </c>
    </row>
    <row r="310" spans="1:11" x14ac:dyDescent="0.25">
      <c r="A310" t="s">
        <v>502</v>
      </c>
      <c r="B310" s="31">
        <v>0</v>
      </c>
      <c r="C310" s="31">
        <v>0</v>
      </c>
      <c r="D310" s="31">
        <v>0</v>
      </c>
      <c r="E310" s="31">
        <v>0</v>
      </c>
      <c r="F310" s="31">
        <v>0</v>
      </c>
      <c r="G310" s="31">
        <v>0</v>
      </c>
      <c r="H310" s="31">
        <v>0</v>
      </c>
      <c r="I310" s="31">
        <v>0</v>
      </c>
      <c r="J310" s="31">
        <v>0</v>
      </c>
      <c r="K310" s="31">
        <v>0</v>
      </c>
    </row>
    <row r="311" spans="1:11" x14ac:dyDescent="0.25">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5">
      <c r="A312" t="s">
        <v>656</v>
      </c>
      <c r="B312" s="31">
        <v>0</v>
      </c>
      <c r="C312" s="31">
        <v>0</v>
      </c>
      <c r="D312" s="31">
        <v>0</v>
      </c>
      <c r="E312" s="31">
        <v>0</v>
      </c>
      <c r="F312" s="31">
        <v>0</v>
      </c>
      <c r="G312" s="31">
        <v>0</v>
      </c>
      <c r="H312" s="31">
        <v>0</v>
      </c>
      <c r="I312" s="31">
        <v>0</v>
      </c>
      <c r="J312" s="31">
        <v>0</v>
      </c>
      <c r="K312" s="31">
        <v>0</v>
      </c>
    </row>
    <row r="313" spans="1:11" x14ac:dyDescent="0.25">
      <c r="A313" t="s">
        <v>281</v>
      </c>
      <c r="B313" s="31">
        <v>0</v>
      </c>
      <c r="C313" s="31">
        <v>0</v>
      </c>
      <c r="D313" s="31">
        <v>0</v>
      </c>
      <c r="E313" s="31">
        <v>0</v>
      </c>
      <c r="F313" s="31">
        <v>0</v>
      </c>
      <c r="G313" s="31">
        <v>0</v>
      </c>
      <c r="H313" s="31">
        <v>0</v>
      </c>
      <c r="I313" s="31">
        <v>0</v>
      </c>
      <c r="J313" s="31">
        <v>0</v>
      </c>
      <c r="K313" s="31">
        <v>0</v>
      </c>
    </row>
    <row r="314" spans="1:11" x14ac:dyDescent="0.25">
      <c r="A314" t="s">
        <v>282</v>
      </c>
      <c r="B314" s="31">
        <v>0</v>
      </c>
      <c r="C314" s="31">
        <v>0</v>
      </c>
      <c r="D314" s="31">
        <v>0</v>
      </c>
      <c r="E314" s="31">
        <v>0</v>
      </c>
      <c r="F314" s="31">
        <v>0</v>
      </c>
      <c r="G314" s="31">
        <v>0</v>
      </c>
      <c r="H314" s="31">
        <v>0</v>
      </c>
      <c r="I314" s="31">
        <v>0</v>
      </c>
      <c r="J314" s="31">
        <v>0</v>
      </c>
      <c r="K314" s="31">
        <v>0</v>
      </c>
    </row>
    <row r="315" spans="1:11" x14ac:dyDescent="0.25">
      <c r="A315" t="s">
        <v>657</v>
      </c>
      <c r="B315" s="31">
        <v>0</v>
      </c>
      <c r="C315" s="31">
        <v>0</v>
      </c>
      <c r="D315" s="31">
        <v>0</v>
      </c>
      <c r="E315" s="31">
        <v>0.5</v>
      </c>
      <c r="F315" s="31">
        <v>0.5</v>
      </c>
      <c r="G315" s="31">
        <v>0.5</v>
      </c>
      <c r="H315" s="31">
        <v>0</v>
      </c>
      <c r="I315" s="31">
        <v>0</v>
      </c>
      <c r="J315" s="31">
        <v>0</v>
      </c>
      <c r="K315" s="31">
        <v>0</v>
      </c>
    </row>
    <row r="316" spans="1:11" x14ac:dyDescent="0.25">
      <c r="A316" t="s">
        <v>724</v>
      </c>
      <c r="B316" s="31">
        <v>0</v>
      </c>
      <c r="C316" s="31">
        <v>0</v>
      </c>
      <c r="D316" s="31">
        <v>0</v>
      </c>
      <c r="E316" s="31">
        <v>0</v>
      </c>
      <c r="F316" s="31">
        <v>0</v>
      </c>
      <c r="G316" s="31">
        <v>0</v>
      </c>
      <c r="H316" s="31">
        <v>0</v>
      </c>
      <c r="I316" s="31">
        <v>0</v>
      </c>
      <c r="J316" s="31">
        <v>0</v>
      </c>
      <c r="K316" s="31">
        <v>0</v>
      </c>
    </row>
    <row r="317" spans="1:11" x14ac:dyDescent="0.25">
      <c r="A317" t="s">
        <v>477</v>
      </c>
      <c r="B317" s="31">
        <v>0</v>
      </c>
      <c r="C317" s="31">
        <v>0</v>
      </c>
      <c r="D317" s="31">
        <v>0</v>
      </c>
      <c r="E317" s="31">
        <v>0</v>
      </c>
      <c r="F317" s="31">
        <v>0</v>
      </c>
      <c r="G317" s="31">
        <v>0</v>
      </c>
      <c r="H317" s="31">
        <v>0</v>
      </c>
      <c r="I317" s="31">
        <v>0</v>
      </c>
      <c r="J317" s="31">
        <v>0</v>
      </c>
      <c r="K317" s="31">
        <v>0</v>
      </c>
    </row>
    <row r="318" spans="1:11" x14ac:dyDescent="0.25">
      <c r="A318" t="s">
        <v>658</v>
      </c>
      <c r="B318" s="31">
        <v>0</v>
      </c>
      <c r="C318" s="31">
        <v>0</v>
      </c>
      <c r="D318" s="31">
        <v>0</v>
      </c>
      <c r="E318" s="31">
        <v>0</v>
      </c>
      <c r="F318" s="31">
        <v>0</v>
      </c>
      <c r="G318" s="31">
        <v>0</v>
      </c>
      <c r="H318" s="31">
        <v>0</v>
      </c>
      <c r="I318" s="31">
        <v>0</v>
      </c>
      <c r="J318" s="31">
        <v>0</v>
      </c>
      <c r="K318" s="31">
        <v>0</v>
      </c>
    </row>
    <row r="319" spans="1:11" x14ac:dyDescent="0.25">
      <c r="A319" t="s">
        <v>659</v>
      </c>
      <c r="B319" s="31">
        <v>0</v>
      </c>
      <c r="C319" s="31">
        <v>0</v>
      </c>
      <c r="D319" s="31">
        <v>0</v>
      </c>
      <c r="E319" s="31">
        <v>0</v>
      </c>
      <c r="F319" s="31">
        <v>0</v>
      </c>
      <c r="G319" s="31">
        <v>0</v>
      </c>
      <c r="H319" s="31">
        <v>0</v>
      </c>
      <c r="I319" s="31">
        <v>0</v>
      </c>
      <c r="J319" s="31">
        <v>0</v>
      </c>
      <c r="K319" s="31">
        <v>0</v>
      </c>
    </row>
    <row r="320" spans="1:11" x14ac:dyDescent="0.25">
      <c r="A320" t="s">
        <v>660</v>
      </c>
      <c r="B320" s="31">
        <v>0</v>
      </c>
      <c r="C320" s="31">
        <v>0</v>
      </c>
      <c r="D320" s="31">
        <v>0</v>
      </c>
      <c r="E320" s="31">
        <v>0</v>
      </c>
      <c r="F320" s="31">
        <v>0</v>
      </c>
      <c r="G320" s="31">
        <v>0</v>
      </c>
      <c r="H320" s="31">
        <v>0</v>
      </c>
      <c r="I320" s="31">
        <v>0</v>
      </c>
      <c r="J320" s="31">
        <v>0</v>
      </c>
      <c r="K320" s="31">
        <v>0</v>
      </c>
    </row>
    <row r="321" spans="1:11" x14ac:dyDescent="0.25">
      <c r="A321" t="s">
        <v>661</v>
      </c>
      <c r="B321" s="31">
        <v>0</v>
      </c>
      <c r="C321" s="31">
        <v>0</v>
      </c>
      <c r="D321" s="31">
        <v>0</v>
      </c>
      <c r="E321" s="31">
        <v>0</v>
      </c>
      <c r="F321" s="31">
        <v>0</v>
      </c>
      <c r="G321" s="31">
        <v>0</v>
      </c>
      <c r="H321" s="31">
        <v>0</v>
      </c>
      <c r="I321" s="31">
        <v>0</v>
      </c>
      <c r="J321" s="31">
        <v>0</v>
      </c>
      <c r="K321" s="31">
        <v>0</v>
      </c>
    </row>
    <row r="322" spans="1:11" x14ac:dyDescent="0.25">
      <c r="A322" t="s">
        <v>283</v>
      </c>
      <c r="B322" s="31">
        <v>0</v>
      </c>
      <c r="C322" s="31">
        <v>0</v>
      </c>
      <c r="D322" s="31">
        <v>0</v>
      </c>
      <c r="E322" s="31">
        <v>0.5</v>
      </c>
      <c r="F322" s="31">
        <v>0.5</v>
      </c>
      <c r="G322" s="31">
        <v>0.5</v>
      </c>
      <c r="H322" s="31">
        <v>0</v>
      </c>
      <c r="I322" s="31">
        <v>0</v>
      </c>
      <c r="J322" s="31">
        <v>0</v>
      </c>
      <c r="K322" s="31">
        <v>0</v>
      </c>
    </row>
    <row r="323" spans="1:11" x14ac:dyDescent="0.25">
      <c r="A323" t="s">
        <v>284</v>
      </c>
      <c r="B323" s="31">
        <v>0</v>
      </c>
      <c r="C323" s="31">
        <v>0</v>
      </c>
      <c r="D323" s="31">
        <v>0</v>
      </c>
      <c r="E323" s="31">
        <v>0</v>
      </c>
      <c r="F323" s="31">
        <v>0</v>
      </c>
      <c r="G323" s="31">
        <v>0</v>
      </c>
      <c r="H323" s="31">
        <v>0</v>
      </c>
      <c r="I323" s="31">
        <v>0</v>
      </c>
      <c r="J323" s="31">
        <v>0</v>
      </c>
      <c r="K323" s="31">
        <v>0</v>
      </c>
    </row>
    <row r="324" spans="1:11" x14ac:dyDescent="0.25">
      <c r="A324" t="s">
        <v>662</v>
      </c>
      <c r="B324" s="31">
        <v>0</v>
      </c>
      <c r="C324" s="31">
        <v>0</v>
      </c>
      <c r="D324" s="31">
        <v>0</v>
      </c>
      <c r="E324" s="31">
        <v>0.5</v>
      </c>
      <c r="F324" s="31">
        <v>0.5</v>
      </c>
      <c r="G324" s="31">
        <v>0.5</v>
      </c>
      <c r="H324" s="31">
        <v>0</v>
      </c>
      <c r="I324" s="31">
        <v>0</v>
      </c>
      <c r="J324" s="31">
        <v>0</v>
      </c>
      <c r="K324" s="31">
        <v>0</v>
      </c>
    </row>
    <row r="325" spans="1:11" x14ac:dyDescent="0.25">
      <c r="A325" t="s">
        <v>663</v>
      </c>
      <c r="B325" s="31">
        <v>0</v>
      </c>
      <c r="C325" s="31">
        <v>0</v>
      </c>
      <c r="D325" s="31">
        <v>0</v>
      </c>
      <c r="E325" s="31">
        <v>0</v>
      </c>
      <c r="F325" s="31">
        <v>0</v>
      </c>
      <c r="G325" s="31">
        <v>0</v>
      </c>
      <c r="H325" s="31">
        <v>0</v>
      </c>
      <c r="I325" s="31">
        <v>0</v>
      </c>
      <c r="J325" s="31">
        <v>0</v>
      </c>
      <c r="K325" s="31">
        <v>0</v>
      </c>
    </row>
    <row r="326" spans="1:11" x14ac:dyDescent="0.25">
      <c r="A326" t="s">
        <v>285</v>
      </c>
      <c r="B326" s="31">
        <v>0</v>
      </c>
      <c r="C326" s="31">
        <v>0</v>
      </c>
      <c r="D326" s="31">
        <v>0</v>
      </c>
      <c r="E326" s="31">
        <v>0.5</v>
      </c>
      <c r="F326" s="31">
        <v>0.5</v>
      </c>
      <c r="G326" s="31">
        <v>0.5</v>
      </c>
      <c r="H326" s="31">
        <v>0</v>
      </c>
      <c r="I326" s="31">
        <v>0</v>
      </c>
      <c r="J326" s="31">
        <v>0</v>
      </c>
      <c r="K326" s="31">
        <v>0</v>
      </c>
    </row>
    <row r="327" spans="1:11" x14ac:dyDescent="0.25">
      <c r="A327" t="s">
        <v>664</v>
      </c>
      <c r="B327" s="31">
        <v>0</v>
      </c>
      <c r="C327" s="31">
        <v>0</v>
      </c>
      <c r="D327" s="31">
        <v>0</v>
      </c>
      <c r="E327" s="31">
        <v>0</v>
      </c>
      <c r="F327" s="31">
        <v>0</v>
      </c>
      <c r="G327" s="31">
        <v>0</v>
      </c>
      <c r="H327" s="31">
        <v>0</v>
      </c>
      <c r="I327" s="31">
        <v>0</v>
      </c>
      <c r="J327" s="31">
        <v>0</v>
      </c>
      <c r="K327" s="31">
        <v>0</v>
      </c>
    </row>
    <row r="328" spans="1:11" x14ac:dyDescent="0.25">
      <c r="A328" t="s">
        <v>286</v>
      </c>
      <c r="B328" s="31">
        <v>0</v>
      </c>
      <c r="C328" s="31">
        <v>0</v>
      </c>
      <c r="D328" s="31">
        <v>0</v>
      </c>
      <c r="E328" s="31">
        <v>0.75</v>
      </c>
      <c r="F328" s="31">
        <v>0.5</v>
      </c>
      <c r="G328" s="31">
        <v>0.5</v>
      </c>
      <c r="H328" s="31">
        <v>0</v>
      </c>
      <c r="I328" s="31">
        <v>0</v>
      </c>
      <c r="J328" s="31">
        <v>0</v>
      </c>
      <c r="K328" s="31">
        <v>0</v>
      </c>
    </row>
    <row r="329" spans="1:11" x14ac:dyDescent="0.25">
      <c r="A329" t="s">
        <v>504</v>
      </c>
      <c r="B329" s="31">
        <v>0</v>
      </c>
      <c r="C329" s="31">
        <v>0</v>
      </c>
      <c r="D329" s="31">
        <v>0</v>
      </c>
      <c r="E329" s="31">
        <v>0</v>
      </c>
      <c r="F329" s="31">
        <v>0</v>
      </c>
      <c r="G329" s="31">
        <v>0</v>
      </c>
      <c r="H329" s="31">
        <v>0</v>
      </c>
      <c r="I329" s="31">
        <v>0</v>
      </c>
      <c r="J329" s="31">
        <v>0</v>
      </c>
      <c r="K329" s="31">
        <v>0</v>
      </c>
    </row>
    <row r="330" spans="1:11" x14ac:dyDescent="0.25">
      <c r="A330" t="s">
        <v>665</v>
      </c>
      <c r="B330" s="31">
        <v>0</v>
      </c>
      <c r="C330" s="31">
        <v>0</v>
      </c>
      <c r="D330" s="31">
        <v>0</v>
      </c>
      <c r="E330" s="31">
        <v>0</v>
      </c>
      <c r="F330" s="31">
        <v>0</v>
      </c>
      <c r="G330" s="31">
        <v>0</v>
      </c>
      <c r="H330" s="31">
        <v>0</v>
      </c>
      <c r="I330" s="31">
        <v>0</v>
      </c>
      <c r="J330" s="31">
        <v>0</v>
      </c>
      <c r="K330" s="31">
        <v>0</v>
      </c>
    </row>
    <row r="331" spans="1:11" x14ac:dyDescent="0.25">
      <c r="A331" t="s">
        <v>505</v>
      </c>
      <c r="B331" s="31">
        <v>0</v>
      </c>
      <c r="C331" s="31">
        <v>0</v>
      </c>
      <c r="D331" s="31">
        <v>0</v>
      </c>
      <c r="E331" s="31">
        <v>0</v>
      </c>
      <c r="F331" s="31">
        <v>0</v>
      </c>
      <c r="G331" s="31">
        <v>0</v>
      </c>
      <c r="H331" s="31">
        <v>0</v>
      </c>
      <c r="I331" s="31">
        <v>0</v>
      </c>
      <c r="J331" s="31">
        <v>0</v>
      </c>
      <c r="K331" s="31">
        <v>0</v>
      </c>
    </row>
    <row r="332" spans="1:11" x14ac:dyDescent="0.25">
      <c r="A332" t="s">
        <v>488</v>
      </c>
      <c r="B332" s="31">
        <v>0</v>
      </c>
      <c r="C332" s="31">
        <v>0</v>
      </c>
      <c r="D332" s="31">
        <v>0</v>
      </c>
      <c r="E332" s="31">
        <v>1</v>
      </c>
      <c r="F332" s="31">
        <v>1</v>
      </c>
      <c r="G332" s="31">
        <v>0</v>
      </c>
      <c r="H332" s="31">
        <v>0.5</v>
      </c>
      <c r="I332" s="31">
        <v>0.5</v>
      </c>
      <c r="J332" s="31">
        <v>0.5</v>
      </c>
      <c r="K332" s="31">
        <v>0.5</v>
      </c>
    </row>
    <row r="333" spans="1:11" x14ac:dyDescent="0.25">
      <c r="A333" t="s">
        <v>287</v>
      </c>
      <c r="B333" s="31">
        <v>0</v>
      </c>
      <c r="C333" s="31">
        <v>0</v>
      </c>
      <c r="D333" s="31">
        <v>0</v>
      </c>
      <c r="E333" s="31">
        <v>0</v>
      </c>
      <c r="F333" s="31">
        <v>0</v>
      </c>
      <c r="G333" s="31">
        <v>0</v>
      </c>
      <c r="H333" s="31">
        <v>0</v>
      </c>
      <c r="I333" s="31">
        <v>0</v>
      </c>
      <c r="J333" s="31">
        <v>0</v>
      </c>
      <c r="K333" s="31">
        <v>0</v>
      </c>
    </row>
    <row r="334" spans="1:11" x14ac:dyDescent="0.25">
      <c r="A334" t="s">
        <v>288</v>
      </c>
      <c r="B334" s="31">
        <v>0</v>
      </c>
      <c r="C334" s="31">
        <v>0</v>
      </c>
      <c r="D334" s="31">
        <v>0</v>
      </c>
      <c r="E334" s="31">
        <v>0</v>
      </c>
      <c r="F334" s="31">
        <v>0</v>
      </c>
      <c r="G334" s="31">
        <v>0</v>
      </c>
      <c r="H334" s="31">
        <v>0</v>
      </c>
      <c r="I334" s="31">
        <v>0</v>
      </c>
      <c r="J334" s="31">
        <v>0</v>
      </c>
      <c r="K334" s="31">
        <v>0</v>
      </c>
    </row>
    <row r="335" spans="1:11" x14ac:dyDescent="0.25">
      <c r="A335" t="s">
        <v>289</v>
      </c>
      <c r="B335" s="31">
        <v>0</v>
      </c>
      <c r="C335" s="31">
        <v>0</v>
      </c>
      <c r="D335" s="31">
        <v>0</v>
      </c>
      <c r="E335" s="31">
        <v>0.5</v>
      </c>
      <c r="F335" s="31">
        <v>0.5</v>
      </c>
      <c r="G335" s="31">
        <v>0.5</v>
      </c>
      <c r="H335" s="31">
        <v>0</v>
      </c>
      <c r="I335" s="31">
        <v>0</v>
      </c>
      <c r="J335" s="31">
        <v>0</v>
      </c>
      <c r="K335" s="31">
        <v>0</v>
      </c>
    </row>
    <row r="336" spans="1:11" x14ac:dyDescent="0.25">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5">
      <c r="A337" t="s">
        <v>291</v>
      </c>
      <c r="B337" s="31">
        <v>0</v>
      </c>
      <c r="C337" s="31">
        <v>0</v>
      </c>
      <c r="D337" s="31">
        <v>0</v>
      </c>
      <c r="E337" s="31">
        <v>0</v>
      </c>
      <c r="F337" s="31">
        <v>0</v>
      </c>
      <c r="G337" s="31">
        <v>0</v>
      </c>
      <c r="H337" s="31">
        <v>0</v>
      </c>
      <c r="I337" s="31">
        <v>0</v>
      </c>
      <c r="J337" s="31">
        <v>0</v>
      </c>
      <c r="K337" s="31">
        <v>0</v>
      </c>
    </row>
    <row r="338" spans="1:11" x14ac:dyDescent="0.25">
      <c r="A338" t="s">
        <v>292</v>
      </c>
      <c r="B338" s="31">
        <v>0</v>
      </c>
      <c r="C338" s="31">
        <v>0</v>
      </c>
      <c r="D338" s="31">
        <v>0</v>
      </c>
      <c r="E338" s="31">
        <v>0</v>
      </c>
      <c r="F338" s="31">
        <v>0</v>
      </c>
      <c r="G338" s="31">
        <v>0</v>
      </c>
      <c r="H338" s="31">
        <v>0</v>
      </c>
      <c r="I338" s="31">
        <v>0</v>
      </c>
      <c r="J338" s="31">
        <v>0</v>
      </c>
      <c r="K338" s="31">
        <v>0</v>
      </c>
    </row>
    <row r="339" spans="1:11" x14ac:dyDescent="0.25">
      <c r="A339" t="s">
        <v>293</v>
      </c>
      <c r="B339" s="31">
        <v>0</v>
      </c>
      <c r="C339" s="31">
        <v>0</v>
      </c>
      <c r="D339" s="31">
        <v>0</v>
      </c>
      <c r="E339" s="31">
        <v>0</v>
      </c>
      <c r="F339" s="31">
        <v>0</v>
      </c>
      <c r="G339" s="31">
        <v>0</v>
      </c>
      <c r="H339" s="31">
        <v>0</v>
      </c>
      <c r="I339" s="31">
        <v>0</v>
      </c>
      <c r="J339" s="31">
        <v>0</v>
      </c>
      <c r="K339" s="31">
        <v>0</v>
      </c>
    </row>
    <row r="340" spans="1:11" x14ac:dyDescent="0.25">
      <c r="A340" t="s">
        <v>666</v>
      </c>
      <c r="B340" s="31">
        <v>0</v>
      </c>
      <c r="C340" s="31">
        <v>0</v>
      </c>
      <c r="D340" s="31">
        <v>0</v>
      </c>
      <c r="E340" s="31">
        <v>0</v>
      </c>
      <c r="F340" s="31">
        <v>0</v>
      </c>
      <c r="G340" s="31">
        <v>0</v>
      </c>
      <c r="H340" s="31">
        <v>0</v>
      </c>
      <c r="I340" s="31">
        <v>0</v>
      </c>
      <c r="J340" s="31">
        <v>0</v>
      </c>
      <c r="K340" s="31">
        <v>0</v>
      </c>
    </row>
    <row r="341" spans="1:11" x14ac:dyDescent="0.25">
      <c r="A341" t="s">
        <v>667</v>
      </c>
      <c r="B341" s="31">
        <v>0</v>
      </c>
      <c r="C341" s="31">
        <v>0</v>
      </c>
      <c r="D341" s="31">
        <v>0</v>
      </c>
      <c r="E341" s="31">
        <v>0.5</v>
      </c>
      <c r="F341" s="31">
        <v>0.5</v>
      </c>
      <c r="G341" s="31">
        <v>0.5</v>
      </c>
      <c r="H341" s="31">
        <v>0</v>
      </c>
      <c r="I341" s="31">
        <v>0</v>
      </c>
      <c r="J341" s="31">
        <v>0</v>
      </c>
      <c r="K341" s="31">
        <v>0</v>
      </c>
    </row>
    <row r="342" spans="1:11" x14ac:dyDescent="0.25">
      <c r="A342" t="s">
        <v>495</v>
      </c>
      <c r="B342" s="31">
        <v>0</v>
      </c>
      <c r="C342" s="31">
        <v>0</v>
      </c>
      <c r="D342" s="31">
        <v>0</v>
      </c>
      <c r="E342" s="31">
        <v>0.5</v>
      </c>
      <c r="F342" s="31">
        <v>0.5</v>
      </c>
      <c r="G342" s="31">
        <v>0.5</v>
      </c>
      <c r="H342" s="31">
        <v>0</v>
      </c>
      <c r="I342" s="31">
        <v>0</v>
      </c>
      <c r="J342" s="31">
        <v>0</v>
      </c>
      <c r="K342" s="31">
        <v>0</v>
      </c>
    </row>
    <row r="343" spans="1:11" x14ac:dyDescent="0.25">
      <c r="A343" t="s">
        <v>294</v>
      </c>
      <c r="B343" s="31">
        <v>0</v>
      </c>
      <c r="C343" s="31">
        <v>0</v>
      </c>
      <c r="D343" s="31">
        <v>0</v>
      </c>
      <c r="E343" s="31">
        <v>0</v>
      </c>
      <c r="F343" s="31">
        <v>0</v>
      </c>
      <c r="G343" s="31">
        <v>0</v>
      </c>
      <c r="H343" s="31">
        <v>0</v>
      </c>
      <c r="I343" s="31">
        <v>0</v>
      </c>
      <c r="J343" s="31">
        <v>0</v>
      </c>
      <c r="K343" s="31">
        <v>0</v>
      </c>
    </row>
    <row r="344" spans="1:11" x14ac:dyDescent="0.25">
      <c r="A344" t="s">
        <v>295</v>
      </c>
      <c r="B344" s="31">
        <v>0</v>
      </c>
      <c r="C344" s="31">
        <v>0</v>
      </c>
      <c r="D344" s="31">
        <v>0</v>
      </c>
      <c r="E344" s="31">
        <v>0.5</v>
      </c>
      <c r="F344" s="31">
        <v>0.5</v>
      </c>
      <c r="G344" s="31">
        <v>0.5</v>
      </c>
      <c r="H344" s="31">
        <v>0</v>
      </c>
      <c r="I344" s="31">
        <v>0</v>
      </c>
      <c r="J344" s="31">
        <v>0</v>
      </c>
      <c r="K344" s="31">
        <v>0</v>
      </c>
    </row>
    <row r="345" spans="1:11" x14ac:dyDescent="0.25">
      <c r="A345" t="s">
        <v>634</v>
      </c>
      <c r="B345" s="31">
        <v>0</v>
      </c>
      <c r="C345" s="31">
        <v>0</v>
      </c>
      <c r="D345" s="31">
        <v>0</v>
      </c>
      <c r="E345" s="31">
        <v>0</v>
      </c>
      <c r="F345" s="31">
        <v>0</v>
      </c>
      <c r="G345" s="31">
        <v>0</v>
      </c>
      <c r="H345" s="31">
        <v>0</v>
      </c>
      <c r="I345" s="31">
        <v>0</v>
      </c>
      <c r="J345" s="31">
        <v>0</v>
      </c>
      <c r="K345" s="31">
        <v>0</v>
      </c>
    </row>
    <row r="346" spans="1:11" x14ac:dyDescent="0.25">
      <c r="A346" t="s">
        <v>484</v>
      </c>
      <c r="B346" s="31">
        <v>0</v>
      </c>
      <c r="C346" s="31">
        <v>1</v>
      </c>
      <c r="D346" s="31">
        <v>0</v>
      </c>
      <c r="E346" s="31">
        <v>1</v>
      </c>
      <c r="F346" s="31">
        <v>1</v>
      </c>
      <c r="G346" s="31">
        <v>1</v>
      </c>
      <c r="H346" s="31" t="s">
        <v>408</v>
      </c>
      <c r="I346" s="31" t="s">
        <v>408</v>
      </c>
      <c r="J346" s="31" t="s">
        <v>408</v>
      </c>
      <c r="K346" s="31" t="s">
        <v>408</v>
      </c>
    </row>
    <row r="347" spans="1:11" x14ac:dyDescent="0.25">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5">
      <c r="A348" t="s">
        <v>297</v>
      </c>
      <c r="B348" s="31">
        <v>0</v>
      </c>
      <c r="C348" s="31">
        <v>0</v>
      </c>
      <c r="D348" s="31">
        <v>0</v>
      </c>
      <c r="E348" s="31">
        <v>1</v>
      </c>
      <c r="F348" s="31">
        <v>1</v>
      </c>
      <c r="G348" s="31">
        <v>1</v>
      </c>
      <c r="H348" s="31">
        <v>0</v>
      </c>
      <c r="I348" s="31">
        <v>0</v>
      </c>
      <c r="J348" s="31">
        <v>0</v>
      </c>
      <c r="K348" s="31">
        <v>0</v>
      </c>
    </row>
    <row r="349" spans="1:11" x14ac:dyDescent="0.25">
      <c r="A349" t="s">
        <v>298</v>
      </c>
      <c r="B349" s="31">
        <v>0</v>
      </c>
      <c r="C349" s="31">
        <v>0</v>
      </c>
      <c r="D349" s="31">
        <v>0</v>
      </c>
      <c r="E349" s="31">
        <v>0</v>
      </c>
      <c r="F349" s="31">
        <v>0</v>
      </c>
      <c r="G349" s="31">
        <v>0</v>
      </c>
      <c r="H349" s="31">
        <v>0</v>
      </c>
      <c r="I349" s="31">
        <v>0</v>
      </c>
      <c r="J349" s="31">
        <v>0</v>
      </c>
      <c r="K349" s="31">
        <v>0</v>
      </c>
    </row>
    <row r="350" spans="1:11" x14ac:dyDescent="0.25">
      <c r="A350" t="s">
        <v>668</v>
      </c>
      <c r="B350" s="31">
        <v>0</v>
      </c>
      <c r="C350" s="31">
        <v>0</v>
      </c>
      <c r="D350" s="31">
        <v>0</v>
      </c>
      <c r="E350" s="31">
        <v>0</v>
      </c>
      <c r="F350" s="31">
        <v>0</v>
      </c>
      <c r="G350" s="31">
        <v>0</v>
      </c>
      <c r="H350" s="31">
        <v>0</v>
      </c>
      <c r="I350" s="31">
        <v>0</v>
      </c>
      <c r="J350" s="31">
        <v>0</v>
      </c>
      <c r="K350" s="31">
        <v>0</v>
      </c>
    </row>
    <row r="351" spans="1:11" x14ac:dyDescent="0.25">
      <c r="A351" t="s">
        <v>669</v>
      </c>
      <c r="B351" s="31">
        <v>0</v>
      </c>
      <c r="C351" s="31">
        <v>0</v>
      </c>
      <c r="D351" s="31">
        <v>0</v>
      </c>
      <c r="E351" s="31">
        <v>0</v>
      </c>
      <c r="F351" s="31">
        <v>0</v>
      </c>
      <c r="G351" s="31">
        <v>0</v>
      </c>
      <c r="H351" s="31">
        <v>0</v>
      </c>
      <c r="I351" s="31">
        <v>0</v>
      </c>
      <c r="J351" s="31">
        <v>0</v>
      </c>
      <c r="K351" s="31">
        <v>0</v>
      </c>
    </row>
    <row r="352" spans="1:11" x14ac:dyDescent="0.25">
      <c r="A352" t="s">
        <v>299</v>
      </c>
      <c r="B352" s="31">
        <v>0</v>
      </c>
      <c r="C352" s="31">
        <v>0</v>
      </c>
      <c r="D352" s="31">
        <v>0</v>
      </c>
      <c r="E352" s="31">
        <v>0</v>
      </c>
      <c r="F352" s="31">
        <v>0</v>
      </c>
      <c r="G352" s="31">
        <v>0</v>
      </c>
      <c r="H352" s="31">
        <v>0</v>
      </c>
      <c r="I352" s="31">
        <v>0</v>
      </c>
      <c r="J352" s="31">
        <v>0</v>
      </c>
      <c r="K352" s="31">
        <v>0</v>
      </c>
    </row>
    <row r="353" spans="1:11" x14ac:dyDescent="0.25">
      <c r="A353" t="s">
        <v>478</v>
      </c>
      <c r="B353" s="31">
        <v>0</v>
      </c>
      <c r="C353" s="31">
        <v>0</v>
      </c>
      <c r="D353" s="31">
        <v>0</v>
      </c>
      <c r="E353" s="31">
        <v>0</v>
      </c>
      <c r="F353" s="31">
        <v>0</v>
      </c>
      <c r="G353" s="31">
        <v>0</v>
      </c>
      <c r="H353" s="31">
        <v>0</v>
      </c>
      <c r="I353" s="31">
        <v>0</v>
      </c>
      <c r="J353" s="31">
        <v>0</v>
      </c>
      <c r="K353" s="31">
        <v>0</v>
      </c>
    </row>
    <row r="354" spans="1:11" x14ac:dyDescent="0.25">
      <c r="A354" t="s">
        <v>589</v>
      </c>
      <c r="B354" s="31">
        <v>0</v>
      </c>
      <c r="C354" s="31">
        <v>0</v>
      </c>
      <c r="D354" s="31">
        <v>0</v>
      </c>
      <c r="E354" s="31">
        <v>0</v>
      </c>
      <c r="F354" s="31">
        <v>0</v>
      </c>
      <c r="G354" s="31">
        <v>0</v>
      </c>
      <c r="H354" s="31">
        <v>0</v>
      </c>
      <c r="I354" s="31">
        <v>0</v>
      </c>
      <c r="J354" s="31">
        <v>0</v>
      </c>
      <c r="K354" s="31">
        <v>0</v>
      </c>
    </row>
    <row r="355" spans="1:11" x14ac:dyDescent="0.25">
      <c r="A355" t="s">
        <v>300</v>
      </c>
      <c r="B355" s="31">
        <v>0</v>
      </c>
      <c r="C355" s="31">
        <v>0</v>
      </c>
      <c r="D355" s="31">
        <v>0</v>
      </c>
      <c r="E355" s="31">
        <v>0</v>
      </c>
      <c r="F355" s="31">
        <v>0</v>
      </c>
      <c r="G355" s="31">
        <v>0</v>
      </c>
      <c r="H355" s="31">
        <v>0</v>
      </c>
      <c r="I355" s="31">
        <v>0</v>
      </c>
      <c r="J355" s="31">
        <v>0</v>
      </c>
      <c r="K355" s="31">
        <v>0</v>
      </c>
    </row>
    <row r="356" spans="1:11" x14ac:dyDescent="0.25">
      <c r="A356" t="s">
        <v>301</v>
      </c>
      <c r="B356" s="31">
        <v>0</v>
      </c>
      <c r="C356" s="31">
        <v>0</v>
      </c>
      <c r="D356" s="31">
        <v>0</v>
      </c>
      <c r="E356" s="31">
        <v>0</v>
      </c>
      <c r="F356" s="31">
        <v>0</v>
      </c>
      <c r="G356" s="31">
        <v>0</v>
      </c>
      <c r="H356" s="31">
        <v>0</v>
      </c>
      <c r="I356" s="31">
        <v>0</v>
      </c>
      <c r="J356" s="31">
        <v>0</v>
      </c>
      <c r="K356" s="31">
        <v>0</v>
      </c>
    </row>
    <row r="357" spans="1:11" x14ac:dyDescent="0.25">
      <c r="A357" t="s">
        <v>303</v>
      </c>
      <c r="B357" s="31">
        <v>0</v>
      </c>
      <c r="C357" s="31">
        <v>0</v>
      </c>
      <c r="D357" s="31">
        <v>0</v>
      </c>
      <c r="E357" s="31">
        <v>0</v>
      </c>
      <c r="F357" s="31">
        <v>0</v>
      </c>
      <c r="G357" s="31">
        <v>0</v>
      </c>
      <c r="H357" s="31">
        <v>0</v>
      </c>
      <c r="I357" s="31">
        <v>0</v>
      </c>
      <c r="J357" s="31">
        <v>0</v>
      </c>
      <c r="K357" s="31">
        <v>0</v>
      </c>
    </row>
    <row r="358" spans="1:11" x14ac:dyDescent="0.25">
      <c r="A358" t="s">
        <v>302</v>
      </c>
      <c r="B358" s="31">
        <v>0</v>
      </c>
      <c r="C358" s="31">
        <v>0</v>
      </c>
      <c r="D358" s="31">
        <v>0</v>
      </c>
      <c r="E358" s="31">
        <v>0</v>
      </c>
      <c r="F358" s="31">
        <v>0</v>
      </c>
      <c r="G358" s="31">
        <v>0</v>
      </c>
      <c r="H358" s="31">
        <v>0</v>
      </c>
      <c r="I358" s="31">
        <v>0</v>
      </c>
      <c r="J358" s="31">
        <v>0</v>
      </c>
      <c r="K358" s="31">
        <v>0</v>
      </c>
    </row>
    <row r="359" spans="1:11" x14ac:dyDescent="0.25">
      <c r="A359" t="s">
        <v>671</v>
      </c>
      <c r="B359" s="31">
        <v>0</v>
      </c>
      <c r="C359" s="31">
        <v>0</v>
      </c>
      <c r="D359" s="31">
        <v>0</v>
      </c>
      <c r="E359" s="31">
        <v>0</v>
      </c>
      <c r="F359" s="31">
        <v>0</v>
      </c>
      <c r="G359" s="31">
        <v>0</v>
      </c>
      <c r="H359" s="31">
        <v>0</v>
      </c>
      <c r="I359" s="31">
        <v>0</v>
      </c>
      <c r="J359" s="31">
        <v>0</v>
      </c>
      <c r="K359" s="31">
        <v>0</v>
      </c>
    </row>
    <row r="360" spans="1:11" x14ac:dyDescent="0.25">
      <c r="A360" t="s">
        <v>672</v>
      </c>
      <c r="B360" s="31">
        <v>0</v>
      </c>
      <c r="C360" s="31">
        <v>0</v>
      </c>
      <c r="D360" s="31">
        <v>0</v>
      </c>
      <c r="E360" s="31">
        <v>0.5</v>
      </c>
      <c r="F360" s="31">
        <v>0.5</v>
      </c>
      <c r="G360" s="31">
        <v>0.5</v>
      </c>
      <c r="H360" s="31">
        <v>0</v>
      </c>
      <c r="I360" s="31">
        <v>0</v>
      </c>
      <c r="J360" s="31">
        <v>0</v>
      </c>
      <c r="K360" s="31">
        <v>0</v>
      </c>
    </row>
    <row r="361" spans="1:11" x14ac:dyDescent="0.25">
      <c r="A361" t="s">
        <v>673</v>
      </c>
      <c r="B361" s="31">
        <v>0</v>
      </c>
      <c r="C361" s="31">
        <v>0</v>
      </c>
      <c r="D361" s="31">
        <v>0</v>
      </c>
      <c r="E361" s="31">
        <v>0</v>
      </c>
      <c r="F361" s="31">
        <v>0</v>
      </c>
      <c r="G361" s="31">
        <v>0</v>
      </c>
      <c r="H361" s="31">
        <v>0</v>
      </c>
      <c r="I361" s="31">
        <v>0</v>
      </c>
      <c r="J361" s="31">
        <v>0</v>
      </c>
      <c r="K361" s="31">
        <v>0</v>
      </c>
    </row>
    <row r="362" spans="1:11" x14ac:dyDescent="0.25">
      <c r="A362" t="s">
        <v>674</v>
      </c>
      <c r="B362" s="31">
        <v>0</v>
      </c>
      <c r="C362" s="31">
        <v>0</v>
      </c>
      <c r="D362" s="31">
        <v>0</v>
      </c>
      <c r="E362" s="31">
        <v>0</v>
      </c>
      <c r="F362" s="31">
        <v>0</v>
      </c>
      <c r="G362" s="31">
        <v>0</v>
      </c>
      <c r="H362" s="31">
        <v>0</v>
      </c>
      <c r="I362" s="31">
        <v>0</v>
      </c>
      <c r="J362" s="31">
        <v>0</v>
      </c>
      <c r="K362" s="31">
        <v>0</v>
      </c>
    </row>
    <row r="363" spans="1:11" x14ac:dyDescent="0.25">
      <c r="A363" t="s">
        <v>304</v>
      </c>
      <c r="B363" s="31">
        <v>0</v>
      </c>
      <c r="C363" s="31">
        <v>0</v>
      </c>
      <c r="D363" s="31">
        <v>0</v>
      </c>
      <c r="E363" s="31">
        <v>0</v>
      </c>
      <c r="F363" s="31">
        <v>0</v>
      </c>
      <c r="G363" s="31">
        <v>0</v>
      </c>
      <c r="H363" s="31">
        <v>0</v>
      </c>
      <c r="I363" s="31">
        <v>0</v>
      </c>
      <c r="J363" s="31">
        <v>0</v>
      </c>
      <c r="K363" s="31">
        <v>0</v>
      </c>
    </row>
    <row r="364" spans="1:11" x14ac:dyDescent="0.25">
      <c r="A364" t="s">
        <v>499</v>
      </c>
      <c r="B364" s="31">
        <v>0</v>
      </c>
      <c r="C364" s="31">
        <v>0</v>
      </c>
      <c r="D364" s="31">
        <v>0</v>
      </c>
      <c r="E364" s="31">
        <v>0</v>
      </c>
      <c r="F364" s="31">
        <v>0</v>
      </c>
      <c r="G364" s="31">
        <v>0</v>
      </c>
      <c r="H364" s="31">
        <v>0</v>
      </c>
      <c r="I364" s="31">
        <v>0</v>
      </c>
      <c r="J364" s="31">
        <v>0</v>
      </c>
      <c r="K364" s="31">
        <v>0</v>
      </c>
    </row>
    <row r="365" spans="1:11" x14ac:dyDescent="0.25">
      <c r="A365" t="s">
        <v>305</v>
      </c>
      <c r="B365" s="31">
        <v>0</v>
      </c>
      <c r="C365" s="31">
        <v>0</v>
      </c>
      <c r="D365" s="31">
        <v>0</v>
      </c>
      <c r="E365" s="31">
        <v>0</v>
      </c>
      <c r="F365" s="31">
        <v>0</v>
      </c>
      <c r="G365" s="31">
        <v>0</v>
      </c>
      <c r="H365" s="31">
        <v>0</v>
      </c>
      <c r="I365" s="31">
        <v>0</v>
      </c>
      <c r="J365" s="31">
        <v>0</v>
      </c>
      <c r="K365" s="31">
        <v>0</v>
      </c>
    </row>
    <row r="366" spans="1:11" x14ac:dyDescent="0.25">
      <c r="A366" t="s">
        <v>307</v>
      </c>
      <c r="B366" s="31">
        <v>0</v>
      </c>
      <c r="C366" s="31">
        <v>0</v>
      </c>
      <c r="D366" s="31">
        <v>0</v>
      </c>
      <c r="E366" s="31">
        <v>0</v>
      </c>
      <c r="F366" s="31">
        <v>0</v>
      </c>
      <c r="G366" s="31">
        <v>0</v>
      </c>
      <c r="H366" s="31">
        <v>0</v>
      </c>
      <c r="I366" s="31">
        <v>0</v>
      </c>
      <c r="J366" s="31">
        <v>0</v>
      </c>
      <c r="K366" s="31">
        <v>0</v>
      </c>
    </row>
    <row r="367" spans="1:11" x14ac:dyDescent="0.25">
      <c r="A367" t="s">
        <v>675</v>
      </c>
      <c r="B367" s="31">
        <v>0</v>
      </c>
      <c r="C367" s="31">
        <v>0</v>
      </c>
      <c r="D367" s="31">
        <v>0</v>
      </c>
      <c r="E367" s="31">
        <v>0</v>
      </c>
      <c r="F367" s="31">
        <v>0</v>
      </c>
      <c r="G367" s="31">
        <v>0</v>
      </c>
      <c r="H367" s="31">
        <v>0</v>
      </c>
      <c r="I367" s="31">
        <v>0</v>
      </c>
      <c r="J367" s="31">
        <v>0</v>
      </c>
      <c r="K367" s="31">
        <v>0</v>
      </c>
    </row>
    <row r="368" spans="1:11" x14ac:dyDescent="0.25">
      <c r="A368" t="s">
        <v>308</v>
      </c>
      <c r="B368" s="31">
        <v>0</v>
      </c>
      <c r="C368" s="31">
        <v>0</v>
      </c>
      <c r="D368" s="31">
        <v>0</v>
      </c>
      <c r="E368" s="31">
        <v>0</v>
      </c>
      <c r="F368" s="31">
        <v>0</v>
      </c>
      <c r="G368" s="31">
        <v>0</v>
      </c>
      <c r="H368" s="31">
        <v>0</v>
      </c>
      <c r="I368" s="31">
        <v>0</v>
      </c>
      <c r="J368" s="31">
        <v>0</v>
      </c>
      <c r="K368" s="31">
        <v>0</v>
      </c>
    </row>
    <row r="369" spans="1:11" x14ac:dyDescent="0.25">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5">
      <c r="A370" t="s">
        <v>306</v>
      </c>
      <c r="B370" s="31">
        <v>0</v>
      </c>
      <c r="C370" s="31">
        <v>0.5</v>
      </c>
      <c r="D370" s="31">
        <v>0</v>
      </c>
      <c r="E370" s="31">
        <v>0.5</v>
      </c>
      <c r="F370" s="31">
        <v>0.5</v>
      </c>
      <c r="G370" s="31">
        <v>0.5</v>
      </c>
      <c r="H370" s="31">
        <v>0</v>
      </c>
      <c r="I370" s="31">
        <v>0</v>
      </c>
      <c r="J370" s="31">
        <v>0</v>
      </c>
      <c r="K370" s="31">
        <v>0</v>
      </c>
    </row>
    <row r="371" spans="1:11" x14ac:dyDescent="0.25">
      <c r="A371" t="s">
        <v>676</v>
      </c>
      <c r="B371" s="31">
        <v>0</v>
      </c>
      <c r="C371" s="31">
        <v>0</v>
      </c>
      <c r="D371" s="31">
        <v>0</v>
      </c>
      <c r="E371" s="31">
        <v>0</v>
      </c>
      <c r="F371" s="31">
        <v>0</v>
      </c>
      <c r="G371" s="31">
        <v>0</v>
      </c>
      <c r="H371" s="31">
        <v>0</v>
      </c>
      <c r="I371" s="31">
        <v>0</v>
      </c>
      <c r="J371" s="31">
        <v>0</v>
      </c>
      <c r="K371" s="31">
        <v>0</v>
      </c>
    </row>
    <row r="372" spans="1:11" x14ac:dyDescent="0.25">
      <c r="A372" t="s">
        <v>309</v>
      </c>
      <c r="B372" s="31" t="s">
        <v>411</v>
      </c>
      <c r="C372" s="31">
        <v>1</v>
      </c>
      <c r="D372" s="31">
        <v>0</v>
      </c>
      <c r="E372" s="31">
        <v>1</v>
      </c>
      <c r="F372" s="31">
        <v>1</v>
      </c>
      <c r="G372" s="31">
        <v>1</v>
      </c>
      <c r="H372" s="31">
        <v>0</v>
      </c>
      <c r="I372" s="31">
        <v>0</v>
      </c>
      <c r="J372" s="31">
        <v>0</v>
      </c>
      <c r="K372" s="31">
        <v>0</v>
      </c>
    </row>
    <row r="373" spans="1:11" x14ac:dyDescent="0.25">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5">
      <c r="A374" t="s">
        <v>707</v>
      </c>
      <c r="B374" s="31" t="s">
        <v>411</v>
      </c>
      <c r="C374" s="31">
        <v>1</v>
      </c>
      <c r="D374" s="31">
        <v>0</v>
      </c>
      <c r="E374" s="31">
        <v>1</v>
      </c>
      <c r="F374" s="31">
        <v>1</v>
      </c>
      <c r="G374" s="31">
        <v>1</v>
      </c>
      <c r="H374" s="31">
        <v>0</v>
      </c>
      <c r="I374" s="31">
        <v>0</v>
      </c>
      <c r="J374" s="31">
        <v>0</v>
      </c>
      <c r="K374" s="31">
        <v>0</v>
      </c>
    </row>
    <row r="375" spans="1:11" x14ac:dyDescent="0.25">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5">
      <c r="A376" t="s">
        <v>677</v>
      </c>
      <c r="B376" s="31">
        <v>0</v>
      </c>
      <c r="C376" s="31">
        <v>0</v>
      </c>
      <c r="D376" s="31">
        <v>0</v>
      </c>
      <c r="E376" s="31">
        <v>0</v>
      </c>
      <c r="F376" s="31">
        <v>0</v>
      </c>
      <c r="G376" s="31">
        <v>0</v>
      </c>
      <c r="H376" s="31">
        <v>0</v>
      </c>
      <c r="I376" s="31">
        <v>0</v>
      </c>
      <c r="J376" s="31">
        <v>0</v>
      </c>
      <c r="K376" s="31">
        <v>0</v>
      </c>
    </row>
    <row r="377" spans="1:11" x14ac:dyDescent="0.25">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5">
      <c r="A378" t="s">
        <v>310</v>
      </c>
      <c r="B378" s="31">
        <v>0</v>
      </c>
      <c r="C378" s="31">
        <v>0</v>
      </c>
      <c r="D378" s="31">
        <v>0</v>
      </c>
      <c r="E378" s="31">
        <v>0</v>
      </c>
      <c r="F378" s="31">
        <v>0</v>
      </c>
      <c r="G378" s="31">
        <v>0</v>
      </c>
      <c r="H378" s="31">
        <v>0</v>
      </c>
      <c r="I378" s="31">
        <v>0</v>
      </c>
      <c r="J378" s="31">
        <v>0</v>
      </c>
      <c r="K378" s="31">
        <v>0</v>
      </c>
    </row>
    <row r="379" spans="1:11" x14ac:dyDescent="0.25">
      <c r="A379" t="s">
        <v>311</v>
      </c>
      <c r="B379" s="31">
        <v>0</v>
      </c>
      <c r="C379" s="31">
        <v>0</v>
      </c>
      <c r="D379" s="31">
        <v>0</v>
      </c>
      <c r="E379" s="31">
        <v>0</v>
      </c>
      <c r="F379" s="31">
        <v>0</v>
      </c>
      <c r="G379" s="31">
        <v>0</v>
      </c>
      <c r="H379" s="31">
        <v>0</v>
      </c>
      <c r="I379" s="31">
        <v>0</v>
      </c>
      <c r="J379" s="31">
        <v>0</v>
      </c>
      <c r="K379" s="31">
        <v>0</v>
      </c>
    </row>
    <row r="380" spans="1:11" x14ac:dyDescent="0.25">
      <c r="A380" t="s">
        <v>679</v>
      </c>
      <c r="B380" s="31">
        <v>0</v>
      </c>
      <c r="C380" s="31">
        <v>0</v>
      </c>
      <c r="D380" s="31">
        <v>0</v>
      </c>
      <c r="E380" s="31">
        <v>0</v>
      </c>
      <c r="F380" s="31">
        <v>0</v>
      </c>
      <c r="G380" s="31">
        <v>0</v>
      </c>
      <c r="H380" s="31">
        <v>0</v>
      </c>
      <c r="I380" s="31">
        <v>0</v>
      </c>
      <c r="J380" s="31">
        <v>0</v>
      </c>
      <c r="K380" s="31">
        <v>0</v>
      </c>
    </row>
    <row r="381" spans="1:11" x14ac:dyDescent="0.25">
      <c r="A381" t="s">
        <v>312</v>
      </c>
      <c r="B381" s="31">
        <v>0</v>
      </c>
      <c r="C381" s="31">
        <v>0.5</v>
      </c>
      <c r="D381" s="31">
        <v>0</v>
      </c>
      <c r="E381" s="31">
        <v>0.5</v>
      </c>
      <c r="F381" s="31">
        <v>0.5</v>
      </c>
      <c r="G381" s="31">
        <v>0.5</v>
      </c>
      <c r="H381" s="31">
        <v>0</v>
      </c>
      <c r="I381" s="31">
        <v>0</v>
      </c>
      <c r="J381" s="31">
        <v>0</v>
      </c>
      <c r="K381" s="31">
        <v>0</v>
      </c>
    </row>
    <row r="382" spans="1:11" x14ac:dyDescent="0.25">
      <c r="A382" t="s">
        <v>680</v>
      </c>
      <c r="B382" s="31">
        <v>0</v>
      </c>
      <c r="C382" s="31">
        <v>0</v>
      </c>
      <c r="D382" s="31">
        <v>0</v>
      </c>
      <c r="E382" s="31">
        <v>0</v>
      </c>
      <c r="F382" s="31">
        <v>0</v>
      </c>
      <c r="G382" s="31">
        <v>0</v>
      </c>
      <c r="H382" s="31">
        <v>0</v>
      </c>
      <c r="I382" s="31">
        <v>0</v>
      </c>
      <c r="J382" s="31">
        <v>0</v>
      </c>
      <c r="K382" s="31">
        <v>0</v>
      </c>
    </row>
    <row r="383" spans="1:11" x14ac:dyDescent="0.25">
      <c r="A383" t="s">
        <v>510</v>
      </c>
      <c r="B383" s="31">
        <v>0</v>
      </c>
      <c r="C383" s="31">
        <v>0</v>
      </c>
      <c r="D383" s="31">
        <v>0</v>
      </c>
      <c r="E383" s="31">
        <v>0</v>
      </c>
      <c r="F383" s="31">
        <v>0</v>
      </c>
      <c r="G383" s="31">
        <v>0</v>
      </c>
      <c r="H383" s="31">
        <v>0</v>
      </c>
      <c r="I383" s="31">
        <v>0</v>
      </c>
      <c r="J383" s="31">
        <v>0</v>
      </c>
      <c r="K383" s="31">
        <v>0</v>
      </c>
    </row>
    <row r="384" spans="1:11" x14ac:dyDescent="0.25">
      <c r="A384" t="s">
        <v>633</v>
      </c>
      <c r="B384" s="31">
        <v>0</v>
      </c>
      <c r="C384" s="31">
        <v>0</v>
      </c>
      <c r="D384" s="31">
        <v>0</v>
      </c>
      <c r="E384" s="31">
        <v>0</v>
      </c>
      <c r="F384" s="31">
        <v>0</v>
      </c>
      <c r="G384" s="31">
        <v>0</v>
      </c>
      <c r="H384" s="31">
        <v>0</v>
      </c>
      <c r="I384" s="31">
        <v>0</v>
      </c>
      <c r="J384" s="31">
        <v>0</v>
      </c>
      <c r="K384" s="31">
        <v>0</v>
      </c>
    </row>
    <row r="385" spans="1:11" x14ac:dyDescent="0.25">
      <c r="A385" t="s">
        <v>313</v>
      </c>
      <c r="B385" s="31">
        <v>0</v>
      </c>
      <c r="C385" s="31">
        <v>0</v>
      </c>
      <c r="D385" s="31">
        <v>0</v>
      </c>
      <c r="E385" s="31">
        <v>0.5</v>
      </c>
      <c r="F385" s="31">
        <v>0.5</v>
      </c>
      <c r="G385" s="31">
        <v>0.5</v>
      </c>
      <c r="H385" s="31">
        <v>0</v>
      </c>
      <c r="I385" s="31">
        <v>0</v>
      </c>
      <c r="J385" s="31">
        <v>0</v>
      </c>
      <c r="K385" s="31">
        <v>0</v>
      </c>
    </row>
    <row r="386" spans="1:11" x14ac:dyDescent="0.25">
      <c r="A386" t="s">
        <v>314</v>
      </c>
      <c r="B386" s="31">
        <v>0</v>
      </c>
      <c r="C386" s="31">
        <v>0</v>
      </c>
      <c r="D386" s="31">
        <v>0</v>
      </c>
      <c r="E386" s="31">
        <v>0.5</v>
      </c>
      <c r="F386" s="31">
        <v>0</v>
      </c>
      <c r="G386" s="31">
        <v>0.5</v>
      </c>
      <c r="H386" s="31">
        <v>0</v>
      </c>
      <c r="I386" s="31">
        <v>0</v>
      </c>
      <c r="J386" s="31">
        <v>0</v>
      </c>
      <c r="K386" s="31">
        <v>0</v>
      </c>
    </row>
    <row r="387" spans="1:11" x14ac:dyDescent="0.25">
      <c r="A387" t="s">
        <v>315</v>
      </c>
      <c r="B387" s="31">
        <v>0</v>
      </c>
      <c r="C387" s="31">
        <v>0</v>
      </c>
      <c r="D387" s="31">
        <v>0</v>
      </c>
      <c r="E387" s="31">
        <v>0</v>
      </c>
      <c r="F387" s="31">
        <v>0</v>
      </c>
      <c r="G387" s="31">
        <v>0</v>
      </c>
      <c r="H387" s="31">
        <v>0</v>
      </c>
      <c r="I387" s="31">
        <v>0</v>
      </c>
      <c r="J387" s="31">
        <v>0</v>
      </c>
      <c r="K387" s="31">
        <v>0</v>
      </c>
    </row>
    <row r="388" spans="1:11" x14ac:dyDescent="0.25">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5">
      <c r="A389" t="s">
        <v>317</v>
      </c>
      <c r="B389" s="31">
        <v>0</v>
      </c>
      <c r="C389" s="31">
        <v>0</v>
      </c>
      <c r="D389" s="31">
        <v>0</v>
      </c>
      <c r="E389" s="31">
        <v>0</v>
      </c>
      <c r="F389" s="31">
        <v>0</v>
      </c>
      <c r="G389" s="31">
        <v>0</v>
      </c>
      <c r="H389" s="31">
        <v>0</v>
      </c>
      <c r="I389" s="31">
        <v>0</v>
      </c>
      <c r="J389" s="31">
        <v>0</v>
      </c>
      <c r="K389" s="31">
        <v>0</v>
      </c>
    </row>
    <row r="390" spans="1:11" x14ac:dyDescent="0.25">
      <c r="A390" t="s">
        <v>681</v>
      </c>
      <c r="B390" s="31">
        <v>0</v>
      </c>
      <c r="C390" s="31">
        <v>0</v>
      </c>
      <c r="D390" s="31">
        <v>0</v>
      </c>
      <c r="E390" s="31">
        <v>0</v>
      </c>
      <c r="F390" s="31">
        <v>0</v>
      </c>
      <c r="G390" s="31">
        <v>0</v>
      </c>
      <c r="H390" s="31">
        <v>0</v>
      </c>
      <c r="I390" s="31">
        <v>0</v>
      </c>
      <c r="J390" s="31">
        <v>0</v>
      </c>
      <c r="K390" s="31">
        <v>0</v>
      </c>
    </row>
    <row r="391" spans="1:11" x14ac:dyDescent="0.25">
      <c r="A391" t="s">
        <v>318</v>
      </c>
      <c r="B391" s="31">
        <v>0</v>
      </c>
      <c r="C391" s="31">
        <v>0</v>
      </c>
      <c r="D391" s="31">
        <v>0</v>
      </c>
      <c r="E391" s="31">
        <v>0</v>
      </c>
      <c r="F391" s="31">
        <v>0</v>
      </c>
      <c r="G391" s="31">
        <v>0</v>
      </c>
      <c r="H391" s="31">
        <v>0</v>
      </c>
      <c r="I391" s="31">
        <v>0</v>
      </c>
      <c r="J391" s="31">
        <v>0</v>
      </c>
      <c r="K391" s="31">
        <v>0</v>
      </c>
    </row>
    <row r="392" spans="1:11" x14ac:dyDescent="0.25">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5">
      <c r="A393" t="s">
        <v>716</v>
      </c>
      <c r="B393" s="31">
        <v>0</v>
      </c>
      <c r="C393" s="31">
        <v>0.5</v>
      </c>
      <c r="D393" s="31">
        <v>0</v>
      </c>
      <c r="E393" s="31">
        <v>1</v>
      </c>
      <c r="F393" s="31">
        <v>1</v>
      </c>
      <c r="G393" s="31">
        <v>0.5</v>
      </c>
      <c r="H393" s="31">
        <v>0.5</v>
      </c>
      <c r="I393" s="31">
        <v>0.5</v>
      </c>
      <c r="J393" s="31">
        <v>0.5</v>
      </c>
      <c r="K393" s="31">
        <v>0.5</v>
      </c>
    </row>
    <row r="394" spans="1:11" x14ac:dyDescent="0.25">
      <c r="A394" t="s">
        <v>682</v>
      </c>
      <c r="B394" s="31">
        <v>0</v>
      </c>
      <c r="C394" s="31">
        <v>0</v>
      </c>
      <c r="D394" s="31">
        <v>0</v>
      </c>
      <c r="E394" s="31">
        <v>0</v>
      </c>
      <c r="F394" s="31">
        <v>0</v>
      </c>
      <c r="G394" s="31">
        <v>0</v>
      </c>
      <c r="H394" s="31">
        <v>0</v>
      </c>
      <c r="I394" s="31">
        <v>0</v>
      </c>
      <c r="J394" s="31">
        <v>0</v>
      </c>
      <c r="K394" s="31">
        <v>0</v>
      </c>
    </row>
    <row r="395" spans="1:11" x14ac:dyDescent="0.25">
      <c r="A395" t="s">
        <v>683</v>
      </c>
      <c r="B395" s="31">
        <v>0</v>
      </c>
      <c r="C395" s="31">
        <v>0</v>
      </c>
      <c r="D395" s="31">
        <v>0</v>
      </c>
      <c r="E395" s="31">
        <v>0.5</v>
      </c>
      <c r="F395" s="31">
        <v>0.5</v>
      </c>
      <c r="G395" s="31">
        <v>0.5</v>
      </c>
      <c r="H395" s="31">
        <v>0</v>
      </c>
      <c r="I395" s="31">
        <v>0</v>
      </c>
      <c r="J395" s="31">
        <v>0</v>
      </c>
      <c r="K395" s="31">
        <v>0</v>
      </c>
    </row>
    <row r="396" spans="1:11" x14ac:dyDescent="0.25">
      <c r="A396" t="s">
        <v>684</v>
      </c>
      <c r="B396" s="31">
        <v>0</v>
      </c>
      <c r="C396" s="31">
        <v>0</v>
      </c>
      <c r="D396" s="31">
        <v>0</v>
      </c>
      <c r="E396" s="31">
        <v>0.5</v>
      </c>
      <c r="F396" s="31">
        <v>0.5</v>
      </c>
      <c r="G396" s="31">
        <v>0.5</v>
      </c>
      <c r="H396" s="31">
        <v>0</v>
      </c>
      <c r="I396" s="31">
        <v>0</v>
      </c>
      <c r="J396" s="31">
        <v>0</v>
      </c>
      <c r="K396" s="31">
        <v>0</v>
      </c>
    </row>
    <row r="397" spans="1:11" x14ac:dyDescent="0.25">
      <c r="A397" t="s">
        <v>320</v>
      </c>
      <c r="B397" s="31" t="s">
        <v>411</v>
      </c>
      <c r="C397" s="31">
        <v>0.5</v>
      </c>
      <c r="D397" s="31">
        <v>0</v>
      </c>
      <c r="E397" s="31">
        <v>1</v>
      </c>
      <c r="F397" s="31">
        <v>1</v>
      </c>
      <c r="G397" s="31">
        <v>1</v>
      </c>
      <c r="H397" s="31" t="s">
        <v>408</v>
      </c>
      <c r="I397" s="31" t="s">
        <v>408</v>
      </c>
      <c r="J397" s="31" t="s">
        <v>408</v>
      </c>
      <c r="K397" s="31" t="s">
        <v>408</v>
      </c>
    </row>
    <row r="398" spans="1:11" x14ac:dyDescent="0.25">
      <c r="A398" t="s">
        <v>321</v>
      </c>
      <c r="B398" s="31">
        <v>0</v>
      </c>
      <c r="C398" s="31">
        <v>0</v>
      </c>
      <c r="D398" s="31">
        <v>0</v>
      </c>
      <c r="E398" s="31">
        <v>0.5</v>
      </c>
      <c r="F398" s="31">
        <v>0.5</v>
      </c>
      <c r="G398" s="31">
        <v>0.5</v>
      </c>
      <c r="H398" s="31">
        <v>0</v>
      </c>
      <c r="I398" s="31">
        <v>0</v>
      </c>
      <c r="J398" s="31">
        <v>0</v>
      </c>
      <c r="K398" s="31">
        <v>0</v>
      </c>
    </row>
    <row r="399" spans="1:11" x14ac:dyDescent="0.25">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5">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5">
      <c r="A401" t="s">
        <v>685</v>
      </c>
      <c r="B401" s="31">
        <v>0</v>
      </c>
      <c r="C401" s="31">
        <v>0</v>
      </c>
      <c r="D401" s="31">
        <v>0</v>
      </c>
      <c r="E401" s="31">
        <v>0</v>
      </c>
      <c r="F401" s="31">
        <v>0</v>
      </c>
      <c r="G401" s="31">
        <v>0</v>
      </c>
      <c r="H401" s="31">
        <v>0</v>
      </c>
      <c r="I401" s="31">
        <v>0</v>
      </c>
      <c r="J401" s="31">
        <v>0</v>
      </c>
      <c r="K401" s="31">
        <v>0</v>
      </c>
    </row>
    <row r="402" spans="1:11" x14ac:dyDescent="0.25">
      <c r="A402" t="s">
        <v>686</v>
      </c>
      <c r="B402" s="31">
        <v>0</v>
      </c>
      <c r="C402" s="31">
        <v>0</v>
      </c>
      <c r="D402" s="31">
        <v>0</v>
      </c>
      <c r="E402" s="31">
        <v>0</v>
      </c>
      <c r="F402" s="31">
        <v>0</v>
      </c>
      <c r="G402" s="31">
        <v>0</v>
      </c>
      <c r="H402" s="31">
        <v>0</v>
      </c>
      <c r="I402" s="31">
        <v>0</v>
      </c>
      <c r="J402" s="31">
        <v>0</v>
      </c>
      <c r="K402" s="31">
        <v>0</v>
      </c>
    </row>
    <row r="403" spans="1:11" x14ac:dyDescent="0.25">
      <c r="A403" t="s">
        <v>324</v>
      </c>
      <c r="B403" s="31">
        <v>0</v>
      </c>
      <c r="C403" s="31">
        <v>0</v>
      </c>
      <c r="D403" s="31">
        <v>0</v>
      </c>
      <c r="E403" s="31">
        <v>0</v>
      </c>
      <c r="F403" s="31">
        <v>0</v>
      </c>
      <c r="G403" s="31">
        <v>0</v>
      </c>
      <c r="H403" s="31">
        <v>0</v>
      </c>
      <c r="I403" s="31">
        <v>0</v>
      </c>
      <c r="J403" s="31">
        <v>0</v>
      </c>
      <c r="K403" s="31">
        <v>0</v>
      </c>
    </row>
    <row r="404" spans="1:11" x14ac:dyDescent="0.25">
      <c r="A404" t="s">
        <v>687</v>
      </c>
      <c r="B404" s="31">
        <v>0</v>
      </c>
      <c r="C404" s="31">
        <v>0</v>
      </c>
      <c r="D404" s="31">
        <v>0</v>
      </c>
      <c r="E404" s="31">
        <v>0</v>
      </c>
      <c r="F404" s="31">
        <v>0</v>
      </c>
      <c r="G404" s="31">
        <v>0</v>
      </c>
      <c r="H404" s="31">
        <v>0</v>
      </c>
      <c r="I404" s="31">
        <v>0</v>
      </c>
      <c r="J404" s="31">
        <v>0</v>
      </c>
      <c r="K404" s="31">
        <v>0</v>
      </c>
    </row>
    <row r="405" spans="1:11" x14ac:dyDescent="0.25">
      <c r="A405" t="s">
        <v>688</v>
      </c>
      <c r="B405" s="31">
        <v>0</v>
      </c>
      <c r="C405" s="31">
        <v>0</v>
      </c>
      <c r="D405" s="31">
        <v>0</v>
      </c>
      <c r="E405" s="31">
        <v>0</v>
      </c>
      <c r="F405" s="31">
        <v>0</v>
      </c>
      <c r="G405" s="31">
        <v>0</v>
      </c>
      <c r="H405" s="31">
        <v>0</v>
      </c>
      <c r="I405" s="31">
        <v>0</v>
      </c>
      <c r="J405" s="31">
        <v>0</v>
      </c>
      <c r="K405" s="31">
        <v>0</v>
      </c>
    </row>
    <row r="406" spans="1:11" x14ac:dyDescent="0.25">
      <c r="A406" t="s">
        <v>689</v>
      </c>
      <c r="B406" s="31">
        <v>0</v>
      </c>
      <c r="C406" s="31">
        <v>0</v>
      </c>
      <c r="D406" s="31">
        <v>0</v>
      </c>
      <c r="E406" s="31">
        <v>0</v>
      </c>
      <c r="F406" s="31">
        <v>0</v>
      </c>
      <c r="G406" s="31">
        <v>0</v>
      </c>
      <c r="H406" s="31">
        <v>0</v>
      </c>
      <c r="I406" s="31">
        <v>0</v>
      </c>
      <c r="J406" s="31">
        <v>0</v>
      </c>
      <c r="K406" s="31">
        <v>0</v>
      </c>
    </row>
    <row r="407" spans="1:11" x14ac:dyDescent="0.25">
      <c r="A407" t="s">
        <v>325</v>
      </c>
      <c r="B407" s="31">
        <v>0</v>
      </c>
      <c r="C407" s="31">
        <v>0</v>
      </c>
      <c r="D407" s="31">
        <v>0</v>
      </c>
      <c r="E407" s="31">
        <v>0</v>
      </c>
      <c r="F407" s="31">
        <v>0</v>
      </c>
      <c r="G407" s="31">
        <v>0</v>
      </c>
      <c r="H407" s="31">
        <v>0</v>
      </c>
      <c r="I407" s="31">
        <v>0</v>
      </c>
      <c r="J407" s="31">
        <v>0</v>
      </c>
      <c r="K407" s="31">
        <v>0</v>
      </c>
    </row>
    <row r="408" spans="1:11" x14ac:dyDescent="0.25">
      <c r="A408" t="s">
        <v>641</v>
      </c>
      <c r="B408" s="31">
        <v>0</v>
      </c>
      <c r="C408" s="31">
        <v>0</v>
      </c>
      <c r="D408" s="31">
        <v>0</v>
      </c>
      <c r="E408" s="31">
        <v>0</v>
      </c>
      <c r="F408" s="31">
        <v>0</v>
      </c>
      <c r="G408" s="31">
        <v>0</v>
      </c>
      <c r="H408" s="31">
        <v>0</v>
      </c>
      <c r="I408" s="31">
        <v>0</v>
      </c>
      <c r="J408" s="31">
        <v>0</v>
      </c>
      <c r="K408" s="31">
        <v>0</v>
      </c>
    </row>
    <row r="409" spans="1:11" x14ac:dyDescent="0.25">
      <c r="A409" t="s">
        <v>326</v>
      </c>
      <c r="B409" s="31">
        <v>0</v>
      </c>
      <c r="C409" s="31">
        <v>0</v>
      </c>
      <c r="D409" s="31">
        <v>0</v>
      </c>
      <c r="E409" s="31">
        <v>0</v>
      </c>
      <c r="F409" s="31">
        <v>0</v>
      </c>
      <c r="G409" s="31">
        <v>0</v>
      </c>
      <c r="H409" s="31">
        <v>0</v>
      </c>
      <c r="I409" s="31">
        <v>0</v>
      </c>
      <c r="J409" s="31">
        <v>0</v>
      </c>
      <c r="K409" s="31">
        <v>0</v>
      </c>
    </row>
    <row r="410" spans="1:11" x14ac:dyDescent="0.25">
      <c r="A410" t="s">
        <v>690</v>
      </c>
      <c r="B410" s="31">
        <v>0</v>
      </c>
      <c r="C410" s="31">
        <v>0</v>
      </c>
      <c r="D410" s="31">
        <v>0</v>
      </c>
      <c r="E410" s="31">
        <v>0</v>
      </c>
      <c r="F410" s="31">
        <v>0</v>
      </c>
      <c r="G410" s="31">
        <v>0</v>
      </c>
      <c r="H410" s="31">
        <v>0</v>
      </c>
      <c r="I410" s="31">
        <v>0</v>
      </c>
      <c r="J410" s="31">
        <v>0</v>
      </c>
      <c r="K410" s="31">
        <v>0</v>
      </c>
    </row>
    <row r="411" spans="1:11" x14ac:dyDescent="0.25">
      <c r="A411" t="s">
        <v>327</v>
      </c>
      <c r="B411" s="31">
        <v>0</v>
      </c>
      <c r="C411" s="31">
        <v>0</v>
      </c>
      <c r="D411" s="31">
        <v>0</v>
      </c>
      <c r="E411" s="31">
        <v>0.75</v>
      </c>
      <c r="F411" s="31">
        <v>0.5</v>
      </c>
      <c r="G411" s="31">
        <v>0.5</v>
      </c>
      <c r="H411" s="31">
        <v>0</v>
      </c>
      <c r="I411" s="31">
        <v>0</v>
      </c>
      <c r="J411" s="31">
        <v>0</v>
      </c>
      <c r="K411" s="31">
        <v>0</v>
      </c>
    </row>
    <row r="412" spans="1:11" x14ac:dyDescent="0.25">
      <c r="A412" t="s">
        <v>691</v>
      </c>
      <c r="B412" s="31">
        <v>0</v>
      </c>
      <c r="C412" s="31">
        <v>0</v>
      </c>
      <c r="D412" s="31">
        <v>0</v>
      </c>
      <c r="E412" s="31">
        <v>0.5</v>
      </c>
      <c r="F412" s="31">
        <v>0.5</v>
      </c>
      <c r="G412" s="31">
        <v>0.5</v>
      </c>
      <c r="H412" s="31">
        <v>0</v>
      </c>
      <c r="I412" s="31">
        <v>0</v>
      </c>
      <c r="J412" s="31">
        <v>0</v>
      </c>
      <c r="K412" s="31">
        <v>0</v>
      </c>
    </row>
    <row r="413" spans="1:11" x14ac:dyDescent="0.25">
      <c r="A413" t="s">
        <v>328</v>
      </c>
      <c r="B413" s="31">
        <v>0</v>
      </c>
      <c r="C413" s="31">
        <v>0</v>
      </c>
      <c r="D413" s="31">
        <v>0</v>
      </c>
      <c r="E413" s="31">
        <v>0</v>
      </c>
      <c r="F413" s="31">
        <v>0</v>
      </c>
      <c r="G413" s="31">
        <v>0</v>
      </c>
      <c r="H413" s="31">
        <v>0</v>
      </c>
      <c r="I413" s="31">
        <v>0</v>
      </c>
      <c r="J413" s="31">
        <v>0</v>
      </c>
      <c r="K413" s="31">
        <v>0</v>
      </c>
    </row>
    <row r="414" spans="1:11" x14ac:dyDescent="0.25">
      <c r="A414" t="s">
        <v>692</v>
      </c>
      <c r="B414" s="31">
        <v>0</v>
      </c>
      <c r="C414" s="31">
        <v>0</v>
      </c>
      <c r="D414" s="31">
        <v>0</v>
      </c>
      <c r="E414" s="31">
        <v>0</v>
      </c>
      <c r="F414" s="31">
        <v>0</v>
      </c>
      <c r="G414" s="31">
        <v>0</v>
      </c>
      <c r="H414" s="31">
        <v>0</v>
      </c>
      <c r="I414" s="31">
        <v>0</v>
      </c>
      <c r="J414" s="31">
        <v>0</v>
      </c>
      <c r="K414" s="31">
        <v>0</v>
      </c>
    </row>
    <row r="415" spans="1:11" x14ac:dyDescent="0.25">
      <c r="A415" t="s">
        <v>329</v>
      </c>
      <c r="B415" s="31">
        <v>0</v>
      </c>
      <c r="C415" s="31">
        <v>0</v>
      </c>
      <c r="D415" s="31">
        <v>0</v>
      </c>
      <c r="E415" s="31">
        <v>0.5</v>
      </c>
      <c r="F415" s="31">
        <v>0.5</v>
      </c>
      <c r="G415" s="31">
        <v>0.5</v>
      </c>
      <c r="H415" s="31">
        <v>0</v>
      </c>
      <c r="I415" s="31">
        <v>0</v>
      </c>
      <c r="J415" s="31">
        <v>0</v>
      </c>
      <c r="K415" s="31">
        <v>0</v>
      </c>
    </row>
    <row r="416" spans="1:11" x14ac:dyDescent="0.25">
      <c r="A416" t="s">
        <v>330</v>
      </c>
      <c r="B416" s="31">
        <v>0</v>
      </c>
      <c r="C416" s="31">
        <v>0</v>
      </c>
      <c r="D416" s="31">
        <v>0</v>
      </c>
      <c r="E416" s="31">
        <v>0.5</v>
      </c>
      <c r="F416" s="31">
        <v>0.5</v>
      </c>
      <c r="G416" s="31">
        <v>0.5</v>
      </c>
      <c r="H416" s="31">
        <v>0</v>
      </c>
      <c r="I416" s="31">
        <v>0</v>
      </c>
      <c r="J416" s="31">
        <v>0</v>
      </c>
      <c r="K416" s="31">
        <v>0</v>
      </c>
    </row>
    <row r="417" spans="1:11" x14ac:dyDescent="0.25">
      <c r="A417" t="s">
        <v>331</v>
      </c>
      <c r="B417" s="31">
        <v>0</v>
      </c>
      <c r="C417" s="31">
        <v>0</v>
      </c>
      <c r="D417" s="31">
        <v>0</v>
      </c>
      <c r="E417" s="31">
        <v>0.5</v>
      </c>
      <c r="F417" s="31">
        <v>0.5</v>
      </c>
      <c r="G417" s="31">
        <v>0.5</v>
      </c>
      <c r="H417" s="31">
        <v>0</v>
      </c>
      <c r="I417" s="31">
        <v>0</v>
      </c>
      <c r="J417" s="31">
        <v>0</v>
      </c>
      <c r="K417" s="31">
        <v>0</v>
      </c>
    </row>
    <row r="418" spans="1:11" x14ac:dyDescent="0.25">
      <c r="A418" t="s">
        <v>725</v>
      </c>
      <c r="B418" s="31">
        <v>0</v>
      </c>
      <c r="C418" s="31">
        <v>0</v>
      </c>
      <c r="D418" s="31">
        <v>0</v>
      </c>
      <c r="E418" s="31">
        <v>0</v>
      </c>
      <c r="F418" s="31">
        <v>0</v>
      </c>
      <c r="G418" s="31">
        <v>0</v>
      </c>
      <c r="H418" s="31">
        <v>0</v>
      </c>
      <c r="I418" s="31">
        <v>0</v>
      </c>
      <c r="J418" s="31">
        <v>0</v>
      </c>
      <c r="K418" s="31">
        <v>0</v>
      </c>
    </row>
    <row r="419" spans="1:11" x14ac:dyDescent="0.25">
      <c r="A419" t="s">
        <v>693</v>
      </c>
      <c r="B419" s="31">
        <v>0</v>
      </c>
      <c r="C419" s="31">
        <v>0</v>
      </c>
      <c r="D419" s="31">
        <v>0</v>
      </c>
      <c r="E419" s="31">
        <v>0</v>
      </c>
      <c r="F419" s="31">
        <v>0</v>
      </c>
      <c r="G419" s="31">
        <v>0</v>
      </c>
      <c r="H419" s="31">
        <v>0</v>
      </c>
      <c r="I419" s="31">
        <v>0</v>
      </c>
      <c r="J419" s="31">
        <v>0</v>
      </c>
      <c r="K419" s="31">
        <v>0</v>
      </c>
    </row>
    <row r="420" spans="1:11" x14ac:dyDescent="0.25">
      <c r="A420" t="s">
        <v>332</v>
      </c>
      <c r="B420" s="31">
        <v>0</v>
      </c>
      <c r="C420" s="31">
        <v>0</v>
      </c>
      <c r="D420" s="31">
        <v>0</v>
      </c>
      <c r="E420" s="31">
        <v>0.5</v>
      </c>
      <c r="F420" s="31">
        <v>0.5</v>
      </c>
      <c r="G420" s="31">
        <v>0.5</v>
      </c>
      <c r="H420" s="31">
        <v>0</v>
      </c>
      <c r="I420" s="31">
        <v>0</v>
      </c>
      <c r="J420" s="31">
        <v>0</v>
      </c>
      <c r="K420" s="31">
        <v>0</v>
      </c>
    </row>
    <row r="421" spans="1:11" x14ac:dyDescent="0.25">
      <c r="A421" t="s">
        <v>333</v>
      </c>
      <c r="B421" s="31" t="s">
        <v>411</v>
      </c>
      <c r="C421" s="31">
        <v>0.5</v>
      </c>
      <c r="D421" s="31">
        <v>0</v>
      </c>
      <c r="E421" s="31">
        <v>1</v>
      </c>
      <c r="F421" s="31">
        <v>1</v>
      </c>
      <c r="G421" s="31">
        <v>1</v>
      </c>
      <c r="H421" s="31" t="s">
        <v>408</v>
      </c>
      <c r="I421" s="31" t="s">
        <v>408</v>
      </c>
      <c r="J421" s="31" t="s">
        <v>408</v>
      </c>
      <c r="K421" s="31" t="s">
        <v>408</v>
      </c>
    </row>
    <row r="422" spans="1:11" x14ac:dyDescent="0.25">
      <c r="A422" t="s">
        <v>694</v>
      </c>
      <c r="B422" s="31">
        <v>0</v>
      </c>
      <c r="C422" s="31">
        <v>0</v>
      </c>
      <c r="D422" s="31">
        <v>0</v>
      </c>
      <c r="E422" s="31">
        <v>0</v>
      </c>
      <c r="F422" s="31">
        <v>0</v>
      </c>
      <c r="G422" s="31">
        <v>0</v>
      </c>
      <c r="H422" s="31">
        <v>0</v>
      </c>
      <c r="I422" s="31">
        <v>0</v>
      </c>
      <c r="J422" s="31">
        <v>0</v>
      </c>
      <c r="K422" s="31">
        <v>0</v>
      </c>
    </row>
    <row r="423" spans="1:11" x14ac:dyDescent="0.25">
      <c r="A423" t="s">
        <v>334</v>
      </c>
      <c r="B423" s="31">
        <v>0</v>
      </c>
      <c r="C423" s="31">
        <v>0</v>
      </c>
      <c r="D423" s="31">
        <v>0</v>
      </c>
      <c r="E423" s="31">
        <v>0</v>
      </c>
      <c r="F423" s="31">
        <v>0</v>
      </c>
      <c r="G423" s="31">
        <v>0</v>
      </c>
      <c r="H423" s="31">
        <v>0</v>
      </c>
      <c r="I423" s="31">
        <v>0</v>
      </c>
      <c r="J423" s="31">
        <v>0</v>
      </c>
      <c r="K423" s="31">
        <v>0</v>
      </c>
    </row>
    <row r="424" spans="1:11" x14ac:dyDescent="0.25">
      <c r="A424" t="s">
        <v>695</v>
      </c>
      <c r="B424" s="31">
        <v>0</v>
      </c>
      <c r="C424" s="31">
        <v>0</v>
      </c>
      <c r="D424" s="31">
        <v>0</v>
      </c>
      <c r="E424" s="31">
        <v>0</v>
      </c>
      <c r="F424" s="31">
        <v>0</v>
      </c>
      <c r="G424" s="31">
        <v>0</v>
      </c>
      <c r="H424" s="31">
        <v>0</v>
      </c>
      <c r="I424" s="31">
        <v>0</v>
      </c>
      <c r="J424" s="31">
        <v>0</v>
      </c>
      <c r="K424" s="31">
        <v>0</v>
      </c>
    </row>
    <row r="425" spans="1:11" x14ac:dyDescent="0.25">
      <c r="A425" t="s">
        <v>335</v>
      </c>
      <c r="B425" s="31">
        <v>0</v>
      </c>
      <c r="C425" s="31">
        <v>0</v>
      </c>
      <c r="D425" s="31">
        <v>0</v>
      </c>
      <c r="E425" s="31">
        <v>0</v>
      </c>
      <c r="F425" s="31">
        <v>0</v>
      </c>
      <c r="G425" s="31">
        <v>0</v>
      </c>
      <c r="H425" s="31">
        <v>0</v>
      </c>
      <c r="I425" s="31">
        <v>0</v>
      </c>
      <c r="J425" s="31">
        <v>0</v>
      </c>
      <c r="K425" s="31">
        <v>0</v>
      </c>
    </row>
    <row r="426" spans="1:11" x14ac:dyDescent="0.25">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5">
      <c r="A427" t="s">
        <v>337</v>
      </c>
      <c r="B427" s="31">
        <v>0</v>
      </c>
      <c r="C427" s="31">
        <v>0</v>
      </c>
      <c r="D427" s="31">
        <v>0</v>
      </c>
      <c r="E427" s="31">
        <v>0</v>
      </c>
      <c r="F427" s="31">
        <v>0</v>
      </c>
      <c r="G427" s="31">
        <v>0</v>
      </c>
      <c r="H427" s="31">
        <v>0</v>
      </c>
      <c r="I427" s="31">
        <v>0</v>
      </c>
      <c r="J427" s="31">
        <v>0</v>
      </c>
      <c r="K427" s="31">
        <v>0</v>
      </c>
    </row>
    <row r="428" spans="1:11" x14ac:dyDescent="0.25">
      <c r="A428" t="s">
        <v>726</v>
      </c>
      <c r="B428" s="31">
        <v>0</v>
      </c>
      <c r="C428" s="31">
        <v>0</v>
      </c>
      <c r="D428" s="31">
        <v>0</v>
      </c>
      <c r="E428" s="31">
        <v>0</v>
      </c>
      <c r="F428" s="31">
        <v>0</v>
      </c>
      <c r="G428" s="31">
        <v>0</v>
      </c>
      <c r="H428" s="31">
        <v>0</v>
      </c>
      <c r="I428" s="31">
        <v>0</v>
      </c>
      <c r="J428" s="31">
        <v>0</v>
      </c>
      <c r="K428" s="31">
        <v>0</v>
      </c>
    </row>
    <row r="429" spans="1:11" x14ac:dyDescent="0.25">
      <c r="A429" t="s">
        <v>727</v>
      </c>
      <c r="B429" s="31">
        <v>0</v>
      </c>
      <c r="C429" s="31">
        <v>0</v>
      </c>
      <c r="D429" s="31">
        <v>0</v>
      </c>
      <c r="E429" s="31">
        <v>0</v>
      </c>
      <c r="F429" s="31">
        <v>0</v>
      </c>
      <c r="G429" s="31">
        <v>0</v>
      </c>
      <c r="H429" s="31">
        <v>0</v>
      </c>
      <c r="I429" s="31">
        <v>0</v>
      </c>
      <c r="J429" s="31">
        <v>0</v>
      </c>
      <c r="K429" s="31">
        <v>0</v>
      </c>
    </row>
    <row r="430" spans="1:11" x14ac:dyDescent="0.25">
      <c r="A430" t="s">
        <v>696</v>
      </c>
      <c r="B430" s="31">
        <v>0</v>
      </c>
      <c r="C430" s="31">
        <v>0</v>
      </c>
      <c r="D430" s="31">
        <v>0</v>
      </c>
      <c r="E430" s="31">
        <v>0</v>
      </c>
      <c r="F430" s="31">
        <v>0</v>
      </c>
      <c r="G430" s="31">
        <v>0</v>
      </c>
      <c r="H430" s="31">
        <v>0</v>
      </c>
      <c r="I430" s="31">
        <v>0</v>
      </c>
      <c r="J430" s="31">
        <v>0</v>
      </c>
      <c r="K430" s="31">
        <v>0</v>
      </c>
    </row>
    <row r="431" spans="1:11" x14ac:dyDescent="0.25">
      <c r="A431" t="s">
        <v>697</v>
      </c>
      <c r="B431" s="31">
        <v>0</v>
      </c>
      <c r="C431" s="31">
        <v>0</v>
      </c>
      <c r="D431" s="31">
        <v>0</v>
      </c>
      <c r="E431" s="31">
        <v>0</v>
      </c>
      <c r="F431" s="31">
        <v>0</v>
      </c>
      <c r="G431" s="31">
        <v>0</v>
      </c>
      <c r="H431" s="31">
        <v>0</v>
      </c>
      <c r="I431" s="31">
        <v>0</v>
      </c>
      <c r="J431" s="31">
        <v>0</v>
      </c>
      <c r="K431" s="31">
        <v>0</v>
      </c>
    </row>
    <row r="432" spans="1:11" x14ac:dyDescent="0.25">
      <c r="A432" t="s">
        <v>338</v>
      </c>
      <c r="B432" s="31">
        <v>0</v>
      </c>
      <c r="C432" s="31">
        <v>0</v>
      </c>
      <c r="D432" s="31">
        <v>0</v>
      </c>
      <c r="E432" s="31">
        <v>0.5</v>
      </c>
      <c r="F432" s="31">
        <v>0.5</v>
      </c>
      <c r="G432" s="31">
        <v>0.5</v>
      </c>
      <c r="H432" s="31">
        <v>0</v>
      </c>
      <c r="I432" s="31">
        <v>0</v>
      </c>
      <c r="J432" s="31">
        <v>0</v>
      </c>
      <c r="K432" s="31">
        <v>0</v>
      </c>
    </row>
    <row r="433" spans="1:11" x14ac:dyDescent="0.25">
      <c r="A433" t="s">
        <v>698</v>
      </c>
      <c r="B433" s="31">
        <v>0</v>
      </c>
      <c r="C433" s="31">
        <v>0</v>
      </c>
      <c r="D433" s="31">
        <v>0</v>
      </c>
      <c r="E433" s="31">
        <v>0</v>
      </c>
      <c r="F433" s="31">
        <v>0</v>
      </c>
      <c r="G433" s="31">
        <v>0</v>
      </c>
      <c r="H433" s="31">
        <v>0</v>
      </c>
      <c r="I433" s="31">
        <v>0</v>
      </c>
      <c r="J433" s="31">
        <v>0</v>
      </c>
      <c r="K433" s="31">
        <v>0</v>
      </c>
    </row>
    <row r="434" spans="1:11" x14ac:dyDescent="0.25">
      <c r="A434" t="s">
        <v>339</v>
      </c>
      <c r="B434" s="31">
        <v>0</v>
      </c>
      <c r="C434" s="31">
        <v>0</v>
      </c>
      <c r="D434" s="31">
        <v>0</v>
      </c>
      <c r="E434" s="31">
        <v>0</v>
      </c>
      <c r="F434" s="31">
        <v>0</v>
      </c>
      <c r="G434" s="31">
        <v>0</v>
      </c>
      <c r="H434" s="31">
        <v>0</v>
      </c>
      <c r="I434" s="31">
        <v>0</v>
      </c>
      <c r="J434" s="31">
        <v>0</v>
      </c>
      <c r="K434" s="31">
        <v>0</v>
      </c>
    </row>
    <row r="435" spans="1:11" x14ac:dyDescent="0.25">
      <c r="A435" t="s">
        <v>340</v>
      </c>
      <c r="B435" s="31">
        <v>0</v>
      </c>
      <c r="C435" s="31">
        <v>0</v>
      </c>
      <c r="D435" s="31">
        <v>0</v>
      </c>
      <c r="E435" s="31">
        <v>0.5</v>
      </c>
      <c r="F435" s="31">
        <v>0.5</v>
      </c>
      <c r="G435" s="31">
        <v>0.5</v>
      </c>
      <c r="H435" s="31">
        <v>0</v>
      </c>
      <c r="I435" s="31">
        <v>0</v>
      </c>
      <c r="J435" s="31">
        <v>0</v>
      </c>
      <c r="K435" s="31">
        <v>0</v>
      </c>
    </row>
    <row r="436" spans="1:11" x14ac:dyDescent="0.25">
      <c r="A436" t="s">
        <v>699</v>
      </c>
      <c r="B436" s="31">
        <v>0</v>
      </c>
      <c r="C436" s="31">
        <v>0</v>
      </c>
      <c r="D436" s="31">
        <v>0</v>
      </c>
      <c r="E436" s="31">
        <v>0</v>
      </c>
      <c r="F436" s="31">
        <v>0</v>
      </c>
      <c r="G436" s="31">
        <v>0</v>
      </c>
      <c r="H436" s="31">
        <v>0</v>
      </c>
      <c r="I436" s="31">
        <v>0</v>
      </c>
      <c r="J436" s="31">
        <v>0</v>
      </c>
      <c r="K436" s="31">
        <v>0</v>
      </c>
    </row>
    <row r="437" spans="1:11" x14ac:dyDescent="0.25">
      <c r="A437" t="s">
        <v>728</v>
      </c>
      <c r="B437" s="31">
        <v>0</v>
      </c>
      <c r="C437" s="31">
        <v>0</v>
      </c>
      <c r="D437" s="31">
        <v>0</v>
      </c>
      <c r="E437" s="31">
        <v>0.5</v>
      </c>
      <c r="F437" s="31">
        <v>0.5</v>
      </c>
      <c r="G437" s="31">
        <v>0.5</v>
      </c>
      <c r="H437" s="31">
        <v>0</v>
      </c>
      <c r="I437" s="31">
        <v>0</v>
      </c>
      <c r="J437" s="31">
        <v>0</v>
      </c>
      <c r="K437" s="31">
        <v>0</v>
      </c>
    </row>
    <row r="438" spans="1:11" x14ac:dyDescent="0.25">
      <c r="A438" t="s">
        <v>341</v>
      </c>
      <c r="B438" s="31" t="s">
        <v>411</v>
      </c>
      <c r="C438" s="31">
        <v>0.5</v>
      </c>
      <c r="D438" s="31">
        <v>0</v>
      </c>
      <c r="E438" s="31">
        <v>1</v>
      </c>
      <c r="F438" s="31">
        <v>1</v>
      </c>
      <c r="G438" s="31">
        <v>1</v>
      </c>
      <c r="H438" s="31" t="s">
        <v>408</v>
      </c>
      <c r="I438" s="31" t="s">
        <v>408</v>
      </c>
      <c r="J438" s="31" t="s">
        <v>408</v>
      </c>
      <c r="K438" s="31" t="s">
        <v>408</v>
      </c>
    </row>
    <row r="439" spans="1:11" x14ac:dyDescent="0.25">
      <c r="A439" t="s">
        <v>342</v>
      </c>
      <c r="B439" s="31">
        <v>0</v>
      </c>
      <c r="C439" s="31">
        <v>0</v>
      </c>
      <c r="D439" s="31">
        <v>0</v>
      </c>
      <c r="E439" s="31">
        <v>0.5</v>
      </c>
      <c r="F439" s="31">
        <v>0.5</v>
      </c>
      <c r="G439" s="31">
        <v>0.5</v>
      </c>
      <c r="H439" s="31">
        <v>0</v>
      </c>
      <c r="I439" s="31">
        <v>0</v>
      </c>
      <c r="J439" s="31">
        <v>0</v>
      </c>
      <c r="K439" s="31">
        <v>0</v>
      </c>
    </row>
    <row r="440" spans="1:11" x14ac:dyDescent="0.25">
      <c r="A440" t="s">
        <v>700</v>
      </c>
      <c r="B440" s="31">
        <v>0</v>
      </c>
      <c r="C440" s="31">
        <v>0</v>
      </c>
      <c r="D440" s="31">
        <v>0</v>
      </c>
      <c r="E440" s="31">
        <v>0</v>
      </c>
      <c r="F440" s="31">
        <v>0</v>
      </c>
      <c r="G440" s="31">
        <v>0</v>
      </c>
      <c r="H440" s="31">
        <v>0</v>
      </c>
      <c r="I440" s="31">
        <v>0</v>
      </c>
      <c r="J440" s="31">
        <v>0</v>
      </c>
      <c r="K440" s="31">
        <v>0</v>
      </c>
    </row>
    <row r="441" spans="1:11" x14ac:dyDescent="0.25">
      <c r="A441" t="s">
        <v>343</v>
      </c>
      <c r="B441" s="31">
        <v>0</v>
      </c>
      <c r="C441" s="31" t="s">
        <v>408</v>
      </c>
      <c r="D441" s="31">
        <v>0</v>
      </c>
      <c r="E441" s="31" t="s">
        <v>408</v>
      </c>
      <c r="F441" s="31" t="s">
        <v>408</v>
      </c>
      <c r="G441" s="31" t="s">
        <v>408</v>
      </c>
      <c r="H441" s="31" t="s">
        <v>408</v>
      </c>
      <c r="I441" s="31" t="s">
        <v>408</v>
      </c>
      <c r="J441" s="31" t="s">
        <v>408</v>
      </c>
      <c r="K441" s="31" t="s">
        <v>408</v>
      </c>
    </row>
    <row r="442" spans="1:11" x14ac:dyDescent="0.25">
      <c r="A442" t="s">
        <v>344</v>
      </c>
      <c r="B442" s="31">
        <v>0</v>
      </c>
      <c r="C442" s="31" t="s">
        <v>408</v>
      </c>
      <c r="D442" s="31">
        <v>0</v>
      </c>
      <c r="E442" s="31" t="s">
        <v>408</v>
      </c>
      <c r="F442" s="31" t="s">
        <v>408</v>
      </c>
      <c r="G442" s="31" t="s">
        <v>408</v>
      </c>
      <c r="H442" s="31" t="s">
        <v>408</v>
      </c>
      <c r="I442" s="31" t="s">
        <v>408</v>
      </c>
      <c r="J442" s="31" t="s">
        <v>408</v>
      </c>
      <c r="K442" s="31" t="s">
        <v>408</v>
      </c>
    </row>
    <row r="443" spans="1:11" x14ac:dyDescent="0.25">
      <c r="A443" t="s">
        <v>701</v>
      </c>
      <c r="B443" s="31">
        <v>0</v>
      </c>
      <c r="C443" s="31">
        <v>0</v>
      </c>
      <c r="D443" s="31">
        <v>0</v>
      </c>
      <c r="E443" s="31">
        <v>0</v>
      </c>
      <c r="F443" s="31">
        <v>0</v>
      </c>
      <c r="G443" s="31">
        <v>0</v>
      </c>
      <c r="H443" s="31">
        <v>0</v>
      </c>
      <c r="I443" s="31">
        <v>0</v>
      </c>
      <c r="J443" s="31">
        <v>0</v>
      </c>
      <c r="K443" s="31">
        <v>0</v>
      </c>
    </row>
    <row r="444" spans="1:11" x14ac:dyDescent="0.25">
      <c r="A444" t="s">
        <v>702</v>
      </c>
      <c r="B444" s="31">
        <v>0</v>
      </c>
      <c r="C444" s="31">
        <v>0</v>
      </c>
      <c r="D444" s="31">
        <v>0</v>
      </c>
      <c r="E444" s="31">
        <v>0</v>
      </c>
      <c r="F444" s="31">
        <v>0</v>
      </c>
      <c r="G444" s="31">
        <v>0</v>
      </c>
      <c r="H444" s="31">
        <v>0</v>
      </c>
      <c r="I444" s="31">
        <v>0</v>
      </c>
      <c r="J444" s="31">
        <v>0</v>
      </c>
      <c r="K444" s="31">
        <v>0</v>
      </c>
    </row>
    <row r="445" spans="1:11" x14ac:dyDescent="0.25">
      <c r="A445" t="s">
        <v>703</v>
      </c>
      <c r="B445" s="31">
        <v>0</v>
      </c>
      <c r="C445" s="31">
        <v>0</v>
      </c>
      <c r="D445" s="31">
        <v>0</v>
      </c>
      <c r="E445" s="31">
        <v>0</v>
      </c>
      <c r="F445" s="31">
        <v>0</v>
      </c>
      <c r="G445" s="31">
        <v>0</v>
      </c>
      <c r="H445" s="31">
        <v>0</v>
      </c>
      <c r="I445" s="31">
        <v>0</v>
      </c>
      <c r="J445" s="31">
        <v>0</v>
      </c>
      <c r="K445" s="31">
        <v>0</v>
      </c>
    </row>
    <row r="446" spans="1:11" x14ac:dyDescent="0.25">
      <c r="A446" t="s">
        <v>345</v>
      </c>
      <c r="B446" s="31">
        <v>0</v>
      </c>
      <c r="C446" s="31">
        <v>0</v>
      </c>
      <c r="D446" s="31">
        <v>0</v>
      </c>
      <c r="E446" s="31">
        <v>0</v>
      </c>
      <c r="F446" s="31">
        <v>0</v>
      </c>
      <c r="G446" s="31">
        <v>0</v>
      </c>
      <c r="H446" s="31">
        <v>0</v>
      </c>
      <c r="I446" s="31">
        <v>0</v>
      </c>
      <c r="J446" s="31">
        <v>0</v>
      </c>
      <c r="K446" s="31">
        <v>0</v>
      </c>
    </row>
    <row r="447" spans="1:11" x14ac:dyDescent="0.25">
      <c r="A447" t="s">
        <v>346</v>
      </c>
      <c r="B447" s="31">
        <v>0</v>
      </c>
      <c r="C447" s="31">
        <v>0</v>
      </c>
      <c r="D447" s="31">
        <v>0</v>
      </c>
      <c r="E447" s="31">
        <v>0.5</v>
      </c>
      <c r="F447" s="31">
        <v>0.5</v>
      </c>
      <c r="G447" s="31">
        <v>0.5</v>
      </c>
      <c r="H447" s="31">
        <v>0</v>
      </c>
      <c r="I447" s="31">
        <v>0</v>
      </c>
      <c r="J447" s="31">
        <v>0</v>
      </c>
      <c r="K447" s="31">
        <v>0</v>
      </c>
    </row>
    <row r="448" spans="1:11" x14ac:dyDescent="0.25">
      <c r="A448" t="s">
        <v>347</v>
      </c>
      <c r="B448" s="31" t="s">
        <v>411</v>
      </c>
      <c r="C448" s="31">
        <v>0.5</v>
      </c>
      <c r="D448" s="31">
        <v>0</v>
      </c>
      <c r="E448" s="31">
        <v>1</v>
      </c>
      <c r="F448" s="31">
        <v>1</v>
      </c>
      <c r="G448" s="31">
        <v>1</v>
      </c>
      <c r="H448" s="31" t="s">
        <v>408</v>
      </c>
      <c r="I448" s="31" t="s">
        <v>408</v>
      </c>
      <c r="J448" s="31" t="s">
        <v>408</v>
      </c>
      <c r="K448" s="31" t="s">
        <v>408</v>
      </c>
    </row>
    <row r="449" spans="1:11" x14ac:dyDescent="0.25">
      <c r="A449" t="s">
        <v>348</v>
      </c>
      <c r="B449" s="31">
        <v>0</v>
      </c>
      <c r="C449" s="31">
        <v>0</v>
      </c>
      <c r="D449" s="31">
        <v>0</v>
      </c>
      <c r="E449" s="31">
        <v>0</v>
      </c>
      <c r="F449" s="31">
        <v>0</v>
      </c>
      <c r="G449" s="31">
        <v>0</v>
      </c>
      <c r="H449" s="31">
        <v>0</v>
      </c>
      <c r="I449" s="31">
        <v>0</v>
      </c>
      <c r="J449" s="31">
        <v>0</v>
      </c>
      <c r="K449" s="31">
        <v>0</v>
      </c>
    </row>
    <row r="450" spans="1:11" x14ac:dyDescent="0.25">
      <c r="A450" t="s">
        <v>349</v>
      </c>
      <c r="B450" s="31">
        <v>0</v>
      </c>
      <c r="C450" s="31">
        <v>0</v>
      </c>
      <c r="D450" s="31">
        <v>0</v>
      </c>
      <c r="E450" s="31">
        <v>0</v>
      </c>
      <c r="F450" s="31">
        <v>0</v>
      </c>
      <c r="G450" s="31">
        <v>0</v>
      </c>
      <c r="H450" s="31">
        <v>0</v>
      </c>
      <c r="I450" s="31">
        <v>0</v>
      </c>
      <c r="J450" s="31">
        <v>0</v>
      </c>
      <c r="K450" s="31">
        <v>0</v>
      </c>
    </row>
    <row r="451" spans="1:11" x14ac:dyDescent="0.25">
      <c r="A451" t="s">
        <v>704</v>
      </c>
      <c r="B451" s="31">
        <v>0</v>
      </c>
      <c r="C451" s="31">
        <v>0</v>
      </c>
      <c r="D451" s="31">
        <v>0</v>
      </c>
      <c r="E451" s="31">
        <v>0</v>
      </c>
      <c r="F451" s="31">
        <v>0</v>
      </c>
      <c r="G451" s="31">
        <v>0</v>
      </c>
      <c r="H451" s="31">
        <v>0</v>
      </c>
      <c r="I451" s="31">
        <v>0</v>
      </c>
      <c r="J451" s="31">
        <v>0</v>
      </c>
      <c r="K451" s="31">
        <v>0</v>
      </c>
    </row>
    <row r="452" spans="1:11" x14ac:dyDescent="0.25">
      <c r="A452" t="s">
        <v>350</v>
      </c>
      <c r="B452" s="31">
        <v>0</v>
      </c>
      <c r="C452" s="31">
        <v>0</v>
      </c>
      <c r="D452" s="31">
        <v>0</v>
      </c>
      <c r="E452" s="31">
        <v>0.5</v>
      </c>
      <c r="F452" s="31">
        <v>0.5</v>
      </c>
      <c r="G452" s="31">
        <v>0.5</v>
      </c>
      <c r="H452" s="31">
        <v>0</v>
      </c>
      <c r="I452" s="31">
        <v>0</v>
      </c>
      <c r="J452" s="31">
        <v>0</v>
      </c>
      <c r="K452" s="31">
        <v>0</v>
      </c>
    </row>
    <row r="453" spans="1:11" x14ac:dyDescent="0.25">
      <c r="A453" t="s">
        <v>351</v>
      </c>
      <c r="B453" s="31">
        <v>0</v>
      </c>
      <c r="C453" s="31">
        <v>0</v>
      </c>
      <c r="D453" s="31">
        <v>0</v>
      </c>
      <c r="E453" s="31">
        <v>0.5</v>
      </c>
      <c r="F453" s="31">
        <v>0.5</v>
      </c>
      <c r="G453" s="31">
        <v>0.5</v>
      </c>
      <c r="H453" s="31">
        <v>0</v>
      </c>
      <c r="I453" s="31">
        <v>0</v>
      </c>
      <c r="J453" s="31">
        <v>0</v>
      </c>
      <c r="K453" s="31">
        <v>0</v>
      </c>
    </row>
    <row r="454" spans="1:11" x14ac:dyDescent="0.25">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5">
      <c r="A455" t="s">
        <v>353</v>
      </c>
      <c r="B455" s="31">
        <v>0</v>
      </c>
      <c r="C455" s="31">
        <v>1</v>
      </c>
      <c r="D455" s="31" t="s">
        <v>408</v>
      </c>
      <c r="E455" s="31">
        <v>1</v>
      </c>
      <c r="F455" s="31">
        <v>1</v>
      </c>
      <c r="G455" s="31">
        <v>1</v>
      </c>
      <c r="H455" s="31" t="s">
        <v>408</v>
      </c>
      <c r="I455" s="31" t="s">
        <v>408</v>
      </c>
      <c r="J455" s="31" t="s">
        <v>408</v>
      </c>
      <c r="K455" s="31" t="s">
        <v>408</v>
      </c>
    </row>
    <row r="456" spans="1:11" x14ac:dyDescent="0.25">
      <c r="A456" t="s">
        <v>354</v>
      </c>
      <c r="B456" s="31">
        <v>0</v>
      </c>
      <c r="C456" s="31">
        <v>0</v>
      </c>
      <c r="D456" s="31">
        <v>0</v>
      </c>
      <c r="E456" s="31">
        <v>0</v>
      </c>
      <c r="F456" s="31">
        <v>0</v>
      </c>
      <c r="G456" s="31">
        <v>0</v>
      </c>
      <c r="H456" s="31">
        <v>0</v>
      </c>
      <c r="I456" s="31">
        <v>0</v>
      </c>
      <c r="J456" s="31">
        <v>0</v>
      </c>
      <c r="K456" s="31">
        <v>0</v>
      </c>
    </row>
    <row r="457" spans="1:11" x14ac:dyDescent="0.25">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5">
      <c r="A458" t="s">
        <v>358</v>
      </c>
      <c r="B458" s="31">
        <v>0</v>
      </c>
      <c r="C458" s="31">
        <v>0</v>
      </c>
      <c r="D458" s="31">
        <v>0</v>
      </c>
      <c r="E458" s="31">
        <v>0</v>
      </c>
      <c r="F458" s="31">
        <v>0</v>
      </c>
      <c r="G458" s="31">
        <v>0</v>
      </c>
      <c r="H458" s="31">
        <v>0</v>
      </c>
      <c r="I458" s="31">
        <v>0</v>
      </c>
      <c r="J458" s="31">
        <v>0</v>
      </c>
      <c r="K458" s="31">
        <v>0</v>
      </c>
    </row>
    <row r="459" spans="1:11" x14ac:dyDescent="0.25">
      <c r="A459" t="s">
        <v>706</v>
      </c>
      <c r="B459" s="31">
        <v>0</v>
      </c>
      <c r="C459" s="31">
        <v>0</v>
      </c>
      <c r="D459" s="31">
        <v>0</v>
      </c>
      <c r="E459" s="31">
        <v>0</v>
      </c>
      <c r="F459" s="31">
        <v>0</v>
      </c>
      <c r="G459" s="31">
        <v>0</v>
      </c>
      <c r="H459" s="31">
        <v>0</v>
      </c>
      <c r="I459" s="31">
        <v>0</v>
      </c>
      <c r="J459" s="31">
        <v>0</v>
      </c>
      <c r="K459" s="31">
        <v>0</v>
      </c>
    </row>
    <row r="460" spans="1:11" x14ac:dyDescent="0.25">
      <c r="A460" t="s">
        <v>359</v>
      </c>
      <c r="B460" s="31">
        <v>0</v>
      </c>
      <c r="C460" s="31">
        <v>0</v>
      </c>
      <c r="D460" s="31">
        <v>0</v>
      </c>
      <c r="E460" s="31">
        <v>1</v>
      </c>
      <c r="F460" s="31">
        <v>1</v>
      </c>
      <c r="G460" s="31">
        <v>1</v>
      </c>
      <c r="H460" s="31">
        <v>0</v>
      </c>
      <c r="I460" s="31">
        <v>0</v>
      </c>
      <c r="J460" s="31">
        <v>0</v>
      </c>
      <c r="K460" s="31">
        <v>0</v>
      </c>
    </row>
    <row r="461" spans="1:11" x14ac:dyDescent="0.25">
      <c r="A461" t="s">
        <v>360</v>
      </c>
      <c r="B461" s="31">
        <v>0</v>
      </c>
      <c r="C461" s="31">
        <v>0</v>
      </c>
      <c r="D461" s="31">
        <v>0</v>
      </c>
      <c r="E461" s="31">
        <v>1</v>
      </c>
      <c r="F461" s="31">
        <v>1</v>
      </c>
      <c r="G461" s="31">
        <v>1</v>
      </c>
      <c r="H461" s="31">
        <v>0</v>
      </c>
      <c r="I461" s="31">
        <v>0</v>
      </c>
      <c r="J461" s="31">
        <v>0</v>
      </c>
      <c r="K461" s="31">
        <v>0</v>
      </c>
    </row>
    <row r="462" spans="1:11" x14ac:dyDescent="0.25">
      <c r="A462" t="s">
        <v>492</v>
      </c>
      <c r="B462" s="31">
        <v>0</v>
      </c>
      <c r="C462" s="31">
        <v>0</v>
      </c>
      <c r="D462" s="31">
        <v>0</v>
      </c>
      <c r="E462" s="31">
        <v>0.5</v>
      </c>
      <c r="F462" s="31">
        <v>0.5</v>
      </c>
      <c r="G462" s="31">
        <v>0.5</v>
      </c>
      <c r="H462" s="31">
        <v>0</v>
      </c>
      <c r="I462" s="31">
        <v>0</v>
      </c>
      <c r="J462" s="31">
        <v>0</v>
      </c>
      <c r="K462" s="31">
        <v>0</v>
      </c>
    </row>
    <row r="463" spans="1:11" x14ac:dyDescent="0.25">
      <c r="A463" t="s">
        <v>486</v>
      </c>
      <c r="B463" s="31">
        <v>0</v>
      </c>
      <c r="C463" s="31">
        <v>0</v>
      </c>
      <c r="D463" s="31">
        <v>0</v>
      </c>
      <c r="E463" s="31">
        <v>0.5</v>
      </c>
      <c r="F463" s="31">
        <v>0.5</v>
      </c>
      <c r="G463" s="31">
        <v>0.5</v>
      </c>
      <c r="H463" s="31">
        <v>0</v>
      </c>
      <c r="I463" s="31">
        <v>0</v>
      </c>
      <c r="J463" s="31">
        <v>0</v>
      </c>
      <c r="K463" s="31">
        <v>0</v>
      </c>
    </row>
    <row r="464" spans="1:11" x14ac:dyDescent="0.25">
      <c r="A464" t="s">
        <v>356</v>
      </c>
      <c r="B464" s="31">
        <v>0</v>
      </c>
      <c r="C464" s="31">
        <v>0</v>
      </c>
      <c r="D464" s="31">
        <v>0</v>
      </c>
      <c r="E464" s="31">
        <v>0</v>
      </c>
      <c r="F464" s="31">
        <v>0</v>
      </c>
      <c r="G464" s="31">
        <v>0</v>
      </c>
      <c r="H464" s="31">
        <v>0</v>
      </c>
      <c r="I464" s="31">
        <v>0</v>
      </c>
      <c r="J464" s="31">
        <v>0</v>
      </c>
      <c r="K464" s="31">
        <v>0</v>
      </c>
    </row>
    <row r="465" spans="1:11" x14ac:dyDescent="0.25">
      <c r="A465" t="s">
        <v>357</v>
      </c>
      <c r="B465" s="31">
        <v>0</v>
      </c>
      <c r="C465" s="31">
        <v>0</v>
      </c>
      <c r="D465" s="31">
        <v>0</v>
      </c>
      <c r="E465" s="31">
        <v>0</v>
      </c>
      <c r="F465" s="31">
        <v>0</v>
      </c>
      <c r="G465" s="31">
        <v>0</v>
      </c>
      <c r="H465" s="31">
        <v>0</v>
      </c>
      <c r="I465" s="31">
        <v>0</v>
      </c>
      <c r="J465" s="31">
        <v>0</v>
      </c>
      <c r="K465" s="31">
        <v>0</v>
      </c>
    </row>
    <row r="466" spans="1:11" x14ac:dyDescent="0.25">
      <c r="A466" t="s">
        <v>361</v>
      </c>
      <c r="B466" s="31">
        <v>0</v>
      </c>
      <c r="C466" s="31">
        <v>0</v>
      </c>
      <c r="D466" s="31">
        <v>0</v>
      </c>
      <c r="E466" s="31">
        <v>0.5</v>
      </c>
      <c r="F466" s="31">
        <v>0.5</v>
      </c>
      <c r="G466" s="31">
        <v>0.5</v>
      </c>
      <c r="H466" s="31">
        <v>0</v>
      </c>
      <c r="I466" s="31">
        <v>0</v>
      </c>
      <c r="J466" s="31">
        <v>0</v>
      </c>
      <c r="K466" s="31">
        <v>0</v>
      </c>
    </row>
    <row r="467" spans="1:11" x14ac:dyDescent="0.25">
      <c r="A467" t="s">
        <v>362</v>
      </c>
      <c r="B467" s="31">
        <v>0</v>
      </c>
      <c r="C467" s="31">
        <v>0</v>
      </c>
      <c r="D467" s="31">
        <v>0</v>
      </c>
      <c r="E467" s="31">
        <v>0.5</v>
      </c>
      <c r="F467" s="31">
        <v>0.5</v>
      </c>
      <c r="G467" s="31">
        <v>0.5</v>
      </c>
      <c r="H467" s="31">
        <v>0</v>
      </c>
      <c r="I467" s="31">
        <v>0</v>
      </c>
      <c r="J467" s="31">
        <v>0</v>
      </c>
      <c r="K467" s="31">
        <v>0</v>
      </c>
    </row>
    <row r="468" spans="1:11" x14ac:dyDescent="0.25">
      <c r="A468" t="s">
        <v>363</v>
      </c>
      <c r="B468" s="31">
        <v>0</v>
      </c>
      <c r="C468" s="31">
        <v>0</v>
      </c>
      <c r="D468" s="31">
        <v>0</v>
      </c>
      <c r="E468" s="31">
        <v>0.5</v>
      </c>
      <c r="F468" s="31">
        <v>0.5</v>
      </c>
      <c r="G468" s="31">
        <v>0.5</v>
      </c>
      <c r="H468" s="31">
        <v>0</v>
      </c>
      <c r="I468" s="31">
        <v>0</v>
      </c>
      <c r="J468" s="31">
        <v>0</v>
      </c>
      <c r="K468" s="31">
        <v>0</v>
      </c>
    </row>
    <row r="469" spans="1:11" x14ac:dyDescent="0.25">
      <c r="A469" t="s">
        <v>364</v>
      </c>
      <c r="B469" s="31">
        <v>0</v>
      </c>
      <c r="C469" s="31">
        <v>0</v>
      </c>
      <c r="D469" s="31">
        <v>0</v>
      </c>
      <c r="E469" s="31">
        <v>0</v>
      </c>
      <c r="F469" s="31">
        <v>0</v>
      </c>
      <c r="G469" s="31">
        <v>0</v>
      </c>
      <c r="H469" s="31">
        <v>0</v>
      </c>
      <c r="I469" s="31">
        <v>0</v>
      </c>
      <c r="J469" s="31">
        <v>0</v>
      </c>
      <c r="K469" s="31">
        <v>0</v>
      </c>
    </row>
    <row r="470" spans="1:11" x14ac:dyDescent="0.25">
      <c r="A470" t="s">
        <v>365</v>
      </c>
      <c r="B470" s="31">
        <v>0</v>
      </c>
      <c r="C470" s="31">
        <v>0.5</v>
      </c>
      <c r="D470" s="31">
        <v>0</v>
      </c>
      <c r="E470" s="31">
        <v>0.5</v>
      </c>
      <c r="F470" s="31">
        <v>0.5</v>
      </c>
      <c r="G470" s="31">
        <v>0.5</v>
      </c>
      <c r="H470" s="31">
        <v>0</v>
      </c>
      <c r="I470" s="31">
        <v>0</v>
      </c>
      <c r="J470" s="31">
        <v>0</v>
      </c>
      <c r="K470" s="31">
        <v>0</v>
      </c>
    </row>
    <row r="471" spans="1:11" x14ac:dyDescent="0.25">
      <c r="A471" t="s">
        <v>366</v>
      </c>
      <c r="B471" s="31">
        <v>0</v>
      </c>
      <c r="C471" s="31">
        <v>0</v>
      </c>
      <c r="D471" s="31">
        <v>0</v>
      </c>
      <c r="E471" s="31">
        <v>0.5</v>
      </c>
      <c r="F471" s="31">
        <v>0.5</v>
      </c>
      <c r="G471" s="31">
        <v>0.5</v>
      </c>
      <c r="H471" s="31">
        <v>0</v>
      </c>
      <c r="I471" s="31">
        <v>0</v>
      </c>
      <c r="J471" s="31">
        <v>0</v>
      </c>
      <c r="K471" s="31">
        <v>0</v>
      </c>
    </row>
    <row r="472" spans="1:11" x14ac:dyDescent="0.25">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5">
      <c r="A473" t="s">
        <v>710</v>
      </c>
      <c r="B473" s="31">
        <v>0</v>
      </c>
      <c r="C473" s="31">
        <v>0</v>
      </c>
      <c r="D473" s="31">
        <v>0</v>
      </c>
      <c r="E473" s="31">
        <v>0</v>
      </c>
      <c r="F473" s="31">
        <v>0</v>
      </c>
      <c r="G473" s="31">
        <v>0</v>
      </c>
      <c r="H473" s="31">
        <v>0</v>
      </c>
      <c r="I473" s="31">
        <v>0</v>
      </c>
      <c r="J473" s="31">
        <v>0</v>
      </c>
      <c r="K473" s="31">
        <v>0</v>
      </c>
    </row>
    <row r="474" spans="1:11" x14ac:dyDescent="0.25">
      <c r="A474" t="s">
        <v>497</v>
      </c>
      <c r="B474" s="31">
        <v>0</v>
      </c>
      <c r="C474" s="31">
        <v>0</v>
      </c>
      <c r="D474" s="31">
        <v>0</v>
      </c>
      <c r="E474" s="31">
        <v>0.75</v>
      </c>
      <c r="F474" s="31">
        <v>0.5</v>
      </c>
      <c r="G474" s="31">
        <v>0.5</v>
      </c>
      <c r="H474" s="31">
        <v>0</v>
      </c>
      <c r="I474" s="31">
        <v>0</v>
      </c>
      <c r="J474" s="31">
        <v>0</v>
      </c>
      <c r="K474" s="31">
        <v>0</v>
      </c>
    </row>
    <row r="475" spans="1:11" x14ac:dyDescent="0.25">
      <c r="A475" t="s">
        <v>367</v>
      </c>
      <c r="B475" s="31">
        <v>0</v>
      </c>
      <c r="C475" s="31">
        <v>0.5</v>
      </c>
      <c r="D475" s="31">
        <v>0</v>
      </c>
      <c r="E475" s="31">
        <v>0.5</v>
      </c>
      <c r="F475" s="31">
        <v>0.5</v>
      </c>
      <c r="G475" s="31">
        <v>0.5</v>
      </c>
      <c r="H475" s="31">
        <v>0</v>
      </c>
      <c r="I475" s="31">
        <v>0</v>
      </c>
      <c r="J475" s="31">
        <v>0</v>
      </c>
      <c r="K475" s="31">
        <v>0</v>
      </c>
    </row>
    <row r="476" spans="1:11" x14ac:dyDescent="0.25">
      <c r="A476" t="s">
        <v>711</v>
      </c>
      <c r="B476" s="31">
        <v>0</v>
      </c>
      <c r="C476" s="31">
        <v>0</v>
      </c>
      <c r="D476" s="31">
        <v>0</v>
      </c>
      <c r="E476" s="31">
        <v>0</v>
      </c>
      <c r="F476" s="31">
        <v>0</v>
      </c>
      <c r="G476" s="31">
        <v>0</v>
      </c>
      <c r="H476" s="31">
        <v>0</v>
      </c>
      <c r="I476" s="31">
        <v>0</v>
      </c>
      <c r="J476" s="31">
        <v>0</v>
      </c>
      <c r="K476" s="31">
        <v>0</v>
      </c>
    </row>
    <row r="477" spans="1:11" x14ac:dyDescent="0.25">
      <c r="A477" t="s">
        <v>712</v>
      </c>
      <c r="B477" s="31">
        <v>0</v>
      </c>
      <c r="C477" s="31">
        <v>0</v>
      </c>
      <c r="D477" s="31">
        <v>0</v>
      </c>
      <c r="E477" s="31">
        <v>0</v>
      </c>
      <c r="F477" s="31">
        <v>0</v>
      </c>
      <c r="G477" s="31">
        <v>0</v>
      </c>
      <c r="H477" s="31">
        <v>0</v>
      </c>
      <c r="I477" s="31">
        <v>0</v>
      </c>
      <c r="J477" s="31">
        <v>0</v>
      </c>
      <c r="K477" s="31">
        <v>0</v>
      </c>
    </row>
    <row r="478" spans="1:11" x14ac:dyDescent="0.25">
      <c r="A478" t="s">
        <v>479</v>
      </c>
      <c r="B478" s="31">
        <v>0</v>
      </c>
      <c r="C478" s="31">
        <v>0</v>
      </c>
      <c r="D478" s="31">
        <v>0</v>
      </c>
      <c r="E478" s="31">
        <v>0</v>
      </c>
      <c r="F478" s="31">
        <v>0</v>
      </c>
      <c r="G478" s="31">
        <v>0</v>
      </c>
      <c r="H478" s="31">
        <v>0</v>
      </c>
      <c r="I478" s="31">
        <v>0</v>
      </c>
      <c r="J478" s="31">
        <v>0</v>
      </c>
      <c r="K478" s="31">
        <v>0</v>
      </c>
    </row>
    <row r="479" spans="1:11" x14ac:dyDescent="0.25">
      <c r="A479" t="s">
        <v>368</v>
      </c>
      <c r="B479" s="31">
        <v>0</v>
      </c>
      <c r="C479" s="31">
        <v>0</v>
      </c>
      <c r="D479" s="31">
        <v>0</v>
      </c>
      <c r="E479" s="31">
        <v>0</v>
      </c>
      <c r="F479" s="31">
        <v>0</v>
      </c>
      <c r="G479" s="31">
        <v>0</v>
      </c>
      <c r="H479" s="31">
        <v>0</v>
      </c>
      <c r="I479" s="31">
        <v>0</v>
      </c>
      <c r="J479" s="31">
        <v>0</v>
      </c>
      <c r="K479" s="31">
        <v>0</v>
      </c>
    </row>
    <row r="480" spans="1:11" x14ac:dyDescent="0.25">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5">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5">
      <c r="A482" t="s">
        <v>713</v>
      </c>
      <c r="B482" s="31">
        <v>0</v>
      </c>
      <c r="C482" s="31">
        <v>0</v>
      </c>
      <c r="D482" s="31">
        <v>0</v>
      </c>
      <c r="E482" s="31">
        <v>0</v>
      </c>
      <c r="F482" s="31">
        <v>0</v>
      </c>
      <c r="G482" s="31">
        <v>0</v>
      </c>
      <c r="H482" s="31">
        <v>0</v>
      </c>
      <c r="I482" s="31">
        <v>0</v>
      </c>
      <c r="J482" s="31">
        <v>0</v>
      </c>
      <c r="K482" s="31">
        <v>0</v>
      </c>
    </row>
    <row r="483" spans="1:11" x14ac:dyDescent="0.25">
      <c r="A483" t="s">
        <v>371</v>
      </c>
      <c r="B483" s="31">
        <v>0</v>
      </c>
      <c r="C483" s="31">
        <v>0</v>
      </c>
      <c r="D483" s="31">
        <v>0</v>
      </c>
      <c r="E483" s="31">
        <v>0.5</v>
      </c>
      <c r="F483" s="31">
        <v>0.5</v>
      </c>
      <c r="G483" s="31">
        <v>0.5</v>
      </c>
      <c r="H483" s="31">
        <v>0</v>
      </c>
      <c r="I483" s="31">
        <v>0</v>
      </c>
      <c r="J483" s="31">
        <v>0</v>
      </c>
      <c r="K483" s="31">
        <v>0</v>
      </c>
    </row>
    <row r="484" spans="1:11" x14ac:dyDescent="0.25">
      <c r="A484" t="s">
        <v>584</v>
      </c>
      <c r="B484" s="31">
        <v>0</v>
      </c>
      <c r="C484" s="31">
        <v>1</v>
      </c>
      <c r="D484" s="31">
        <v>0</v>
      </c>
      <c r="E484" s="31">
        <v>1</v>
      </c>
      <c r="F484" s="31">
        <v>1</v>
      </c>
      <c r="G484" s="31">
        <v>0.5</v>
      </c>
      <c r="H484" s="31">
        <v>0</v>
      </c>
      <c r="I484" s="31">
        <v>0</v>
      </c>
      <c r="J484" s="31">
        <v>0</v>
      </c>
      <c r="K484" s="31">
        <v>0</v>
      </c>
    </row>
    <row r="485" spans="1:11" x14ac:dyDescent="0.25">
      <c r="A485" t="s">
        <v>583</v>
      </c>
      <c r="B485" s="31">
        <v>0</v>
      </c>
      <c r="C485" s="31">
        <v>0</v>
      </c>
      <c r="D485" s="31">
        <v>0</v>
      </c>
      <c r="E485" s="31">
        <v>0</v>
      </c>
      <c r="F485" s="31">
        <v>0</v>
      </c>
      <c r="G485" s="31">
        <v>0</v>
      </c>
      <c r="H485" s="31">
        <v>0</v>
      </c>
      <c r="I485" s="31">
        <v>0</v>
      </c>
      <c r="J485" s="31">
        <v>0</v>
      </c>
      <c r="K485" s="31">
        <v>0</v>
      </c>
    </row>
    <row r="486" spans="1:11" x14ac:dyDescent="0.25">
      <c r="A486" t="s">
        <v>372</v>
      </c>
      <c r="B486" s="31" t="s">
        <v>411</v>
      </c>
      <c r="C486" s="31">
        <v>1</v>
      </c>
      <c r="D486" s="31">
        <v>0</v>
      </c>
      <c r="E486" s="31">
        <v>1</v>
      </c>
      <c r="F486" s="31">
        <v>1</v>
      </c>
      <c r="G486" s="31">
        <v>1</v>
      </c>
      <c r="H486" s="31" t="s">
        <v>408</v>
      </c>
      <c r="I486" s="31" t="s">
        <v>408</v>
      </c>
      <c r="J486" s="31" t="s">
        <v>408</v>
      </c>
      <c r="K486" s="31" t="s">
        <v>408</v>
      </c>
    </row>
    <row r="487" spans="1:11" x14ac:dyDescent="0.25">
      <c r="A487" t="s">
        <v>373</v>
      </c>
      <c r="B487" s="31">
        <v>0</v>
      </c>
      <c r="C487" s="31">
        <v>1</v>
      </c>
      <c r="D487" s="31">
        <v>0</v>
      </c>
      <c r="E487" s="31">
        <v>1</v>
      </c>
      <c r="F487" s="31">
        <v>1</v>
      </c>
      <c r="G487" s="31">
        <v>0.5</v>
      </c>
      <c r="H487" s="31">
        <v>0</v>
      </c>
      <c r="I487" s="31">
        <v>0</v>
      </c>
      <c r="J487" s="31">
        <v>0</v>
      </c>
      <c r="K487" s="31">
        <v>0</v>
      </c>
    </row>
    <row r="488" spans="1:11" x14ac:dyDescent="0.25">
      <c r="A488" t="s">
        <v>374</v>
      </c>
      <c r="B488" s="31">
        <v>0</v>
      </c>
      <c r="C488" s="31">
        <v>0</v>
      </c>
      <c r="D488" s="31">
        <v>0</v>
      </c>
      <c r="E488" s="31">
        <v>0.5</v>
      </c>
      <c r="F488" s="31">
        <v>0.5</v>
      </c>
      <c r="G488" s="31">
        <v>0.5</v>
      </c>
      <c r="H488" s="31">
        <v>0</v>
      </c>
      <c r="I488" s="31">
        <v>0</v>
      </c>
      <c r="J488" s="31">
        <v>0</v>
      </c>
      <c r="K488" s="31">
        <v>0</v>
      </c>
    </row>
    <row r="489" spans="1:11" x14ac:dyDescent="0.25">
      <c r="A489" t="s">
        <v>714</v>
      </c>
      <c r="B489" s="31">
        <v>0</v>
      </c>
      <c r="C489" s="31">
        <v>0</v>
      </c>
      <c r="D489" s="31">
        <v>0</v>
      </c>
      <c r="E489" s="31">
        <v>0</v>
      </c>
      <c r="F489" s="31">
        <v>0</v>
      </c>
      <c r="G489" s="31">
        <v>0</v>
      </c>
      <c r="H489" s="31">
        <v>0</v>
      </c>
      <c r="I489" s="31">
        <v>0</v>
      </c>
      <c r="J489" s="31">
        <v>0</v>
      </c>
      <c r="K489" s="31">
        <v>0</v>
      </c>
    </row>
    <row r="490" spans="1:11" x14ac:dyDescent="0.25">
      <c r="A490" t="s">
        <v>375</v>
      </c>
      <c r="B490" s="31">
        <v>0</v>
      </c>
      <c r="C490" s="31">
        <v>0</v>
      </c>
      <c r="D490" s="31">
        <v>0</v>
      </c>
      <c r="E490" s="31">
        <v>0</v>
      </c>
      <c r="F490" s="31">
        <v>0</v>
      </c>
      <c r="G490" s="31">
        <v>0</v>
      </c>
      <c r="H490" s="31">
        <v>0</v>
      </c>
      <c r="I490" s="31">
        <v>0</v>
      </c>
      <c r="J490" s="31">
        <v>0</v>
      </c>
      <c r="K490" s="31">
        <v>0</v>
      </c>
    </row>
    <row r="491" spans="1:11" x14ac:dyDescent="0.25">
      <c r="A491" t="s">
        <v>376</v>
      </c>
      <c r="B491" s="31">
        <v>0</v>
      </c>
      <c r="C491" s="31">
        <v>0</v>
      </c>
      <c r="D491" s="31">
        <v>0</v>
      </c>
      <c r="E491" s="31">
        <v>0.5</v>
      </c>
      <c r="F491" s="31">
        <v>0.5</v>
      </c>
      <c r="G491" s="31">
        <v>0.5</v>
      </c>
      <c r="H491" s="31">
        <v>0</v>
      </c>
      <c r="I491" s="31">
        <v>0</v>
      </c>
      <c r="J491" s="31">
        <v>0</v>
      </c>
      <c r="K491" s="31">
        <v>0</v>
      </c>
    </row>
    <row r="492" spans="1:11" x14ac:dyDescent="0.25">
      <c r="A492" t="s">
        <v>377</v>
      </c>
      <c r="B492" s="31">
        <v>0</v>
      </c>
      <c r="C492" s="31">
        <v>0</v>
      </c>
      <c r="D492" s="31">
        <v>0</v>
      </c>
      <c r="E492" s="31">
        <v>0.5</v>
      </c>
      <c r="F492" s="31">
        <v>0.5</v>
      </c>
      <c r="G492" s="31">
        <v>0.5</v>
      </c>
      <c r="H492" s="31">
        <v>0</v>
      </c>
      <c r="I492" s="31">
        <v>0</v>
      </c>
      <c r="J492" s="31">
        <v>0</v>
      </c>
      <c r="K492" s="31">
        <v>0</v>
      </c>
    </row>
    <row r="493" spans="1:11" x14ac:dyDescent="0.25">
      <c r="A493" t="s">
        <v>543</v>
      </c>
      <c r="B493" s="31">
        <v>0</v>
      </c>
      <c r="C493" s="31">
        <v>0</v>
      </c>
      <c r="D493" s="31">
        <v>0</v>
      </c>
      <c r="E493" s="31">
        <v>0</v>
      </c>
      <c r="F493" s="31">
        <v>0</v>
      </c>
      <c r="G493" s="31">
        <v>0</v>
      </c>
      <c r="H493" s="31">
        <v>0</v>
      </c>
      <c r="I493" s="31">
        <v>0</v>
      </c>
      <c r="J493" s="31">
        <v>0</v>
      </c>
      <c r="K493" s="31">
        <v>0</v>
      </c>
    </row>
    <row r="494" spans="1:11" x14ac:dyDescent="0.25">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xmlns:xlrd2="http://schemas.microsoft.com/office/spreadsheetml/2017/richdata2"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Judit Farkas</cp:lastModifiedBy>
  <cp:lastPrinted>2019-06-06T09:31:11Z</cp:lastPrinted>
  <dcterms:created xsi:type="dcterms:W3CDTF">2017-05-18T07:38:05Z</dcterms:created>
  <dcterms:modified xsi:type="dcterms:W3CDTF">2020-01-10T08:55:06Z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