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Kiss Anita\"/>
    </mc:Choice>
  </mc:AlternateContent>
  <xr:revisionPtr revIDLastSave="0" documentId="13_ncr:1_{54F50177-8FD8-49CC-B57A-F3CA9D75D55B}"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<sst xmlns="http://schemas.openxmlformats.org/spreadsheetml/2006/main" count="1956" uniqueCount="733">
  <si>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</si>
  <si>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</si>
  <si>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</si>
  <si>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</si>
  <si>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</si>
  <si>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</si>
  <si>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</si>
  <si>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</si>
  <si>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</si>
  <si>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</si>
  <si>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</si>
  <si>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</si>
  <si>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</si>
  <si>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</si>
  <si>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</si>
  <si>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</si>
  <si>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</si>
  <si>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</si>
  <si>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</si>
  <si>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</si>
  <si>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</si>
  <si>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</si>
  <si>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</si>
  <si>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</si>
  <si>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</si>
  <si>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</si>
  <si>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</si>
  <si>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</si>
  <si>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</si>
  <si>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</si>
  <si>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</si>
  <si>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</si>
  <si>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</si>
  <si>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</si>
  <si>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</si>
  <si>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</si>
  <si>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</si>
  <si>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</si>
  <si>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</si>
  <si>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</si>
  <si>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</si>
  <si>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</si>
  <si>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</si>
  <si>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</si>
  <si>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</si>
  <si>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</si>
  <si>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</si>
  <si>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</si>
  <si>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</si>
  <si>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</si>
  <si>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</si>
  <si>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</si>
  <si>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</si>
  <si>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</si>
  <si>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</si>
  <si>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</si>
  <si>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</si>
  <si>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</si>
  <si>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</si>
  <si>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</si>
  <si>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</si>
  <si>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</si>
  <si>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</si>
  <si>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</si>
  <si>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</si>
  <si>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</si>
  <si>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</si>
  <si>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</si>
  <si>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</si>
  <si>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</si>
  <si>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</si>
  <si>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</si>
  <si>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</si>
  <si>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</si>
  <si>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</si>
  <si>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</si>
  <si>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</si>
  <si>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</si>
  <si>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</si>
  <si>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</si>
  <si>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</si>
  <si>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</si>
  <si>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</si>
  <si>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</si>
  <si>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</si>
  <si>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</si>
  <si>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</si>
  <si>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</si>
  <si>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</si>
  <si>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</si>
  <si>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</si>
  <si>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</si>
  <si>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</si>
  <si>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</si>
  <si>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</si>
  <si>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</si>
  <si>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</si>
  <si>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</si>
  <si>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</si>
  <si>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</si>
  <si>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</si>
  <si>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</si>
  <si>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</si>
  <si>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</si>
  <si>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</si>
  <si>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</si>
  <si>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</si>
  <si>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</si>
  <si>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</si>
  <si>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</si>
  <si>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</si>
  <si>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</si>
  <si>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</si>
  <si>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</si>
  <si>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</si>
  <si>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</si>
  <si>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</si>
  <si>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</si>
  <si>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</si>
  <si>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</si>
  <si>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</si>
  <si>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</si>
  <si>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</si>
  <si>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</si>
  <si>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</si>
  <si>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</si>
  <si>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</si>
  <si>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</si>
  <si>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</si>
  <si>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</si>
  <si>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</si>
  <si>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</si>
  <si>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</si>
  <si>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</si>
  <si>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</si>
  <si>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</si>
  <si>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</si>
  <si>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</si>
  <si>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</si>
  <si>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</si>
  <si>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</si>
  <si>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</si>
  <si>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</si>
  <si>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</si>
  <si>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</si>
  <si>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</si>
  <si>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</si>
  <si>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</si>
  <si>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</si>
  <si>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</si>
  <si>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</si>
  <si>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</si>
  <si>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</si>
  <si>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</si>
  <si>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</si>
  <si>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</si>
  <si>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</si>
  <si>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</si>
  <si>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</si>
  <si>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</si>
  <si>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</si>
  <si>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</si>
  <si>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</si>
  <si>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</si>
  <si>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</si>
  <si>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</si>
  <si>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</si>
  <si>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</si>
  <si>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</si>
  <si>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</si>
  <si>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</si>
  <si>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</si>
  <si>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</si>
  <si>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</si>
  <si>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</si>
  <si>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</si>
  <si>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</si>
  <si>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</si>
  <si>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</si>
  <si>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</si>
  <si>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</si>
  <si>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</si>
  <si>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</si>
  <si>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</si>
  <si>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</si>
  <si>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</si>
  <si>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</si>
  <si>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</si>
  <si>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</si>
  <si>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</si>
  <si>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</si>
  <si>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</si>
  <si>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</si>
  <si>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</si>
  <si>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</si>
  <si>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</si>
  <si>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</si>
  <si>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</si>
  <si>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</si>
  <si>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</si>
  <si>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</si>
  <si>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</si>
  <si>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</si>
  <si>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</si>
  <si>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</si>
  <si>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</si>
  <si>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</si>
  <si>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</si>
  <si>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</si>
  <si>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</si>
  <si>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</si>
  <si>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</si>
  <si>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</si>
  <si>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</si>
  <si>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</si>
  <si>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</si>
  <si>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</si>
  <si>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</si>
  <si>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</si>
  <si>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</si>
  <si>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</si>
  <si>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</si>
  <si>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</si>
  <si>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</si>
  <si>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</si>
  <si>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</si>
  <si>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</si>
  <si>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</si>
  <si>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</si>
  <si>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</si>
  <si>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</si>
  <si>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</si>
  <si>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</si>
  <si>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</si>
  <si>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</si>
  <si>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</si>
  <si>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</si>
  <si>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</si>
  <si>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</si>
  <si>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</si>
  <si>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</si>
  <si>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</si>
  <si>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</si>
  <si>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</si>
  <si>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</si>
  <si>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</si>
  <si>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</si>
  <si>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</si>
  <si>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</si>
  <si>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</si>
  <si>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</si>
  <si>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</si>
  <si>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</si>
  <si>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</si>
  <si>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</si>
  <si>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</si>
  <si>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</si>
  <si>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</si>
  <si>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</si>
  <si>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</si>
  <si>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</si>
  <si>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</si>
  <si>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</si>
  <si>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</si>
  <si>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</si>
  <si>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</si>
  <si>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</si>
  <si>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</si>
  <si>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</si>
  <si>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</si>
  <si>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</si>
  <si>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</si>
  <si>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</si>
  <si>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</si>
  <si>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</si>
  <si>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</si>
  <si>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</si>
  <si>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</si>
  <si>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</si>
  <si>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</si>
  <si>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</si>
  <si>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</si>
  <si>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</si>
  <si>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</si>
  <si>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</si>
  <si>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</si>
  <si>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</si>
  <si>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</si>
  <si>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</si>
  <si>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</si>
  <si>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</si>
  <si>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</si>
  <si>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</si>
  <si>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</si>
  <si>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</si>
  <si>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</si>
  <si>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</si>
  <si>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</si>
  <si>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</si>
  <si>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</si>
  <si>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</si>
  <si>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</si>
  <si>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</si>
  <si>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</si>
  <si>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</si>
  <si>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</si>
  <si>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</si>
  <si>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</si>
  <si>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</si>
  <si>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</si>
  <si>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</si>
  <si>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</si>
  <si>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</si>
  <si>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</si>
  <si>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</si>
  <si>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</si>
  <si>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</si>
  <si>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</si>
  <si>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</si>
  <si>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</si>
  <si>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</si>
  <si>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</si>
  <si>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</si>
  <si>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</si>
  <si>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</si>
  <si>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</si>
  <si>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</si>
  <si>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</si>
  <si>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</si>
  <si>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</si>
  <si>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</si>
  <si>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</si>
  <si>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</si>
  <si>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</si>
  <si>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</si>
  <si>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</si>
  <si>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</si>
  <si>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</si>
  <si>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</si>
  <si>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</si>
  <si>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</si>
  <si>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</si>
  <si>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</si>
  <si>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</si>
  <si>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</si>
  <si>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</si>
  <si>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</si>
  <si>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</si>
  <si>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</si>
  <si>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</si>
  <si>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</si>
  <si>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</si>
  <si>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</si>
  <si>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</si>
  <si>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</si>
  <si>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</si>
  <si>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</si>
  <si>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</si>
  <si>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</si>
  <si>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</si>
  <si>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</si>
  <si>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</si>
  <si>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</si>
  <si>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</si>
  <si>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</si>
  <si>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</si>
  <si>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</si>
  <si>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</si>
  <si>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</si>
  <si>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</si>
  <si>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</si>
  <si>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</si>
  <si>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</si>
  <si>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</si>
  <si>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</si>
  <si>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</si>
  <si>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</si>
  <si>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</si>
  <si>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</si>
  <si>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</si>
  <si>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</si>
  <si>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</si>
  <si>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</si>
  <si>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</si>
  <si>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</si>
  <si>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</si>
  <si>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</si>
  <si>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</si>
  <si>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</si>
  <si>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</si>
  <si>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</si>
  <si>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</si>
  <si>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</si>
  <si>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</si>
  <si>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</si>
  <si>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</si>
  <si>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</si>
  <si>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</si>
  <si>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</si>
  <si>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</si>
  <si>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</si>
  <si>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</si>
  <si>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</si>
  <si>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</si>
  <si>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</si>
  <si>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</si>
  <si>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</si>
  <si>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</si>
  <si>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</si>
  <si>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</si>
  <si>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</si>
  <si>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</si>
  <si>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</si>
  <si>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</si>
  <si>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</si>
  <si>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</si>
  <si>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</si>
  <si>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</si>
  <si>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</si>
  <si>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</si>
  <si>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</si>
  <si>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</si>
  <si>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</si>
  <si>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</si>
  <si>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</si>
  <si>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</si>
  <si>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</si>
  <si>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</si>
  <si>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</si>
  <si>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</si>
  <si>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</si>
  <si>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</si>
  <si>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</si>
  <si>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</si>
  <si>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</si>
  <si>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</si>
  <si>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</si>
  <si>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</si>
  <si>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</si>
  <si>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</si>
  <si>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</si>
  <si>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</si>
  <si>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</si>
  <si>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</si>
  <si>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</si>
  <si>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</si>
  <si>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</si>
  <si>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</si>
  <si>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</si>
  <si>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</si>
  <si>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</si>
  <si>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</si>
  <si>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</si>
  <si>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</si>
  <si>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</si>
  <si>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</si>
  <si>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</si>
  <si>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</si>
  <si>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</si>
  <si>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</si>
  <si>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</si>
  <si>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</si>
  <si>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</si>
  <si>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</si>
  <si>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</si>
  <si>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</si>
  <si>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</si>
  <si>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</si>
  <si>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</si>
  <si>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</si>
  <si>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</si>
  <si>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</si>
  <si>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</si>
  <si>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</si>
  <si>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</si>
  <si>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</si>
  <si>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</si>
  <si>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</si>
  <si>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</si>
  <si>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</si>
  <si>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</si>
  <si>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</si>
  <si>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</si>
  <si>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</si>
  <si>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</si>
  <si>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</si>
  <si>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</si>
  <si>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</si>
  <si>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</si>
  <si>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</si>
  <si>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</si>
  <si>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</si>
  <si>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</si>
  <si>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</si>
  <si>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</si>
  <si>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</si>
  <si>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</si>
  <si>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</si>
  <si>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</si>
  <si>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</si>
  <si>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</si>
  <si>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</si>
  <si>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</si>
  <si>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</si>
  <si>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</si>
  <si>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</si>
  <si>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</si>
  <si>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</si>
  <si>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</si>
  <si>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</si>
  <si>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</si>
  <si>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</si>
  <si>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</si>
  <si>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</si>
  <si>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</si>
  <si>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</si>
  <si>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</si>
  <si>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</si>
  <si>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</si>
  <si>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</si>
  <si>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</si>
  <si>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</si>
  <si>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</si>
  <si>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</si>
  <si>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</si>
  <si>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</si>
  <si>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</si>
  <si>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</si>
  <si>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</si>
  <si>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</si>
  <si>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</si>
  <si>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</si>
  <si>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</si>
  <si>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</si>
  <si>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</si>
  <si>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</si>
  <si>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</si>
  <si>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</si>
  <si>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</si>
  <si>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</si>
  <si>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</si>
  <si>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</si>
  <si>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</si>
  <si>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</si>
  <si>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</si>
  <si>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</si>
  <si>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</si>
  <si>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</si>
  <si>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</si>
  <si>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</si>
  <si>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</si>
  <si>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</si>
  <si>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</si>
  <si>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</si>
  <si>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</si>
  <si>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</si>
  <si>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</si>
  <si>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</si>
  <si>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</si>
  <si>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</si>
  <si>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</si>
  <si>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</si>
  <si>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</si>
  <si>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</si>
  <si>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</si>
  <si>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</si>
  <si>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</si>
  <si>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</si>
  <si>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</si>
  <si>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</si>
  <si>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</si>
  <si>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</si>
  <si>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</si>
  <si>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</si>
  <si>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</si>
  <si>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</si>
  <si>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</si>
  <si>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</si>
  <si>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</si>
  <si>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</si>
  <si>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</si>
  <si>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</si>
  <si>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</si>
  <si>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</si>
  <si>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</si>
  <si>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</si>
  <si>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</si>
  <si>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</si>
  <si>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</si>
  <si>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</si>
  <si>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</si>
  <si>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</si>
  <si>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</si>
  <si>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</si>
  <si>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</si>
  <si>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</si>
  <si>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</si>
  <si>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</si>
  <si>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</si>
  <si>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</si>
  <si>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</si>
  <si>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</si>
  <si>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</si>
  <si>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</si>
  <si>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</si>
  <si>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</si>
  <si>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</si>
  <si>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</si>
  <si>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</si>
  <si>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</si>
  <si>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</si>
  <si>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</si>
  <si>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</si>
  <si>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</si>
  <si>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</si>
  <si>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</si>
  <si>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</si>
  <si>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</si>
  <si>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</si>
  <si>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</si>
  <si>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</si>
  <si>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</si>
  <si>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</si>
  <si>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</si>
  <si>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</si>
  <si>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</si>
  <si>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</si>
  <si>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</si>
  <si>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</si>
  <si>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</si>
  <si>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</si>
  <si>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</si>
  <si>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</si>
  <si>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</si>
  <si>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</si>
  <si>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</si>
  <si>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</si>
  <si>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</si>
  <si>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</si>
  <si>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</si>
  <si>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</si>
  <si>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</si>
  <si>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</si>
  <si>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</si>
  <si>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</si>
  <si>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</si>
  <si>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</si>
  <si>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</si>
  <si>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</si>
  <si>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</si>
  <si>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</si>
  <si>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</si>
  <si>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</si>
  <si>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</si>
  <si>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</si>
  <si>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</si>
  <si>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</si>
  <si>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</si>
  <si>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</si>
  <si>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</si>
  <si>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</si>
  <si>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</si>
  <si>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</si>
  <si>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</si>
  <si>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</si>
  <si>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</si>
  <si>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</si>
  <si>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</si>
  <si>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</si>
  <si>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</si>
  <si>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</si>
  <si>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</si>
  <si>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</si>
  <si>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</si>
  <si>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</si>
  <si>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</si>
  <si>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</si>
  <si>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</si>
  <si>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</si>
  <si>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</si>
  <si>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</si>
  <si>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</si>
  <si>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</si>
  <si>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</si>
  <si>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</si>
  <si>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</si>
  <si>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</si>
  <si>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</si>
  <si>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</si>
  <si>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</si>
  <si>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</si>
  <si>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</si>
  <si>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</si>
  <si>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</si>
  <si>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</si>
  <si>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</si>
  <si>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</si>
  <si>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</si>
  <si>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</si>
  <si>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</si>
  <si>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</si>
  <si>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</si>
  <si>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</si>
  <si>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</si>
  <si>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</si>
  <si>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</si>
  <si>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</si>
  <si>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</si>
  <si>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</si>
  <si>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</si>
  <si>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</si>
  <si>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</si>
  <si>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</si>
  <si>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</si>
  <si>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</si>
  <si>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</si>
  <si>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</si>
  <si>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</si>
  <si>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</si>
  <si>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</si>
  <si>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</si>
  <si>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</si>
  <si>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</si>
  <si>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</si>
  <si>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</si>
  <si>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</si>
  <si>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</si>
  <si>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</si>
  <si>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</si>
  <si>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</si>
  <si>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</si>
  <si>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</si>
  <si>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Kiss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</si>
</sst>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 zoomScale="115" zoomScaleNormal="115" workbookViewId="0">
      <selection activeCell="B7" sqref="B7"/>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31987</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33</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3153</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307</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1288</v>
      </c>
      <c r="J28" s="126"/>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8"/>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8"/>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8"/>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2128</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2923</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3658</v>
      </c>
      <c r="J37" s="126"/>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9">
        <v>2500000</v>
      </c>
      <c r="I40" s="17">
        <f ca="1">IF(ISBLANK($C$8),"",ROUND(VLOOKUP($C$9,'MM-MC Tarifák'!$A$3:$AQ$67,HLOOKUP($C40,'MM-MC Tarifák'!$B$1:$AQ$2,2,0),0)/1000*$H$40*IF(OR(AND($C$16="Forint",$H$40&gt;=500000,$H$40&lt;=200000000),AND($C$16="Euró",$H$40&gt;=1700,$H$40&lt;=650000)),1,0)*VLOOKUP($C$12,Paraméterek!$K$1:$L$4,2,0)*IF($O$40="Kizárás",1,1+$O$40),IF($C$16="Forint",0,2)))</f>
        <v>139</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9">
        <v>2500000</v>
      </c>
      <c r="I41" s="17">
        <f ca="1">IF(ISBLANK($C$8),"",ROUND(VLOOKUP($C$9,'MM-MC Tarifák'!$A$3:$AQ$67,HLOOKUP($C41,'MM-MC Tarifák'!$B$1:$AQ$2,2,0),0)/1000*$H$41*IF(OR(AND($C$16="Forint",$H$41&gt;=500000,$H$41&lt;=200000000),AND($C$16="Euró",$H$41&gt;=1700,$H$41&lt;=650000)),1,0)*VLOOKUP($C$12,Paraméterek!$K$1:$L$4,2,0)*IF($O$41="Kizárás",1,1+$O$41),IF($C$16="Forint",0,2)))</f>
        <v>395</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9">
        <v>2500000</v>
      </c>
      <c r="I42" s="17">
        <f ca="1">IF(ISBLANK($C$8),"",ROUND(VLOOKUP($C$9,'MM-MC Tarifák'!$A$3:$AQ$67,HLOOKUP($C42,'MM-MC Tarifák'!$B$1:$AQ$2,2,0),0)/1000*$H$42*IF(OR(AND($C$16="Forint",$H$42&gt;=500000,$H$42&lt;=200000000),AND($C$16="Euró",$H$42&gt;=1700,$H$42&lt;=650000)),1,0)*VLOOKUP($C$12,Paraméterek!$K$1:$L$4,2,0)*IF($O$42="Kizárás",1,1+$O$42),IF($C$16="Forint",0,2)))</f>
        <v>613</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9">
        <v>2500000</v>
      </c>
      <c r="I43" s="17">
        <f ca="1">IF(ISBLANK($C$8),"",ROUND(VLOOKUP($C$9,'MM-MC Tarifák'!$A$3:$AQ$67,HLOOKUP($C43,'MM-MC Tarifák'!$B$1:$AQ$2,2,0),0)/1000*$H$43*IF(OR(AND($C$16="Forint",$H$43&gt;=500000,$H$43&lt;=80000000),AND($C$16="Euró",$H$43&gt;=1700,$H$43&lt;=260000)),1,0)*VLOOKUP($C$12,Paraméterek!$K$1:$L$4,2,0)*IF($O$43="Kizárás",1,1+$O$43),IF($C$16="Forint",0,2)))</f>
        <v>816</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10000000</v>
      </c>
      <c r="I44" s="17">
        <f ca="1">IF(ISBLANK($C$8),"",ROUND(VLOOKUP($C$9,'MM-MC Tarifák'!$A$3:$AQ$67,HLOOKUP($C44,'MM-MC Tarifák'!$B$1:$AQ$2,2,0),0)/1000*$H$44*IF(OR(AND($C$16="Forint",$H$44&gt;=500000,$H$44&lt;=100000000),AND($C$16="Euró",$H$44&gt;=1700,$H$44&lt;=325000)),1,0)*VLOOKUP($C$12,Paraméterek!$K$1:$L$4,2,0)*IF($O$44="Kizárás",1,1+$O$44),IF($C$16="Forint",0,2)))</f>
        <v>4795</v>
      </c>
      <c r="J44" s="126"/>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300000</v>
      </c>
      <c r="I63" s="17">
        <f ca="1">IF(ISBLANK($C$8),"",ROUND(VLOOKUP($C$9,'MM-MC Tarifák'!$A$3:$AQ$67,HLOOKUP($C63,'MM-MC Tarifák'!$B$1:$AQ$2,2,0),0)/1000*$H$63*IF(OR(AND($C$16="Forint",$H$63&gt;=100000,$H$63&lt;=1000000),AND($C$16="Euró",$H$63&gt;=340,$H$63&lt;=3250)),1,0)*VLOOKUP($C$12,Paraméterek!$K$1:$L$4,2,0)*IF($O$63="Kizárás",1,1+$O$63),IF($C$16="Forint",0,2)))</f>
        <v>1698</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5000</v>
      </c>
      <c r="I71" s="17">
        <f ca="1">IF(ISBLANK($C$8),"",ROUND(VLOOKUP($C$9,'MM-MC Tarifák'!$A$3:$AQ$67,HLOOKUP($C71,'MM-MC Tarifák'!$B$1:$AQ$2,2,0),0)/1000*$H$71*IF(OR(AND($C$16="Forint",$H$71&gt;=2000,$H$71&lt;=40000),AND($C$16="Euró",$H$71&gt;=7,$H$71&lt;=130)),1,0)*VLOOKUP($C$12,Paraméterek!$K$1:$L$4,2,0)*IF($O$71="Kizárás",1,1+$O$71),IF($C$16="Forint",0,2)))</f>
        <v>1455</v>
      </c>
      <c r="J71" s="126" t="s">
        <v>730</v>
      </c>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122</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200000</v>
      </c>
      <c r="I80" s="17">
        <f ca="1">IF(ISBLANK($C$8),"",ROUND(VLOOKUP($C$9,'MM-MC Tarifák'!$A$3:$AQ$67,HLOOKUP($C80,'MM-MC Tarifák'!$B$1:$AQ$2,2,0),0)/1000*$H$80*IF(OR(AND($C$16="Forint",$H$80&gt;=100000,$H$80&lt;=1000000),AND($C$16="Euró",$H$80&gt;=340,$H$80&lt;=3250)),1,0)*VLOOKUP($C$12,Paraméterek!$K$1:$L$4,2,0)*IF($O$80="Kizárás",1,1+$O$80),IF($C$16="Forint",0,2)))</f>
        <v>308</v>
      </c>
      <c r="J80" s="126"/>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zoomScaleNormal="100" workbookViewId="0">
      <selection activeCell="P50" sqref="P50"/>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417300</v>
      </c>
      <c r="O7" s="147"/>
    </row>
    <row r="8" spans="2:26" x14ac:dyDescent="0.2">
      <c r="B8" s="129" t="s">
        <v>405</v>
      </c>
      <c r="C8" s="129"/>
      <c r="D8" s="129"/>
      <c r="E8" s="124">
        <v>27359</v>
      </c>
      <c r="F8" s="124"/>
      <c r="J8" s="129"/>
      <c r="K8" s="129"/>
      <c r="L8" s="129"/>
      <c r="M8" s="129"/>
      <c r="N8" s="147"/>
      <c r="O8" s="147"/>
      <c r="Q8" s="54"/>
      <c r="Y8" s="142">
        <f ca="1">IF(OR(ISBLANK($E$8),ISBLANK($E$11)),"",SUMIF($N$26:$O$51,"Ezt kérem!",$Y$26:$Z$51)-SUMIF($P$26:$P$51,"!",$Y$26:$Z$51))</f>
        <v>262120</v>
      </c>
      <c r="Z8" s="143"/>
    </row>
    <row r="9" spans="2:26" x14ac:dyDescent="0.2">
      <c r="B9" s="129" t="s">
        <v>404</v>
      </c>
      <c r="C9" s="129"/>
      <c r="D9" s="129"/>
      <c r="E9" s="151">
        <f ca="1">IF(ISBLANK($E$8),"",IF(YEAR(TODAY())-YEAR($E$8)&lt;0,"",YEAR(TODAY())-YEAR($E$8)))</f>
        <v>46</v>
      </c>
      <c r="F9" s="151"/>
      <c r="J9" s="149" t="s">
        <v>88</v>
      </c>
      <c r="K9" s="149"/>
      <c r="L9" s="149"/>
      <c r="M9" s="149"/>
      <c r="N9" s="147">
        <f ca="1">IF(OR(ISBLANK($E$8),ISBLANK($E$11)),"",IF(N7&gt;365500,($N$7-365500)*50%+161590,IF($N$7&gt;116900,($N$7-116900)*65%,0)))</f>
        <v>187490</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5</v>
      </c>
      <c r="F11" s="139"/>
      <c r="G11" s="18" t="str">
        <f ca="1">IF($E$9="","",IF($E$9+$E$11&gt;75,"!",""))</f>
        <v/>
      </c>
      <c r="J11" s="129" t="s">
        <v>89</v>
      </c>
      <c r="K11" s="129"/>
      <c r="L11" s="129"/>
      <c r="M11" s="129"/>
      <c r="N11" s="147">
        <f ca="1">IF(OR(ISBLANK($E$8),ISBLANK($E$11)),"",$N$7-$N$9)</f>
        <v>229810</v>
      </c>
      <c r="O11" s="147"/>
    </row>
    <row r="12" spans="2:26" x14ac:dyDescent="0.2">
      <c r="J12" s="129"/>
      <c r="K12" s="129"/>
      <c r="L12" s="129"/>
      <c r="M12" s="129"/>
      <c r="N12" s="147"/>
      <c r="O12" s="147"/>
      <c r="Y12" s="142">
        <f ca="1">IF(OR(ISBLANK($E$8),ISBLANK($E$11)),"",$Y$8-$Y$10)</f>
        <v>262120</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19641.860700000001</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22403.396400000001</v>
      </c>
      <c r="Z14" s="143"/>
    </row>
    <row r="15" spans="2:26" x14ac:dyDescent="0.2">
      <c r="B15" s="129" t="s">
        <v>402</v>
      </c>
      <c r="C15" s="129"/>
      <c r="D15" s="129"/>
      <c r="E15" s="140" t="s">
        <v>35</v>
      </c>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v>
      </c>
      <c r="K26" s="138"/>
      <c r="L26" s="144">
        <f ca="1">IF(OR(ISBLANK($E$8),ISBLANK($E$11),$G$11="!"),"",ROUND($J$26/'TR Tarifák'!$B$1*(INDEX('TR Tarifák'!$C$3:$W$80,$E$9-18+1,$E$11-5+1)+IF($S$26="Ezrelékes",100,0)),0))</f>
        <v>7300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5820</v>
      </c>
      <c r="Z26" s="142"/>
    </row>
    <row r="27" spans="1:26" x14ac:dyDescent="0.2">
      <c r="B27" s="129"/>
      <c r="C27" s="129"/>
      <c r="D27" s="129"/>
      <c r="E27" s="128" t="s">
        <v>1</v>
      </c>
      <c r="F27" s="128"/>
      <c r="G27" s="128"/>
      <c r="H27" s="128"/>
      <c r="I27" s="128"/>
      <c r="J27" s="137">
        <v>500000</v>
      </c>
      <c r="K27" s="138"/>
      <c r="L27" s="144">
        <f ca="1">IF(OR(ISBLANK($E$8),ISBLANK($E$11),$E$9&gt;64,$G$11="!"),"",ROUND($J$27/HLOOKUP($E$27,'TR Tarifák'!$C$153:$N$155,3,0)*IF(AND($E$17="Forint",$J$27&gt;=500000,$J$27&lt;=100000000),1,0)*VLOOKUP($E$9,'TR Tarifák'!$B$156:$N$255,HLOOKUP($E$27,'TR Tarifák'!$C$153:$N$155,2,0),0)*IF($S$27="Kizárás",1,1+$S$27),0))</f>
        <v>1700</v>
      </c>
      <c r="M27" s="144"/>
      <c r="N27" s="132"/>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222000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139000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328000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205000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410000</v>
      </c>
      <c r="M32" s="144"/>
      <c r="N32" s="132" t="s">
        <v>730</v>
      </c>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256300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v>
      </c>
      <c r="K35" s="141"/>
      <c r="L35" s="144">
        <f ca="1">IF(OR(ISBLANK($E$8),ISBLANK($E$11),$E$9&gt;64,$G$11="!"),"",ROUND($J$35/HLOOKUP($E$35,'TR Tarifák'!$C$153:$N$155,3,0)*VLOOKUP($E$9,'TR Tarifák'!$B$156:$N$255,HLOOKUP($E$35,'TR Tarifák'!$C$153:$N$155,2,0),0)*IF($S$35="Kizárás",1,1+$S$35),0))</f>
        <v>1900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v>
      </c>
      <c r="Z35" s="142"/>
    </row>
    <row r="36" spans="2:27" x14ac:dyDescent="0.2">
      <c r="B36" s="129"/>
      <c r="C36" s="129"/>
      <c r="D36" s="129"/>
      <c r="E36" s="152" t="s">
        <v>409</v>
      </c>
      <c r="F36" s="153"/>
      <c r="G36" s="153"/>
      <c r="H36" s="153"/>
      <c r="I36" s="44">
        <f ca="1">IF(OR(ISBLANK($E$8),ISBLANK($E$11)),"",MIN($E$11,60-IF($E$9&gt;55,60,$E$9)))</f>
        <v>5</v>
      </c>
      <c r="J36" s="144">
        <f ca="1">$L$26</f>
        <v>7300</v>
      </c>
      <c r="K36" s="144"/>
      <c r="L36" s="144">
        <f ca="1">IF(OR(ISBLANK($E$8),ISBLANK($E$11),$E$9&gt;55,$G$11="!"),"",ROUND($L$26/'TR Tarifák'!$B$366*INDEX('TR Tarifák'!$C$368:$AU$467,$E$9,MAX($I$36,5)-5+1)*IF($S$36="Kizárás",1,1+$S$36),0))</f>
        <v>110</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87</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100000</v>
      </c>
      <c r="K39" s="138"/>
      <c r="L39" s="144">
        <f ca="1">IF(OR(ISBLANK($E$8),ISBLANK($E$11),$E$9&gt;59,$G$11="!"),"",ROUND($J$39/HLOOKUP($E$39,'TR Tarifák'!$C$153:$N$155,3,0)*VLOOKUP($E$9,'TR Tarifák'!$B$156:$N$255,HLOOKUP($E$39,'TR Tarifák'!$C$153:$N$155,2,0),0)*IF($S$39="Kizárás",1,1+$S$39),0))</f>
        <v>6100</v>
      </c>
      <c r="M39" s="144"/>
      <c r="N39" s="132"/>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3810</v>
      </c>
      <c r="Z39" s="142"/>
    </row>
    <row r="40" spans="2:27" x14ac:dyDescent="0.2">
      <c r="B40" s="129"/>
      <c r="C40" s="129"/>
      <c r="D40" s="129"/>
      <c r="E40" s="128" t="s">
        <v>25</v>
      </c>
      <c r="F40" s="128"/>
      <c r="G40" s="128"/>
      <c r="H40" s="128"/>
      <c r="I40" s="128"/>
      <c r="J40" s="137">
        <v>100000</v>
      </c>
      <c r="K40" s="138"/>
      <c r="L40" s="144">
        <f ca="1">IF(OR(ISBLANK($E$8),ISBLANK($E$11),$E$9&gt;59,$G$11="!"),"",ROUND($J$40/HLOOKUP($E$40,'TR Tarifák'!$C$153:$N$155,3,0)*VLOOKUP($E$9,'TR Tarifák'!$B$156:$N$255,HLOOKUP($E$40,'TR Tarifák'!$C$153:$N$155,2,0),0)*IF($S$40="Kizárás",1,1+$S$40),0))</f>
        <v>30400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19000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2000</v>
      </c>
      <c r="K43" s="138"/>
      <c r="L43" s="144">
        <f ca="1">IF(OR(ISBLANK($E$8),ISBLANK($E$11),$E$9&gt;59,$G$11="!"),"",ROUND($J$43/HLOOKUP($E$43,'TR Tarifák'!$C$153:$N$155,3,0)*VLOOKUP($E$9,'TR Tarifák'!$B$156:$N$255,HLOOKUP($E$43,'TR Tarifák'!$C$153:$N$155,2,0),0)*IF($S$43="Kizárás",1,1+$S$43),0))</f>
        <v>4896</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3060</v>
      </c>
      <c r="Z43" s="142"/>
    </row>
    <row r="44" spans="2:27" x14ac:dyDescent="0.2">
      <c r="B44" s="129"/>
      <c r="C44" s="129"/>
      <c r="D44" s="129"/>
      <c r="E44" s="128" t="s">
        <v>16</v>
      </c>
      <c r="F44" s="128"/>
      <c r="G44" s="128"/>
      <c r="H44" s="128"/>
      <c r="I44" s="128"/>
      <c r="J44" s="137">
        <v>2000</v>
      </c>
      <c r="K44" s="138"/>
      <c r="L44" s="144">
        <f ca="1">IF(OR(ISBLANK($E$8),ISBLANK($E$11),$E$9&gt;59,$G$11="!"),"",ROUND($J$44/HLOOKUP($E$44,'TR Tarifák'!$C$153:$N$155,3,0)*VLOOKUP($E$9,'TR Tarifák'!$B$156:$N$255,HLOOKUP($E$44,'TR Tarifák'!$C$153:$N$155,2,0),0)*IF($S$44="Kizárás",1,1+$S$44),0))</f>
        <v>22144</v>
      </c>
      <c r="M44" s="144"/>
      <c r="N44" s="132"/>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13840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v>100000</v>
      </c>
      <c r="K47" s="141"/>
      <c r="L47" s="144">
        <f ca="1">IF(OR(ISBLANK($E$8),ISBLANK($E$11),$E$9&gt;64,$G$11="!"),"",ROUND($J$47/HLOOKUP($E$47,'TR Tarifák'!$C$153:$N$155,3,0)*VLOOKUP($E$9,'TR Tarifák'!$B$156:$N$255,HLOOKUP($E$47,'TR Tarifák'!$C$153:$N$155,2,0),0)*IF($S$47="Kizárás",1,1+$S$47),0))</f>
        <v>2880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1800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F38" sqref="F3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79344</v>
      </c>
      <c r="D12" s="192"/>
      <c r="E12" s="191">
        <f ca="1">IF($I12=0,0,SUM($M$12:$M12))</f>
        <v>37836</v>
      </c>
      <c r="F12" s="191"/>
      <c r="G12" s="192">
        <f ca="1">ROUND(IF(OR($G$55="!",$B12&gt;$Q$68),0,$R$133),0)</f>
        <v>6612</v>
      </c>
      <c r="H12" s="192"/>
      <c r="I12" s="191">
        <f ca="1">IF(OR($G$55="!",$B12&gt;$Q$68),0,$R$99)</f>
        <v>3153</v>
      </c>
      <c r="J12" s="191"/>
      <c r="K12" s="192">
        <f t="shared" ref="K12:K36" ca="1" si="0">IF($E$58="Havi",12,IF($E$58="Negyedéves",4,IF($E$58="Féléves",2,1)))*$G12</f>
        <v>79344</v>
      </c>
      <c r="L12" s="192"/>
      <c r="M12" s="191">
        <f t="shared" ref="M12:M36" ca="1" si="1">IF($E$58="Havi",12,IF($E$58="Negyedéves",4,IF($E$58="Féléves",2,1)))*$I12</f>
        <v>37836</v>
      </c>
      <c r="N12" s="191"/>
    </row>
    <row r="13" spans="2:14" ht="12.75" customHeight="1" x14ac:dyDescent="0.2">
      <c r="B13" s="68">
        <v>2</v>
      </c>
      <c r="C13" s="193">
        <f ca="1">IF($G13=0,0,SUM($K$12:$K13))</f>
        <v>158688</v>
      </c>
      <c r="D13" s="193"/>
      <c r="E13" s="189">
        <f ca="1">IF($I13=0,0,SUM($M$12:$M13))</f>
        <v>75672</v>
      </c>
      <c r="F13" s="189"/>
      <c r="G13" s="192">
        <f t="shared" ref="G13:G36" ca="1" si="2">ROUND(IF(OR($G$55="!",$B13&gt;$Q$68),0,$R$133),0)</f>
        <v>6612</v>
      </c>
      <c r="H13" s="192"/>
      <c r="I13" s="189">
        <f ca="1">IF(OR($G$55="!",$B13&gt;$Q$68),0,$S$99)</f>
        <v>3153</v>
      </c>
      <c r="J13" s="189"/>
      <c r="K13" s="193">
        <f t="shared" ca="1" si="0"/>
        <v>79344</v>
      </c>
      <c r="L13" s="193"/>
      <c r="M13" s="189">
        <f t="shared" ca="1" si="1"/>
        <v>37836</v>
      </c>
      <c r="N13" s="189"/>
    </row>
    <row r="14" spans="2:14" ht="12.75" customHeight="1" x14ac:dyDescent="0.2">
      <c r="B14" s="68">
        <v>3</v>
      </c>
      <c r="C14" s="193">
        <f ca="1">IF($G14=0,0,SUM($K$12:$K14))</f>
        <v>238032</v>
      </c>
      <c r="D14" s="193"/>
      <c r="E14" s="189">
        <f ca="1">IF($I14=0,0,SUM($M$12:$M14))</f>
        <v>113508</v>
      </c>
      <c r="F14" s="189"/>
      <c r="G14" s="192">
        <f t="shared" ca="1" si="2"/>
        <v>6612</v>
      </c>
      <c r="H14" s="192"/>
      <c r="I14" s="189">
        <f ca="1">IF(OR($G$55="!",$B14&gt;$Q$68),0,$T$99)</f>
        <v>3153</v>
      </c>
      <c r="J14" s="189"/>
      <c r="K14" s="193">
        <f t="shared" ca="1" si="0"/>
        <v>79344</v>
      </c>
      <c r="L14" s="193"/>
      <c r="M14" s="189">
        <f t="shared" ca="1" si="1"/>
        <v>37836</v>
      </c>
      <c r="N14" s="189"/>
    </row>
    <row r="15" spans="2:14" ht="12.75" customHeight="1" x14ac:dyDescent="0.2">
      <c r="B15" s="68">
        <v>4</v>
      </c>
      <c r="C15" s="193">
        <f ca="1">IF($G15=0,0,SUM($K$12:$K15))</f>
        <v>317376</v>
      </c>
      <c r="D15" s="193"/>
      <c r="E15" s="189">
        <f ca="1">IF($I15=0,0,SUM($M$12:$M15))</f>
        <v>151344</v>
      </c>
      <c r="F15" s="189"/>
      <c r="G15" s="192">
        <f t="shared" ca="1" si="2"/>
        <v>6612</v>
      </c>
      <c r="H15" s="192"/>
      <c r="I15" s="189">
        <f ca="1">IF(OR($G$55="!",$B15&gt;$Q$68),0,$U$99)</f>
        <v>3153</v>
      </c>
      <c r="J15" s="189"/>
      <c r="K15" s="193">
        <f t="shared" ca="1" si="0"/>
        <v>79344</v>
      </c>
      <c r="L15" s="193"/>
      <c r="M15" s="189">
        <f t="shared" ca="1" si="1"/>
        <v>37836</v>
      </c>
      <c r="N15" s="189"/>
    </row>
    <row r="16" spans="2:14" ht="12.75" customHeight="1" x14ac:dyDescent="0.2">
      <c r="B16" s="68">
        <v>5</v>
      </c>
      <c r="C16" s="193">
        <f ca="1">IF($G16=0,0,SUM($K$12:$K16))</f>
        <v>396720</v>
      </c>
      <c r="D16" s="193"/>
      <c r="E16" s="189">
        <f ca="1">IF($I16=0,0,SUM($M$12:$M16))</f>
        <v>189180</v>
      </c>
      <c r="F16" s="189"/>
      <c r="G16" s="192">
        <f t="shared" ca="1" si="2"/>
        <v>6612</v>
      </c>
      <c r="H16" s="192"/>
      <c r="I16" s="189">
        <f ca="1">IF(OR($G$55="!",$B16&gt;$Q$68),0,$V$99)</f>
        <v>3153</v>
      </c>
      <c r="J16" s="189"/>
      <c r="K16" s="193">
        <f t="shared" ca="1" si="0"/>
        <v>79344</v>
      </c>
      <c r="L16" s="193"/>
      <c r="M16" s="189">
        <f t="shared" ca="1" si="1"/>
        <v>37836</v>
      </c>
      <c r="N16" s="189"/>
    </row>
    <row r="17" spans="2:14" ht="12.75" customHeight="1" x14ac:dyDescent="0.2">
      <c r="B17" s="68">
        <v>6</v>
      </c>
      <c r="C17" s="193">
        <f ca="1">IF($G17=0,0,SUM($K$12:$K17))</f>
        <v>476064</v>
      </c>
      <c r="D17" s="193"/>
      <c r="E17" s="189">
        <f ca="1">IF($I17=0,0,SUM($M$12:$M17))</f>
        <v>227016</v>
      </c>
      <c r="F17" s="189"/>
      <c r="G17" s="192">
        <f t="shared" ca="1" si="2"/>
        <v>6612</v>
      </c>
      <c r="H17" s="192"/>
      <c r="I17" s="189">
        <f ca="1">IF(OR($G$55="!",$B17&gt;$Q$68),0,$W$99)</f>
        <v>3153</v>
      </c>
      <c r="J17" s="189"/>
      <c r="K17" s="193">
        <f t="shared" ca="1" si="0"/>
        <v>79344</v>
      </c>
      <c r="L17" s="193"/>
      <c r="M17" s="189">
        <f t="shared" ca="1" si="1"/>
        <v>37836</v>
      </c>
      <c r="N17" s="189"/>
    </row>
    <row r="18" spans="2:14" ht="12.75" customHeight="1" x14ac:dyDescent="0.2">
      <c r="B18" s="68">
        <v>7</v>
      </c>
      <c r="C18" s="193">
        <f ca="1">IF($G18=0,0,SUM($K$12:$K18))</f>
        <v>555408</v>
      </c>
      <c r="D18" s="193"/>
      <c r="E18" s="189">
        <f ca="1">IF($I18=0,0,SUM($M$12:$M18))</f>
        <v>264852</v>
      </c>
      <c r="F18" s="189"/>
      <c r="G18" s="192">
        <f t="shared" ca="1" si="2"/>
        <v>6612</v>
      </c>
      <c r="H18" s="192"/>
      <c r="I18" s="189">
        <f ca="1">IF(OR($G$55="!",$B18&gt;$Q$68),0,$X$99)</f>
        <v>3153</v>
      </c>
      <c r="J18" s="189"/>
      <c r="K18" s="193">
        <f t="shared" ca="1" si="0"/>
        <v>79344</v>
      </c>
      <c r="L18" s="193"/>
      <c r="M18" s="189">
        <f t="shared" ca="1" si="1"/>
        <v>37836</v>
      </c>
      <c r="N18" s="189"/>
    </row>
    <row r="19" spans="2:14" ht="12.75" customHeight="1" x14ac:dyDescent="0.2">
      <c r="B19" s="68">
        <v>8</v>
      </c>
      <c r="C19" s="193">
        <f ca="1">IF($G19=0,0,SUM($K$12:$K19))</f>
        <v>634752</v>
      </c>
      <c r="D19" s="193"/>
      <c r="E19" s="189">
        <f ca="1">IF($I19=0,0,SUM($M$12:$M19))</f>
        <v>302688</v>
      </c>
      <c r="F19" s="189"/>
      <c r="G19" s="192">
        <f t="shared" ca="1" si="2"/>
        <v>6612</v>
      </c>
      <c r="H19" s="192"/>
      <c r="I19" s="189">
        <f ca="1">IF(OR($G$55="!",$B19&gt;$Q$68),0,$Y$99)</f>
        <v>3153</v>
      </c>
      <c r="J19" s="189"/>
      <c r="K19" s="193">
        <f t="shared" ca="1" si="0"/>
        <v>79344</v>
      </c>
      <c r="L19" s="193"/>
      <c r="M19" s="189">
        <f t="shared" ca="1" si="1"/>
        <v>37836</v>
      </c>
      <c r="N19" s="189"/>
    </row>
    <row r="20" spans="2:14" ht="12.75" customHeight="1" x14ac:dyDescent="0.2">
      <c r="B20" s="68">
        <v>9</v>
      </c>
      <c r="C20" s="193">
        <f ca="1">IF($G20=0,0,SUM($K$12:$K20))</f>
        <v>714096</v>
      </c>
      <c r="D20" s="193"/>
      <c r="E20" s="189">
        <f ca="1">IF($I20=0,0,SUM($M$12:$M20))</f>
        <v>340524</v>
      </c>
      <c r="F20" s="189"/>
      <c r="G20" s="192">
        <f t="shared" ca="1" si="2"/>
        <v>6612</v>
      </c>
      <c r="H20" s="192"/>
      <c r="I20" s="189">
        <f ca="1">IF(OR($G$55="!",$B20&gt;$Q$68),0,$Z$99)</f>
        <v>3153</v>
      </c>
      <c r="J20" s="189"/>
      <c r="K20" s="193">
        <f t="shared" ca="1" si="0"/>
        <v>79344</v>
      </c>
      <c r="L20" s="193"/>
      <c r="M20" s="189">
        <f t="shared" ca="1" si="1"/>
        <v>37836</v>
      </c>
      <c r="N20" s="189"/>
    </row>
    <row r="21" spans="2:14" ht="12.75" customHeight="1" x14ac:dyDescent="0.2">
      <c r="B21" s="68">
        <v>10</v>
      </c>
      <c r="C21" s="193">
        <f ca="1">IF($G21=0,0,SUM($K$12:$K21))</f>
        <v>793440</v>
      </c>
      <c r="D21" s="193"/>
      <c r="E21" s="189">
        <f ca="1">IF($I21=0,0,SUM($M$12:$M21))</f>
        <v>378360</v>
      </c>
      <c r="F21" s="189"/>
      <c r="G21" s="192">
        <f t="shared" ca="1" si="2"/>
        <v>6612</v>
      </c>
      <c r="H21" s="192"/>
      <c r="I21" s="189">
        <f ca="1">IF(OR($G$55="!",$B21&gt;$Q$68),0,$AA$99)</f>
        <v>3153</v>
      </c>
      <c r="J21" s="189"/>
      <c r="K21" s="193">
        <f t="shared" ca="1" si="0"/>
        <v>79344</v>
      </c>
      <c r="L21" s="193"/>
      <c r="M21" s="189">
        <f t="shared" ca="1" si="1"/>
        <v>37836</v>
      </c>
      <c r="N21" s="189"/>
    </row>
    <row r="22" spans="2:14" ht="12.75" customHeight="1" x14ac:dyDescent="0.2">
      <c r="B22" s="68">
        <v>11</v>
      </c>
      <c r="C22" s="193">
        <f ca="1">IF($G22=0,0,SUM($K$12:$K22))</f>
        <v>872784</v>
      </c>
      <c r="D22" s="193"/>
      <c r="E22" s="189">
        <f ca="1">IF($I22=0,0,SUM($M$12:$M22))</f>
        <v>416196</v>
      </c>
      <c r="F22" s="189"/>
      <c r="G22" s="192">
        <f t="shared" ca="1" si="2"/>
        <v>6612</v>
      </c>
      <c r="H22" s="192"/>
      <c r="I22" s="189">
        <f ca="1">IF(OR($G$55="!",$B22&gt;$Q$68),0,$AB$99)</f>
        <v>3153</v>
      </c>
      <c r="J22" s="189"/>
      <c r="K22" s="193">
        <f t="shared" ca="1" si="0"/>
        <v>79344</v>
      </c>
      <c r="L22" s="193"/>
      <c r="M22" s="189">
        <f t="shared" ca="1" si="1"/>
        <v>37836</v>
      </c>
      <c r="N22" s="189"/>
    </row>
    <row r="23" spans="2:14" ht="12.75" customHeight="1" x14ac:dyDescent="0.2">
      <c r="B23" s="68">
        <v>12</v>
      </c>
      <c r="C23" s="193">
        <f ca="1">IF($G23=0,0,SUM($K$12:$K23))</f>
        <v>952128</v>
      </c>
      <c r="D23" s="193"/>
      <c r="E23" s="189">
        <f ca="1">IF($I23=0,0,SUM($M$12:$M23))</f>
        <v>454032</v>
      </c>
      <c r="F23" s="189"/>
      <c r="G23" s="192">
        <f t="shared" ca="1" si="2"/>
        <v>6612</v>
      </c>
      <c r="H23" s="192"/>
      <c r="I23" s="189">
        <f ca="1">IF(OR($G$55="!",$B23&gt;$Q$68),0,$AC$99)</f>
        <v>3153</v>
      </c>
      <c r="J23" s="189"/>
      <c r="K23" s="193">
        <f t="shared" ca="1" si="0"/>
        <v>79344</v>
      </c>
      <c r="L23" s="193"/>
      <c r="M23" s="189">
        <f t="shared" ca="1" si="1"/>
        <v>37836</v>
      </c>
      <c r="N23" s="189"/>
    </row>
    <row r="24" spans="2:14" ht="12.75" customHeight="1" x14ac:dyDescent="0.2">
      <c r="B24" s="68">
        <v>13</v>
      </c>
      <c r="C24" s="193">
        <f ca="1">IF($G24=0,0,SUM($K$12:$K24))</f>
        <v>1031472</v>
      </c>
      <c r="D24" s="193"/>
      <c r="E24" s="189">
        <f ca="1">IF($I24=0,0,SUM($M$12:$M24))</f>
        <v>491868</v>
      </c>
      <c r="F24" s="189"/>
      <c r="G24" s="192">
        <f t="shared" ca="1" si="2"/>
        <v>6612</v>
      </c>
      <c r="H24" s="192"/>
      <c r="I24" s="189">
        <f ca="1">IF(OR($G$55="!",$B24&gt;$Q$68),0,$AD$99)</f>
        <v>3153</v>
      </c>
      <c r="J24" s="189"/>
      <c r="K24" s="193">
        <f t="shared" ca="1" si="0"/>
        <v>79344</v>
      </c>
      <c r="L24" s="193"/>
      <c r="M24" s="189">
        <f t="shared" ca="1" si="1"/>
        <v>37836</v>
      </c>
      <c r="N24" s="189"/>
    </row>
    <row r="25" spans="2:14" ht="12.75" customHeight="1" x14ac:dyDescent="0.2">
      <c r="B25" s="68">
        <v>14</v>
      </c>
      <c r="C25" s="193">
        <f ca="1">IF($G25=0,0,SUM($K$12:$K25))</f>
        <v>1110816</v>
      </c>
      <c r="D25" s="193"/>
      <c r="E25" s="189">
        <f ca="1">IF($I25=0,0,SUM($M$12:$M25))</f>
        <v>529704</v>
      </c>
      <c r="F25" s="189"/>
      <c r="G25" s="192">
        <f t="shared" ca="1" si="2"/>
        <v>6612</v>
      </c>
      <c r="H25" s="192"/>
      <c r="I25" s="189">
        <f ca="1">IF(OR($G$55="!",$B25&gt;$Q$68),0,$AE$99)</f>
        <v>3153</v>
      </c>
      <c r="J25" s="189"/>
      <c r="K25" s="193">
        <f t="shared" ca="1" si="0"/>
        <v>79344</v>
      </c>
      <c r="L25" s="193"/>
      <c r="M25" s="189">
        <f t="shared" ca="1" si="1"/>
        <v>37836</v>
      </c>
      <c r="N25" s="189"/>
    </row>
    <row r="26" spans="2:14" ht="12.75" customHeight="1" x14ac:dyDescent="0.2">
      <c r="B26" s="68">
        <v>15</v>
      </c>
      <c r="C26" s="193">
        <f ca="1">IF($G26=0,0,SUM($K$12:$K26))</f>
        <v>1190160</v>
      </c>
      <c r="D26" s="193"/>
      <c r="E26" s="189">
        <f ca="1">IF($I26=0,0,SUM($M$12:$M26))</f>
        <v>567540</v>
      </c>
      <c r="F26" s="189"/>
      <c r="G26" s="192">
        <f t="shared" ca="1" si="2"/>
        <v>6612</v>
      </c>
      <c r="H26" s="192"/>
      <c r="I26" s="189">
        <f ca="1">IF(OR($G$55="!",$B26&gt;$Q$68),0,$AF$99)</f>
        <v>3153</v>
      </c>
      <c r="J26" s="189"/>
      <c r="K26" s="193">
        <f t="shared" ca="1" si="0"/>
        <v>79344</v>
      </c>
      <c r="L26" s="193"/>
      <c r="M26" s="189">
        <f t="shared" ca="1" si="1"/>
        <v>37836</v>
      </c>
      <c r="N26" s="189"/>
    </row>
    <row r="27" spans="2:14" ht="12.75" customHeight="1" x14ac:dyDescent="0.2">
      <c r="B27" s="68">
        <v>16</v>
      </c>
      <c r="C27" s="193">
        <f ca="1">IF($G27=0,0,SUM($K$12:$K27))</f>
        <v>1269504</v>
      </c>
      <c r="D27" s="193"/>
      <c r="E27" s="189">
        <f ca="1">IF($I27=0,0,SUM($M$12:$M27))</f>
        <v>605376</v>
      </c>
      <c r="F27" s="189"/>
      <c r="G27" s="192">
        <f t="shared" ca="1" si="2"/>
        <v>6612</v>
      </c>
      <c r="H27" s="192"/>
      <c r="I27" s="189">
        <f ca="1">IF(OR($G$55="!",$B27&gt;$Q$68),0,$AG$99)</f>
        <v>3153</v>
      </c>
      <c r="J27" s="189"/>
      <c r="K27" s="193">
        <f t="shared" ca="1" si="0"/>
        <v>79344</v>
      </c>
      <c r="L27" s="193"/>
      <c r="M27" s="189">
        <f t="shared" ca="1" si="1"/>
        <v>37836</v>
      </c>
      <c r="N27" s="189"/>
    </row>
    <row r="28" spans="2:14" ht="12.75" customHeight="1" x14ac:dyDescent="0.2">
      <c r="B28" s="68">
        <v>17</v>
      </c>
      <c r="C28" s="193">
        <f ca="1">IF($G28=0,0,SUM($K$12:$K28))</f>
        <v>1348848</v>
      </c>
      <c r="D28" s="193"/>
      <c r="E28" s="189">
        <f ca="1">IF($I28=0,0,SUM($M$12:$M28))</f>
        <v>643212</v>
      </c>
      <c r="F28" s="189"/>
      <c r="G28" s="192">
        <f t="shared" ca="1" si="2"/>
        <v>6612</v>
      </c>
      <c r="H28" s="192"/>
      <c r="I28" s="189">
        <f ca="1">IF(OR($G$55="!",$B28&gt;$Q$68),0,$AH$99)</f>
        <v>3153</v>
      </c>
      <c r="J28" s="189"/>
      <c r="K28" s="193">
        <f t="shared" ca="1" si="0"/>
        <v>79344</v>
      </c>
      <c r="L28" s="193"/>
      <c r="M28" s="189">
        <f t="shared" ca="1" si="1"/>
        <v>37836</v>
      </c>
      <c r="N28" s="189"/>
    </row>
    <row r="29" spans="2:14" ht="12.75" customHeight="1" x14ac:dyDescent="0.2">
      <c r="B29" s="68">
        <v>18</v>
      </c>
      <c r="C29" s="193">
        <f ca="1">IF($G29=0,0,SUM($K$12:$K29))</f>
        <v>1428192</v>
      </c>
      <c r="D29" s="193"/>
      <c r="E29" s="189">
        <f ca="1">IF($I29=0,0,SUM($M$12:$M29))</f>
        <v>681048</v>
      </c>
      <c r="F29" s="189"/>
      <c r="G29" s="192">
        <f t="shared" ca="1" si="2"/>
        <v>6612</v>
      </c>
      <c r="H29" s="192"/>
      <c r="I29" s="189">
        <f ca="1">IF(OR($G$55="!",$B29&gt;$Q$68),0,$AI$99)</f>
        <v>3153</v>
      </c>
      <c r="J29" s="189"/>
      <c r="K29" s="193">
        <f t="shared" ca="1" si="0"/>
        <v>79344</v>
      </c>
      <c r="L29" s="193"/>
      <c r="M29" s="189">
        <f t="shared" ca="1" si="1"/>
        <v>37836</v>
      </c>
      <c r="N29" s="189"/>
    </row>
    <row r="30" spans="2:14" ht="12.75" customHeight="1" x14ac:dyDescent="0.2">
      <c r="B30" s="68">
        <v>19</v>
      </c>
      <c r="C30" s="193">
        <f ca="1">IF($G30=0,0,SUM($K$12:$K30))</f>
        <v>1507536</v>
      </c>
      <c r="D30" s="193"/>
      <c r="E30" s="189">
        <f ca="1">IF($I30=0,0,SUM($M$12:$M30))</f>
        <v>718884</v>
      </c>
      <c r="F30" s="189"/>
      <c r="G30" s="192">
        <f t="shared" ca="1" si="2"/>
        <v>6612</v>
      </c>
      <c r="H30" s="192"/>
      <c r="I30" s="189">
        <f ca="1">IF(OR($G$55="!",$B30&gt;$Q$68),0,$AJ$99)</f>
        <v>3153</v>
      </c>
      <c r="J30" s="189"/>
      <c r="K30" s="193">
        <f t="shared" ca="1" si="0"/>
        <v>79344</v>
      </c>
      <c r="L30" s="193"/>
      <c r="M30" s="189">
        <f t="shared" ca="1" si="1"/>
        <v>37836</v>
      </c>
      <c r="N30" s="189"/>
    </row>
    <row r="31" spans="2:14" ht="12.75" customHeight="1" x14ac:dyDescent="0.2">
      <c r="B31" s="68">
        <v>20</v>
      </c>
      <c r="C31" s="193">
        <f ca="1">IF($G31=0,0,SUM($K$12:$K31))</f>
        <v>1586880</v>
      </c>
      <c r="D31" s="193"/>
      <c r="E31" s="189">
        <f ca="1">IF($I31=0,0,SUM($M$12:$M31))</f>
        <v>756720</v>
      </c>
      <c r="F31" s="189"/>
      <c r="G31" s="192">
        <f t="shared" ca="1" si="2"/>
        <v>6612</v>
      </c>
      <c r="H31" s="192"/>
      <c r="I31" s="189">
        <f ca="1">IF(OR($G$55="!",$B31&gt;$Q$68),0,$AK$99)</f>
        <v>3153</v>
      </c>
      <c r="J31" s="189"/>
      <c r="K31" s="193">
        <f t="shared" ca="1" si="0"/>
        <v>79344</v>
      </c>
      <c r="L31" s="193"/>
      <c r="M31" s="189">
        <f t="shared" ca="1" si="1"/>
        <v>37836</v>
      </c>
      <c r="N31" s="189"/>
    </row>
    <row r="32" spans="2:14" ht="12.75" customHeight="1" x14ac:dyDescent="0.2">
      <c r="B32" s="68">
        <v>21</v>
      </c>
      <c r="C32" s="193">
        <f ca="1">IF($G32=0,0,SUM($K$12:$K32))</f>
        <v>1666224</v>
      </c>
      <c r="D32" s="193"/>
      <c r="E32" s="189">
        <f ca="1">IF($I32=0,0,SUM($M$12:$M32))</f>
        <v>794556</v>
      </c>
      <c r="F32" s="189"/>
      <c r="G32" s="192">
        <f t="shared" ca="1" si="2"/>
        <v>6612</v>
      </c>
      <c r="H32" s="192"/>
      <c r="I32" s="189">
        <f ca="1">IF(OR($G$55="!",$B32&gt;$Q$68),0,$AL$99)</f>
        <v>3153</v>
      </c>
      <c r="J32" s="189"/>
      <c r="K32" s="193">
        <f t="shared" ca="1" si="0"/>
        <v>79344</v>
      </c>
      <c r="L32" s="193"/>
      <c r="M32" s="189">
        <f t="shared" ca="1" si="1"/>
        <v>37836</v>
      </c>
      <c r="N32" s="189"/>
    </row>
    <row r="33" spans="1:15" ht="12.75" customHeight="1" x14ac:dyDescent="0.2">
      <c r="B33" s="68">
        <v>22</v>
      </c>
      <c r="C33" s="193">
        <f ca="1">IF($G33=0,0,SUM($K$12:$K33))</f>
        <v>1745568</v>
      </c>
      <c r="D33" s="193"/>
      <c r="E33" s="189">
        <f ca="1">IF($I33=0,0,SUM($M$12:$M33))</f>
        <v>832392</v>
      </c>
      <c r="F33" s="189"/>
      <c r="G33" s="192">
        <f t="shared" ca="1" si="2"/>
        <v>6612</v>
      </c>
      <c r="H33" s="192"/>
      <c r="I33" s="189">
        <f ca="1">IF(OR($G$55="!",$B33&gt;$Q$68),0,$AM$99)</f>
        <v>3153</v>
      </c>
      <c r="J33" s="189"/>
      <c r="K33" s="193">
        <f t="shared" ca="1" si="0"/>
        <v>79344</v>
      </c>
      <c r="L33" s="193"/>
      <c r="M33" s="189">
        <f t="shared" ca="1" si="1"/>
        <v>37836</v>
      </c>
      <c r="N33" s="189"/>
    </row>
    <row r="34" spans="1:15" ht="12.75" customHeight="1" x14ac:dyDescent="0.2">
      <c r="B34" s="68">
        <v>23</v>
      </c>
      <c r="C34" s="193">
        <f ca="1">IF($G34=0,0,SUM($K$12:$K34))</f>
        <v>1824912</v>
      </c>
      <c r="D34" s="193"/>
      <c r="E34" s="189">
        <f ca="1">IF($I34=0,0,SUM($M$12:$M34))</f>
        <v>870228</v>
      </c>
      <c r="F34" s="189"/>
      <c r="G34" s="192">
        <f t="shared" ca="1" si="2"/>
        <v>6612</v>
      </c>
      <c r="H34" s="192"/>
      <c r="I34" s="189">
        <f ca="1">IF(OR($G$55="!",$B34&gt;$Q$68),0,$AN$99)</f>
        <v>3153</v>
      </c>
      <c r="J34" s="189"/>
      <c r="K34" s="193">
        <f t="shared" ca="1" si="0"/>
        <v>79344</v>
      </c>
      <c r="L34" s="193"/>
      <c r="M34" s="189">
        <f t="shared" ca="1" si="1"/>
        <v>37836</v>
      </c>
      <c r="N34" s="189"/>
    </row>
    <row r="35" spans="1:15" ht="12.75" customHeight="1" x14ac:dyDescent="0.2">
      <c r="B35" s="68">
        <v>24</v>
      </c>
      <c r="C35" s="193">
        <f ca="1">IF($G35=0,0,SUM($K$12:$K35))</f>
        <v>1904256</v>
      </c>
      <c r="D35" s="193"/>
      <c r="E35" s="189">
        <f ca="1">IF($I35=0,0,SUM($M$12:$M35))</f>
        <v>908064</v>
      </c>
      <c r="F35" s="189"/>
      <c r="G35" s="192">
        <f t="shared" ca="1" si="2"/>
        <v>6612</v>
      </c>
      <c r="H35" s="192"/>
      <c r="I35" s="189">
        <f ca="1">IF(OR($G$55="!",$B35&gt;$Q$68),0,$AO$99)</f>
        <v>3153</v>
      </c>
      <c r="J35" s="189"/>
      <c r="K35" s="193">
        <f t="shared" ca="1" si="0"/>
        <v>79344</v>
      </c>
      <c r="L35" s="193"/>
      <c r="M35" s="189">
        <f t="shared" ca="1" si="1"/>
        <v>37836</v>
      </c>
      <c r="N35" s="189"/>
    </row>
    <row r="36" spans="1:15" ht="12.75" customHeight="1" x14ac:dyDescent="0.2">
      <c r="B36" s="68">
        <v>25</v>
      </c>
      <c r="C36" s="193">
        <f ca="1">IF($G36=0,0,SUM($K$12:$K36))</f>
        <v>1983600</v>
      </c>
      <c r="D36" s="193"/>
      <c r="E36" s="189">
        <f ca="1">IF($I36=0,0,SUM($M$12:$M36))</f>
        <v>945900</v>
      </c>
      <c r="F36" s="189"/>
      <c r="G36" s="192">
        <f t="shared" ca="1" si="2"/>
        <v>6612</v>
      </c>
      <c r="H36" s="192"/>
      <c r="I36" s="189">
        <f ca="1">IF(OR($G$55="!",$B36&gt;$Q$68),0,$AP$99)</f>
        <v>3153</v>
      </c>
      <c r="J36" s="189"/>
      <c r="K36" s="193">
        <f t="shared" ca="1" si="0"/>
        <v>79344</v>
      </c>
      <c r="L36" s="193"/>
      <c r="M36" s="189">
        <f t="shared" ca="1" si="1"/>
        <v>37836</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31987</v>
      </c>
      <c r="F52" s="205"/>
      <c r="R52" s="54"/>
      <c r="V52" s="61"/>
      <c r="W52" s="61"/>
      <c r="Y52" s="62"/>
    </row>
    <row r="53" spans="1:25" ht="12.75" hidden="1" customHeight="1" x14ac:dyDescent="0.2">
      <c r="A53" s="12" t="s">
        <v>406</v>
      </c>
      <c r="B53" s="194" t="s">
        <v>404</v>
      </c>
      <c r="C53" s="194"/>
      <c r="D53" s="194"/>
      <c r="E53" s="125">
        <f ca="1">IF(ISBLANK($E$52),"",IF(YEAR(TODAY())-YEAR($E$52)&lt;0,"",YEAR(TODAY())-YEAR($E$52)))</f>
        <v>33</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Pénztáros</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25</v>
      </c>
      <c r="R68" s="59">
        <f ca="1">$E$53-1+R$69</f>
        <v>33</v>
      </c>
      <c r="S68" s="59">
        <f t="shared" ref="S68:AP68" ca="1" si="3">$E$53-1+S$69</f>
        <v>34</v>
      </c>
      <c r="T68" s="59">
        <f t="shared" ca="1" si="3"/>
        <v>35</v>
      </c>
      <c r="U68" s="59">
        <f t="shared" ca="1" si="3"/>
        <v>36</v>
      </c>
      <c r="V68" s="59">
        <f t="shared" ca="1" si="3"/>
        <v>37</v>
      </c>
      <c r="W68" s="59">
        <f t="shared" ca="1" si="3"/>
        <v>38</v>
      </c>
      <c r="X68" s="59">
        <f t="shared" ca="1" si="3"/>
        <v>39</v>
      </c>
      <c r="Y68" s="59">
        <f t="shared" ca="1" si="3"/>
        <v>40</v>
      </c>
      <c r="Z68" s="59">
        <f t="shared" ca="1" si="3"/>
        <v>41</v>
      </c>
      <c r="AA68" s="59">
        <f t="shared" ca="1" si="3"/>
        <v>42</v>
      </c>
      <c r="AB68" s="59">
        <f t="shared" ca="1" si="3"/>
        <v>43</v>
      </c>
      <c r="AC68" s="59">
        <f t="shared" ca="1" si="3"/>
        <v>44</v>
      </c>
      <c r="AD68" s="59">
        <f t="shared" ca="1" si="3"/>
        <v>45</v>
      </c>
      <c r="AE68" s="59">
        <f t="shared" ca="1" si="3"/>
        <v>46</v>
      </c>
      <c r="AF68" s="59">
        <f t="shared" ca="1" si="3"/>
        <v>47</v>
      </c>
      <c r="AG68" s="59">
        <f t="shared" ca="1" si="3"/>
        <v>48</v>
      </c>
      <c r="AH68" s="59">
        <f t="shared" ca="1" si="3"/>
        <v>49</v>
      </c>
      <c r="AI68" s="59">
        <f t="shared" ca="1" si="3"/>
        <v>50</v>
      </c>
      <c r="AJ68" s="59">
        <f t="shared" ca="1" si="3"/>
        <v>51</v>
      </c>
      <c r="AK68" s="59">
        <f t="shared" ca="1" si="3"/>
        <v>52</v>
      </c>
      <c r="AL68" s="59">
        <f t="shared" ca="1" si="3"/>
        <v>53</v>
      </c>
      <c r="AM68" s="59">
        <f t="shared" ca="1" si="3"/>
        <v>54</v>
      </c>
      <c r="AN68" s="59">
        <f t="shared" ca="1" si="3"/>
        <v>55</v>
      </c>
      <c r="AO68" s="59">
        <f t="shared" ca="1" si="3"/>
        <v>56</v>
      </c>
      <c r="AP68" s="59">
        <f t="shared" ca="1" si="3"/>
        <v>57</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10000000</v>
      </c>
      <c r="K70" s="197"/>
      <c r="L70" s="203">
        <f>IF($G$5="MetMax",MetMax!$J$28,IF($G$5="MetCare",MetCare!$J$28,Nelson!$N$26))</f>
        <v>0</v>
      </c>
      <c r="M70" s="204"/>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1288</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1442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1650</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1857</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2065</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2326</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2642</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3050</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3526</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4073</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4703</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5415</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6246</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7219</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8334</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9523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10765</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12000</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13250</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14538</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15846</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17185</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18550</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19926</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21326</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10000000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2128</v>
      </c>
      <c r="S74" s="60">
        <f ca="1">IF(OR(ISBLANK($E$52),S$69&gt;$E$55),"",ROUND(VLOOKUP(S$68,'MM-MC Tarifák'!$A$3:$AQ$67,HLOOKUP($E74,'MM-MC Tarifák'!$B$1:$AQ$2,2,0),0)/1000*$J$74*IF(OR(AND($E$61="Forint",$J$74&gt;=1000000,$J$74&lt;=50000000),AND($E$61="Euró",$J$74&gt;=3400,$J$74&lt;=162500)),1,0)*VLOOKUP($E$58,Paraméterek!$K$1:$L$4,2,0)*IF($O$74="Kizárás",1,1+$O$74),IF($E$61="Forint",0,2)))</f>
        <v>2359</v>
      </c>
      <c r="T74" s="60">
        <f ca="1">IF(OR(ISBLANK($E$52),T$69&gt;$E$55),"",ROUND(VLOOKUP(T$68,'MM-MC Tarifák'!$A$3:$AQ$67,HLOOKUP($E74,'MM-MC Tarifák'!$B$1:$AQ$2,2,0),0)/1000*$J$74*IF(OR(AND($E$61="Forint",$J$74&gt;=1000000,$J$74&lt;=50000000),AND($E$61="Euró",$J$74&gt;=3400,$J$74&lt;=162500)),1,0)*VLOOKUP($E$58,Paraméterek!$K$1:$L$4,2,0)*IF($O$74="Kizárás",1,1+$O$74),IF($E$61="Forint",0,2)))</f>
        <v>2590</v>
      </c>
      <c r="U74" s="60">
        <f ca="1">IF(OR(ISBLANK($E$52),U$69&gt;$E$55),"",ROUND(VLOOKUP(U$68,'MM-MC Tarifák'!$A$3:$AQ$67,HLOOKUP($E74,'MM-MC Tarifák'!$B$1:$AQ$2,2,0),0)/1000*$J$74*IF(OR(AND($E$61="Forint",$J$74&gt;=1000000,$J$74&lt;=50000000),AND($E$61="Euró",$J$74&gt;=3400,$J$74&lt;=162500)),1,0)*VLOOKUP($E$58,Paraméterek!$K$1:$L$4,2,0)*IF($O$74="Kizárás",1,1+$O$74),IF($E$61="Forint",0,2)))</f>
        <v>3077</v>
      </c>
      <c r="V74" s="60">
        <f ca="1">IF(OR(ISBLANK($E$52),V$69&gt;$E$55),"",ROUND(VLOOKUP(V$68,'MM-MC Tarifák'!$A$3:$AQ$67,HLOOKUP($E74,'MM-MC Tarifák'!$B$1:$AQ$2,2,0),0)/1000*$J$74*IF(OR(AND($E$61="Forint",$J$74&gt;=1000000,$J$74&lt;=50000000),AND($E$61="Euró",$J$74&gt;=3400,$J$74&lt;=162500)),1,0)*VLOOKUP($E$58,Paraméterek!$K$1:$L$4,2,0)*IF($O$74="Kizárás",1,1+$O$74),IF($E$61="Forint",0,2)))</f>
        <v>3556</v>
      </c>
      <c r="W74" s="60">
        <f ca="1">IF(OR(ISBLANK($E$52),W$69&gt;$E$55),"",ROUND(VLOOKUP(W$68,'MM-MC Tarifák'!$A$3:$AQ$67,HLOOKUP($E74,'MM-MC Tarifák'!$B$1:$AQ$2,2,0),0)/1000*$J$74*IF(OR(AND($E$61="Forint",$J$74&gt;=1000000,$J$74&lt;=50000000),AND($E$61="Euró",$J$74&gt;=3400,$J$74&lt;=162500)),1,0)*VLOOKUP($E$58,Paraméterek!$K$1:$L$4,2,0)*IF($O$74="Kizárás",1,1+$O$74),IF($E$61="Forint",0,2)))</f>
        <v>4034</v>
      </c>
      <c r="X74" s="60">
        <f ca="1">IF(OR(ISBLANK($E$52),X$69&gt;$E$55),"",ROUND(VLOOKUP(X$68,'MM-MC Tarifák'!$A$3:$AQ$67,HLOOKUP($E74,'MM-MC Tarifák'!$B$1:$AQ$2,2,0),0)/1000*$J$74*IF(OR(AND($E$61="Forint",$J$74&gt;=1000000,$J$74&lt;=50000000),AND($E$61="Euró",$J$74&gt;=3400,$J$74&lt;=162500)),1,0)*VLOOKUP($E$58,Paraméterek!$K$1:$L$4,2,0)*IF($O$74="Kizárás",1,1+$O$74),IF($E$61="Forint",0,2)))</f>
        <v>4521</v>
      </c>
      <c r="Y74" s="60">
        <f ca="1">IF(OR(ISBLANK($E$52),Y$69&gt;$E$55),"",ROUND(VLOOKUP(Y$68,'MM-MC Tarifák'!$A$3:$AQ$67,HLOOKUP($E74,'MM-MC Tarifák'!$B$1:$AQ$2,2,0),0)/1000*$J$74*IF(OR(AND($E$61="Forint",$J$74&gt;=1000000,$J$74&lt;=50000000),AND($E$61="Euró",$J$74&gt;=3400,$J$74&lt;=162500)),1,0)*VLOOKUP($E$58,Paraméterek!$K$1:$L$4,2,0)*IF($O$74="Kizárás",1,1+$O$74),IF($E$61="Forint",0,2)))</f>
        <v>5000</v>
      </c>
      <c r="Z74" s="60">
        <f ca="1">IF(OR(ISBLANK($E$52),Z$69&gt;$E$55),"",ROUND(VLOOKUP(Z$68,'MM-MC Tarifák'!$A$3:$AQ$67,HLOOKUP($E74,'MM-MC Tarifák'!$B$1:$AQ$2,2,0),0)/1000*$J$74*IF(OR(AND($E$61="Forint",$J$74&gt;=1000000,$J$74&lt;=50000000),AND($E$61="Euró",$J$74&gt;=3400,$J$74&lt;=162500)),1,0)*VLOOKUP($E$58,Paraméterek!$K$1:$L$4,2,0)*IF($O$74="Kizárás",1,1+$O$74),IF($E$61="Forint",0,2)))</f>
        <v>5795</v>
      </c>
      <c r="AA74" s="60">
        <f ca="1">IF(OR(ISBLANK($E$52),AA$69&gt;$E$55),"",ROUND(VLOOKUP(AA$68,'MM-MC Tarifák'!$A$3:$AQ$67,HLOOKUP($E74,'MM-MC Tarifák'!$B$1:$AQ$2,2,0),0)/1000*$J$74*IF(OR(AND($E$61="Forint",$J$74&gt;=1000000,$J$74&lt;=50000000),AND($E$61="Euró",$J$74&gt;=3400,$J$74&lt;=162500)),1,0)*VLOOKUP($E$58,Paraméterek!$K$1:$L$4,2,0)*IF($O$74="Kizárás",1,1+$O$74),IF($E$61="Forint",0,2)))</f>
        <v>6573</v>
      </c>
      <c r="AB74" s="60">
        <f ca="1">IF(OR(ISBLANK($E$52),AB$69&gt;$E$55),"",ROUND(VLOOKUP(AB$68,'MM-MC Tarifák'!$A$3:$AQ$67,HLOOKUP($E74,'MM-MC Tarifák'!$B$1:$AQ$2,2,0),0)/1000*$J$74*IF(OR(AND($E$61="Forint",$J$74&gt;=1000000,$J$74&lt;=50000000),AND($E$61="Euró",$J$74&gt;=3400,$J$74&lt;=162500)),1,0)*VLOOKUP($E$58,Paraméterek!$K$1:$L$4,2,0)*IF($O$74="Kizárás",1,1+$O$74),IF($E$61="Forint",0,2)))</f>
        <v>7359</v>
      </c>
      <c r="AC74" s="60">
        <f ca="1">IF(OR(ISBLANK($E$52),AC$69&gt;$E$55),"",ROUND(VLOOKUP(AC$68,'MM-MC Tarifák'!$A$3:$AQ$67,HLOOKUP($E74,'MM-MC Tarifák'!$B$1:$AQ$2,2,0),0)/1000*$J$74*IF(OR(AND($E$61="Forint",$J$74&gt;=1000000,$J$74&lt;=50000000),AND($E$61="Euró",$J$74&gt;=3400,$J$74&lt;=162500)),1,0)*VLOOKUP($E$58,Paraméterek!$K$1:$L$4,2,0)*IF($O$74="Kizárás",1,1+$O$74),IF($E$61="Forint",0,2)))</f>
        <v>8145</v>
      </c>
      <c r="AD74" s="60">
        <f ca="1">IF(OR(ISBLANK($E$52),AD$69&gt;$E$55),"",ROUND(VLOOKUP(AD$68,'MM-MC Tarifák'!$A$3:$AQ$67,HLOOKUP($E74,'MM-MC Tarifák'!$B$1:$AQ$2,2,0),0)/1000*$J$74*IF(OR(AND($E$61="Forint",$J$74&gt;=1000000,$J$74&lt;=50000000),AND($E$61="Euró",$J$74&gt;=3400,$J$74&lt;=162500)),1,0)*VLOOKUP($E$58,Paraméterek!$K$1:$L$4,2,0)*IF($O$74="Kizárás",1,1+$O$74),IF($E$61="Forint",0,2)))</f>
        <v>8932</v>
      </c>
      <c r="AE74" s="60">
        <f ca="1">IF(OR(ISBLANK($E$52),AE$69&gt;$E$55),"",ROUND(VLOOKUP(AE$68,'MM-MC Tarifák'!$A$3:$AQ$67,HLOOKUP($E74,'MM-MC Tarifák'!$B$1:$AQ$2,2,0),0)/1000*$J$74*IF(OR(AND($E$61="Forint",$J$74&gt;=1000000,$J$74&lt;=50000000),AND($E$61="Euró",$J$74&gt;=3400,$J$74&lt;=162500)),1,0)*VLOOKUP($E$58,Paraméterek!$K$1:$L$4,2,0)*IF($O$74="Kizárás",1,1+$O$74),IF($E$61="Forint",0,2)))</f>
        <v>9915</v>
      </c>
      <c r="AF74" s="60">
        <f ca="1">IF(OR(ISBLANK($E$52),AF$69&gt;$E$55),"",ROUND(VLOOKUP(AF$68,'MM-MC Tarifák'!$A$3:$AQ$67,HLOOKUP($E74,'MM-MC Tarifák'!$B$1:$AQ$2,2,0),0)/1000*$J$74*IF(OR(AND($E$61="Forint",$J$74&gt;=1000000,$J$74&lt;=50000000),AND($E$61="Euró",$J$74&gt;=3400,$J$74&lt;=162500)),1,0)*VLOOKUP($E$58,Paraméterek!$K$1:$L$4,2,0)*IF($O$74="Kizárás",1,1+$O$74),IF($E$61="Forint",0,2)))</f>
        <v>10906</v>
      </c>
      <c r="AG74" s="60">
        <f ca="1">IF(OR(ISBLANK($E$52),AG$69&gt;$E$55),"",ROUND(VLOOKUP(AG$68,'MM-MC Tarifák'!$A$3:$AQ$67,HLOOKUP($E74,'MM-MC Tarifák'!$B$1:$AQ$2,2,0),0)/1000*$J$74*IF(OR(AND($E$61="Forint",$J$74&gt;=1000000,$J$74&lt;=50000000),AND($E$61="Euró",$J$74&gt;=3400,$J$74&lt;=162500)),1,0)*VLOOKUP($E$58,Paraméterek!$K$1:$L$4,2,0)*IF($O$74="Kizárás",1,1+$O$74),IF($E$61="Forint",0,2)))</f>
        <v>11889</v>
      </c>
      <c r="AH74" s="60">
        <f ca="1">IF(OR(ISBLANK($E$52),AH$69&gt;$E$55),"",ROUND(VLOOKUP(AH$68,'MM-MC Tarifák'!$A$3:$AQ$67,HLOOKUP($E74,'MM-MC Tarifák'!$B$1:$AQ$2,2,0),0)/1000*$J$74*IF(OR(AND($E$61="Forint",$J$74&gt;=1000000,$J$74&lt;=50000000),AND($E$61="Euró",$J$74&gt;=3400,$J$74&lt;=162500)),1,0)*VLOOKUP($E$58,Paraméterek!$K$1:$L$4,2,0)*IF($O$74="Kizárás",1,1+$O$74),IF($E$61="Forint",0,2)))</f>
        <v>12863</v>
      </c>
      <c r="AI74" s="60">
        <f ca="1">IF(OR(ISBLANK($E$52),AI$69&gt;$E$55),"",ROUND(VLOOKUP(AI$68,'MM-MC Tarifák'!$A$3:$AQ$67,HLOOKUP($E74,'MM-MC Tarifák'!$B$1:$AQ$2,2,0),0)/1000*$J$74*IF(OR(AND($E$61="Forint",$J$74&gt;=1000000,$J$74&lt;=50000000),AND($E$61="Euró",$J$74&gt;=3400,$J$74&lt;=162500)),1,0)*VLOOKUP($E$58,Paraméterek!$K$1:$L$4,2,0)*IF($O$74="Kizárás",1,1+$O$74),IF($E$61="Forint",0,2)))</f>
        <v>13846</v>
      </c>
      <c r="AJ74" s="60">
        <f ca="1">IF(OR(ISBLANK($E$52),AJ$69&gt;$E$55),"",ROUND(VLOOKUP(AJ$68,'MM-MC Tarifák'!$A$3:$AQ$67,HLOOKUP($E74,'MM-MC Tarifák'!$B$1:$AQ$2,2,0),0)/1000*$J$74*IF(OR(AND($E$61="Forint",$J$74&gt;=1000000,$J$74&lt;=50000000),AND($E$61="Euró",$J$74&gt;=3400,$J$74&lt;=162500)),1,0)*VLOOKUP($E$58,Paraméterek!$K$1:$L$4,2,0)*IF($O$74="Kizárás",1,1+$O$74),IF($E$61="Forint",0,2)))</f>
        <v>14983</v>
      </c>
      <c r="AK74" s="60">
        <f ca="1">IF(OR(ISBLANK($E$52),AK$69&gt;$E$55),"",ROUND(VLOOKUP(AK$68,'MM-MC Tarifák'!$A$3:$AQ$67,HLOOKUP($E74,'MM-MC Tarifák'!$B$1:$AQ$2,2,0),0)/1000*$J$74*IF(OR(AND($E$61="Forint",$J$74&gt;=1000000,$J$74&lt;=50000000),AND($E$61="Euró",$J$74&gt;=3400,$J$74&lt;=162500)),1,0)*VLOOKUP($E$58,Paraméterek!$K$1:$L$4,2,0)*IF($O$74="Kizárás",1,1+$O$74),IF($E$61="Forint",0,2)))</f>
        <v>16120</v>
      </c>
      <c r="AL74" s="60">
        <f ca="1">IF(OR(ISBLANK($E$52),AL$69&gt;$E$55),"",ROUND(VLOOKUP(AL$68,'MM-MC Tarifák'!$A$3:$AQ$67,HLOOKUP($E74,'MM-MC Tarifák'!$B$1:$AQ$2,2,0),0)/1000*$J$74*IF(OR(AND($E$61="Forint",$J$74&gt;=1000000,$J$74&lt;=50000000),AND($E$61="Euró",$J$74&gt;=3400,$J$74&lt;=162500)),1,0)*VLOOKUP($E$58,Paraméterek!$K$1:$L$4,2,0)*IF($O$74="Kizárás",1,1+$O$74),IF($E$61="Forint",0,2)))</f>
        <v>17248</v>
      </c>
      <c r="AM74" s="60">
        <f ca="1">IF(OR(ISBLANK($E$52),AM$69&gt;$E$55),"",ROUND(VLOOKUP(AM$68,'MM-MC Tarifák'!$A$3:$AQ$67,HLOOKUP($E74,'MM-MC Tarifák'!$B$1:$AQ$2,2,0),0)/1000*$J$74*IF(OR(AND($E$61="Forint",$J$74&gt;=1000000,$J$74&lt;=50000000),AND($E$61="Euró",$J$74&gt;=3400,$J$74&lt;=162500)),1,0)*VLOOKUP($E$58,Paraméterek!$K$1:$L$4,2,0)*IF($O$74="Kizárás",1,1+$O$74),IF($E$61="Forint",0,2)))</f>
        <v>18385</v>
      </c>
      <c r="AN74" s="60">
        <f ca="1">IF(OR(ISBLANK($E$52),AN$69&gt;$E$55),"",ROUND(VLOOKUP(AN$68,'MM-MC Tarifák'!$A$3:$AQ$67,HLOOKUP($E74,'MM-MC Tarifák'!$B$1:$AQ$2,2,0),0)/1000*$J$74*IF(OR(AND($E$61="Forint",$J$74&gt;=1000000,$J$74&lt;=50000000),AND($E$61="Euró",$J$74&gt;=3400,$J$74&lt;=162500)),1,0)*VLOOKUP($E$58,Paraméterek!$K$1:$L$4,2,0)*IF($O$74="Kizárás",1,1+$O$74),IF($E$61="Forint",0,2)))</f>
        <v>19513</v>
      </c>
      <c r="AO74" s="60">
        <f ca="1">IF(OR(ISBLANK($E$52),AO$69&gt;$E$55),"",ROUND(VLOOKUP(AO$68,'MM-MC Tarifák'!$A$3:$AQ$67,HLOOKUP($E74,'MM-MC Tarifák'!$B$1:$AQ$2,2,0),0)/1000*$J$74*IF(OR(AND($E$61="Forint",$J$74&gt;=1000000,$J$74&lt;=50000000),AND($E$61="Euró",$J$74&gt;=3400,$J$74&lt;=162500)),1,0)*VLOOKUP($E$58,Paraméterek!$K$1:$L$4,2,0)*IF($O$74="Kizárás",1,1+$O$74),IF($E$61="Forint",0,2)))</f>
        <v>21120</v>
      </c>
      <c r="AP74" s="60">
        <f ca="1">IF(OR(ISBLANK($E$52),AP$69&gt;$E$55),"",ROUND(VLOOKUP(AP$68,'MM-MC Tarifák'!$A$3:$AQ$67,HLOOKUP($E74,'MM-MC Tarifák'!$B$1:$AQ$2,2,0),0)/1000*$J$74*IF(OR(AND($E$61="Forint",$J$74&gt;=1000000,$J$74&lt;=50000000),AND($E$61="Euró",$J$74&gt;=3400,$J$74&lt;=162500)),1,0)*VLOOKUP($E$58,Paraméterek!$K$1:$L$4,2,0)*IF($O$74="Kizárás",1,1+$O$74),IF($E$61="Forint",0,2)))</f>
        <v>22718</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2923</v>
      </c>
      <c r="S75" s="60">
        <f ca="1">IF(OR(ISBLANK($E$52),S$69&gt;$E$55),"",ROUND(VLOOKUP(S$68,'MM-MC Tarifák'!$A$3:$AQ$67,HLOOKUP($E75,'MM-MC Tarifák'!$B$1:$AQ$2,2,0),0)/1000*$J$74*IF(OR(AND($E$61="Forint",$J$74&gt;=1000000,$J$74&lt;=50000000),AND($E$61="Euró",$J$74&gt;=3400,$J$74&lt;=162500)),1,0)*VLOOKUP($E$58,Paraméterek!$K$1:$L$4,2,0)*IF($O$75="Kizárás",1,1+$O$75),IF($E$61="Forint",0,2)))</f>
        <v>3239</v>
      </c>
      <c r="T75" s="60">
        <f ca="1">IF(OR(ISBLANK($E$52),T$69&gt;$E$55),"",ROUND(VLOOKUP(T$68,'MM-MC Tarifák'!$A$3:$AQ$67,HLOOKUP($E75,'MM-MC Tarifák'!$B$1:$AQ$2,2,0),0)/1000*$J$74*IF(OR(AND($E$61="Forint",$J$74&gt;=1000000,$J$74&lt;=50000000),AND($E$61="Euró",$J$74&gt;=3400,$J$74&lt;=162500)),1,0)*VLOOKUP($E$58,Paraméterek!$K$1:$L$4,2,0)*IF($O$75="Kizárás",1,1+$O$75),IF($E$61="Forint",0,2)))</f>
        <v>3615</v>
      </c>
      <c r="U75" s="60">
        <f ca="1">IF(OR(ISBLANK($E$52),U$69&gt;$E$55),"",ROUND(VLOOKUP(U$68,'MM-MC Tarifák'!$A$3:$AQ$67,HLOOKUP($E75,'MM-MC Tarifák'!$B$1:$AQ$2,2,0),0)/1000*$J$74*IF(OR(AND($E$61="Forint",$J$74&gt;=1000000,$J$74&lt;=50000000),AND($E$61="Euró",$J$74&gt;=3400,$J$74&lt;=162500)),1,0)*VLOOKUP($E$58,Paraméterek!$K$1:$L$4,2,0)*IF($O$75="Kizárás",1,1+$O$75),IF($E$61="Forint",0,2)))</f>
        <v>4291</v>
      </c>
      <c r="V75" s="60">
        <f ca="1">IF(OR(ISBLANK($E$52),V$69&gt;$E$55),"",ROUND(VLOOKUP(V$68,'MM-MC Tarifák'!$A$3:$AQ$67,HLOOKUP($E75,'MM-MC Tarifák'!$B$1:$AQ$2,2,0),0)/1000*$J$74*IF(OR(AND($E$61="Forint",$J$74&gt;=1000000,$J$74&lt;=50000000),AND($E$61="Euró",$J$74&gt;=3400,$J$74&lt;=162500)),1,0)*VLOOKUP($E$58,Paraméterek!$K$1:$L$4,2,0)*IF($O$75="Kizárás",1,1+$O$75),IF($E$61="Forint",0,2)))</f>
        <v>4966</v>
      </c>
      <c r="W75" s="60">
        <f ca="1">IF(OR(ISBLANK($E$52),W$69&gt;$E$55),"",ROUND(VLOOKUP(W$68,'MM-MC Tarifák'!$A$3:$AQ$67,HLOOKUP($E75,'MM-MC Tarifák'!$B$1:$AQ$2,2,0),0)/1000*$J$74*IF(OR(AND($E$61="Forint",$J$74&gt;=1000000,$J$74&lt;=50000000),AND($E$61="Euró",$J$74&gt;=3400,$J$74&lt;=162500)),1,0)*VLOOKUP($E$58,Paraméterek!$K$1:$L$4,2,0)*IF($O$75="Kizárás",1,1+$O$75),IF($E$61="Forint",0,2)))</f>
        <v>5650</v>
      </c>
      <c r="X75" s="60">
        <f ca="1">IF(OR(ISBLANK($E$52),X$69&gt;$E$55),"",ROUND(VLOOKUP(X$68,'MM-MC Tarifák'!$A$3:$AQ$67,HLOOKUP($E75,'MM-MC Tarifák'!$B$1:$AQ$2,2,0),0)/1000*$J$74*IF(OR(AND($E$61="Forint",$J$74&gt;=1000000,$J$74&lt;=50000000),AND($E$61="Euró",$J$74&gt;=3400,$J$74&lt;=162500)),1,0)*VLOOKUP($E$58,Paraméterek!$K$1:$L$4,2,0)*IF($O$75="Kizárás",1,1+$O$75),IF($E$61="Forint",0,2)))</f>
        <v>6325</v>
      </c>
      <c r="Y75" s="60">
        <f ca="1">IF(OR(ISBLANK($E$52),Y$69&gt;$E$55),"",ROUND(VLOOKUP(Y$68,'MM-MC Tarifák'!$A$3:$AQ$67,HLOOKUP($E75,'MM-MC Tarifák'!$B$1:$AQ$2,2,0),0)/1000*$J$74*IF(OR(AND($E$61="Forint",$J$74&gt;=1000000,$J$74&lt;=50000000),AND($E$61="Euró",$J$74&gt;=3400,$J$74&lt;=162500)),1,0)*VLOOKUP($E$58,Paraméterek!$K$1:$L$4,2,0)*IF($O$75="Kizárás",1,1+$O$75),IF($E$61="Forint",0,2)))</f>
        <v>7154</v>
      </c>
      <c r="Z75" s="60">
        <f ca="1">IF(OR(ISBLANK($E$52),Z$69&gt;$E$55),"",ROUND(VLOOKUP(Z$68,'MM-MC Tarifák'!$A$3:$AQ$67,HLOOKUP($E75,'MM-MC Tarifák'!$B$1:$AQ$2,2,0),0)/1000*$J$74*IF(OR(AND($E$61="Forint",$J$74&gt;=1000000,$J$74&lt;=50000000),AND($E$61="Euró",$J$74&gt;=3400,$J$74&lt;=162500)),1,0)*VLOOKUP($E$58,Paraméterek!$K$1:$L$4,2,0)*IF($O$75="Kizárás",1,1+$O$75),IF($E$61="Forint",0,2)))</f>
        <v>8291</v>
      </c>
      <c r="AA75" s="60">
        <f ca="1">IF(OR(ISBLANK($E$52),AA$69&gt;$E$55),"",ROUND(VLOOKUP(AA$68,'MM-MC Tarifák'!$A$3:$AQ$67,HLOOKUP($E75,'MM-MC Tarifák'!$B$1:$AQ$2,2,0),0)/1000*$J$74*IF(OR(AND($E$61="Forint",$J$74&gt;=1000000,$J$74&lt;=50000000),AND($E$61="Euró",$J$74&gt;=3400,$J$74&lt;=162500)),1,0)*VLOOKUP($E$58,Paraméterek!$K$1:$L$4,2,0)*IF($O$75="Kizárás",1,1+$O$75),IF($E$61="Forint",0,2)))</f>
        <v>9436</v>
      </c>
      <c r="AB75" s="60">
        <f ca="1">IF(OR(ISBLANK($E$52),AB$69&gt;$E$55),"",ROUND(VLOOKUP(AB$68,'MM-MC Tarifák'!$A$3:$AQ$67,HLOOKUP($E75,'MM-MC Tarifák'!$B$1:$AQ$2,2,0),0)/1000*$J$74*IF(OR(AND($E$61="Forint",$J$74&gt;=1000000,$J$74&lt;=50000000),AND($E$61="Euró",$J$74&gt;=3400,$J$74&lt;=162500)),1,0)*VLOOKUP($E$58,Paraméterek!$K$1:$L$4,2,0)*IF($O$75="Kizárás",1,1+$O$75),IF($E$61="Forint",0,2)))</f>
        <v>10573</v>
      </c>
      <c r="AC75" s="60">
        <f ca="1">IF(OR(ISBLANK($E$52),AC$69&gt;$E$55),"",ROUND(VLOOKUP(AC$68,'MM-MC Tarifák'!$A$3:$AQ$67,HLOOKUP($E75,'MM-MC Tarifák'!$B$1:$AQ$2,2,0),0)/1000*$J$74*IF(OR(AND($E$61="Forint",$J$74&gt;=1000000,$J$74&lt;=50000000),AND($E$61="Euró",$J$74&gt;=3400,$J$74&lt;=162500)),1,0)*VLOOKUP($E$58,Paraméterek!$K$1:$L$4,2,0)*IF($O$75="Kizárás",1,1+$O$75),IF($E$61="Forint",0,2)))</f>
        <v>11709</v>
      </c>
      <c r="AD75" s="60">
        <f ca="1">IF(OR(ISBLANK($E$52),AD$69&gt;$E$55),"",ROUND(VLOOKUP(AD$68,'MM-MC Tarifák'!$A$3:$AQ$67,HLOOKUP($E75,'MM-MC Tarifák'!$B$1:$AQ$2,2,0),0)/1000*$J$74*IF(OR(AND($E$61="Forint",$J$74&gt;=1000000,$J$74&lt;=50000000),AND($E$61="Euró",$J$74&gt;=3400,$J$74&lt;=162500)),1,0)*VLOOKUP($E$58,Paraméterek!$K$1:$L$4,2,0)*IF($O$75="Kizárás",1,1+$O$75),IF($E$61="Forint",0,2)))</f>
        <v>13128</v>
      </c>
      <c r="AE75" s="60">
        <f ca="1">IF(OR(ISBLANK($E$52),AE$69&gt;$E$55),"",ROUND(VLOOKUP(AE$68,'MM-MC Tarifák'!$A$3:$AQ$67,HLOOKUP($E75,'MM-MC Tarifák'!$B$1:$AQ$2,2,0),0)/1000*$J$74*IF(OR(AND($E$61="Forint",$J$74&gt;=1000000,$J$74&lt;=50000000),AND($E$61="Euró",$J$74&gt;=3400,$J$74&lt;=162500)),1,0)*VLOOKUP($E$58,Paraméterek!$K$1:$L$4,2,0)*IF($O$75="Kizárás",1,1+$O$75),IF($E$61="Forint",0,2)))</f>
        <v>14590</v>
      </c>
      <c r="AF75" s="60">
        <f ca="1">IF(OR(ISBLANK($E$52),AF$69&gt;$E$55),"",ROUND(VLOOKUP(AF$68,'MM-MC Tarifák'!$A$3:$AQ$67,HLOOKUP($E75,'MM-MC Tarifák'!$B$1:$AQ$2,2,0),0)/1000*$J$74*IF(OR(AND($E$61="Forint",$J$74&gt;=1000000,$J$74&lt;=50000000),AND($E$61="Euró",$J$74&gt;=3400,$J$74&lt;=162500)),1,0)*VLOOKUP($E$58,Paraméterek!$K$1:$L$4,2,0)*IF($O$75="Kizárás",1,1+$O$75),IF($E$61="Forint",0,2)))</f>
        <v>16060</v>
      </c>
      <c r="AG75" s="60">
        <f ca="1">IF(OR(ISBLANK($E$52),AG$69&gt;$E$55),"",ROUND(VLOOKUP(AG$68,'MM-MC Tarifák'!$A$3:$AQ$67,HLOOKUP($E75,'MM-MC Tarifák'!$B$1:$AQ$2,2,0),0)/1000*$J$74*IF(OR(AND($E$61="Forint",$J$74&gt;=1000000,$J$74&lt;=50000000),AND($E$61="Euró",$J$74&gt;=3400,$J$74&lt;=162500)),1,0)*VLOOKUP($E$58,Paraméterek!$K$1:$L$4,2,0)*IF($O$75="Kizárás",1,1+$O$75),IF($E$61="Forint",0,2)))</f>
        <v>17521</v>
      </c>
      <c r="AH75" s="60">
        <f ca="1">IF(OR(ISBLANK($E$52),AH$69&gt;$E$55),"",ROUND(VLOOKUP(AH$68,'MM-MC Tarifák'!$A$3:$AQ$67,HLOOKUP($E75,'MM-MC Tarifák'!$B$1:$AQ$2,2,0),0)/1000*$J$74*IF(OR(AND($E$61="Forint",$J$74&gt;=1000000,$J$74&lt;=50000000),AND($E$61="Euró",$J$74&gt;=3400,$J$74&lt;=162500)),1,0)*VLOOKUP($E$58,Paraméterek!$K$1:$L$4,2,0)*IF($O$75="Kizárás",1,1+$O$75),IF($E$61="Forint",0,2)))</f>
        <v>18991</v>
      </c>
      <c r="AI75" s="60">
        <f ca="1">IF(OR(ISBLANK($E$52),AI$69&gt;$E$55),"",ROUND(VLOOKUP(AI$68,'MM-MC Tarifák'!$A$3:$AQ$67,HLOOKUP($E75,'MM-MC Tarifák'!$B$1:$AQ$2,2,0),0)/1000*$J$74*IF(OR(AND($E$61="Forint",$J$74&gt;=1000000,$J$74&lt;=50000000),AND($E$61="Euró",$J$74&gt;=3400,$J$74&lt;=162500)),1,0)*VLOOKUP($E$58,Paraméterek!$K$1:$L$4,2,0)*IF($O$75="Kizárás",1,1+$O$75),IF($E$61="Forint",0,2)))</f>
        <v>21308</v>
      </c>
      <c r="AJ75" s="60">
        <f ca="1">IF(OR(ISBLANK($E$52),AJ$69&gt;$E$55),"",ROUND(VLOOKUP(AJ$68,'MM-MC Tarifák'!$A$3:$AQ$67,HLOOKUP($E75,'MM-MC Tarifák'!$B$1:$AQ$2,2,0),0)/1000*$J$74*IF(OR(AND($E$61="Forint",$J$74&gt;=1000000,$J$74&lt;=50000000),AND($E$61="Euró",$J$74&gt;=3400,$J$74&lt;=162500)),1,0)*VLOOKUP($E$58,Paraméterek!$K$1:$L$4,2,0)*IF($O$75="Kizárás",1,1+$O$75),IF($E$61="Forint",0,2)))</f>
        <v>23094</v>
      </c>
      <c r="AK75" s="60">
        <f ca="1">IF(OR(ISBLANK($E$52),AK$69&gt;$E$55),"",ROUND(VLOOKUP(AK$68,'MM-MC Tarifák'!$A$3:$AQ$67,HLOOKUP($E75,'MM-MC Tarifák'!$B$1:$AQ$2,2,0),0)/1000*$J$74*IF(OR(AND($E$61="Forint",$J$74&gt;=1000000,$J$74&lt;=50000000),AND($E$61="Euró",$J$74&gt;=3400,$J$74&lt;=162500)),1,0)*VLOOKUP($E$58,Paraméterek!$K$1:$L$4,2,0)*IF($O$75="Kizárás",1,1+$O$75),IF($E$61="Forint",0,2)))</f>
        <v>24872</v>
      </c>
      <c r="AL75" s="60">
        <f ca="1">IF(OR(ISBLANK($E$52),AL$69&gt;$E$55),"",ROUND(VLOOKUP(AL$68,'MM-MC Tarifák'!$A$3:$AQ$67,HLOOKUP($E75,'MM-MC Tarifák'!$B$1:$AQ$2,2,0),0)/1000*$J$74*IF(OR(AND($E$61="Forint",$J$74&gt;=1000000,$J$74&lt;=50000000),AND($E$61="Euró",$J$74&gt;=3400,$J$74&lt;=162500)),1,0)*VLOOKUP($E$58,Paraméterek!$K$1:$L$4,2,0)*IF($O$75="Kizárás",1,1+$O$75),IF($E$61="Forint",0,2)))</f>
        <v>26641</v>
      </c>
      <c r="AM75" s="60">
        <f ca="1">IF(OR(ISBLANK($E$52),AM$69&gt;$E$55),"",ROUND(VLOOKUP(AM$68,'MM-MC Tarifák'!$A$3:$AQ$67,HLOOKUP($E75,'MM-MC Tarifák'!$B$1:$AQ$2,2,0),0)/1000*$J$74*IF(OR(AND($E$61="Forint",$J$74&gt;=1000000,$J$74&lt;=50000000),AND($E$61="Euró",$J$74&gt;=3400,$J$74&lt;=162500)),1,0)*VLOOKUP($E$58,Paraméterek!$K$1:$L$4,2,0)*IF($O$75="Kizárás",1,1+$O$75),IF($E$61="Forint",0,2)))</f>
        <v>28427</v>
      </c>
      <c r="AN75" s="60">
        <f ca="1">IF(OR(ISBLANK($E$52),AN$69&gt;$E$55),"",ROUND(VLOOKUP(AN$68,'MM-MC Tarifák'!$A$3:$AQ$67,HLOOKUP($E75,'MM-MC Tarifák'!$B$1:$AQ$2,2,0),0)/1000*$J$74*IF(OR(AND($E$61="Forint",$J$74&gt;=1000000,$J$74&lt;=50000000),AND($E$61="Euró",$J$74&gt;=3400,$J$74&lt;=162500)),1,0)*VLOOKUP($E$58,Paraméterek!$K$1:$L$4,2,0)*IF($O$75="Kizárás",1,1+$O$75),IF($E$61="Forint",0,2)))</f>
        <v>31197</v>
      </c>
      <c r="AO75" s="60">
        <f ca="1">IF(OR(ISBLANK($E$52),AO$69&gt;$E$55),"",ROUND(VLOOKUP(AO$68,'MM-MC Tarifák'!$A$3:$AQ$67,HLOOKUP($E75,'MM-MC Tarifák'!$B$1:$AQ$2,2,0),0)/1000*$J$74*IF(OR(AND($E$61="Forint",$J$74&gt;=1000000,$J$74&lt;=50000000),AND($E$61="Euró",$J$74&gt;=3400,$J$74&lt;=162500)),1,0)*VLOOKUP($E$58,Paraméterek!$K$1:$L$4,2,0)*IF($O$75="Kizárás",1,1+$O$75),IF($E$61="Forint",0,2)))</f>
        <v>33778</v>
      </c>
      <c r="AP75" s="60">
        <f ca="1">IF(OR(ISBLANK($E$52),AP$69&gt;$E$55),"",ROUND(VLOOKUP(AP$68,'MM-MC Tarifák'!$A$3:$AQ$67,HLOOKUP($E75,'MM-MC Tarifák'!$B$1:$AQ$2,2,0),0)/1000*$J$74*IF(OR(AND($E$61="Forint",$J$74&gt;=1000000,$J$74&lt;=50000000),AND($E$61="Euró",$J$74&gt;=3400,$J$74&lt;=162500)),1,0)*VLOOKUP($E$58,Paraméterek!$K$1:$L$4,2,0)*IF($O$75="Kizárás",1,1+$O$75),IF($E$61="Forint",0,2)))</f>
        <v>36359</v>
      </c>
    </row>
    <row r="76" spans="1:42" hidden="1" x14ac:dyDescent="0.2">
      <c r="A76" s="12" t="s">
        <v>406</v>
      </c>
      <c r="B76" s="194"/>
      <c r="C76" s="194"/>
      <c r="D76" s="194"/>
      <c r="E76" s="128" t="s">
        <v>64</v>
      </c>
      <c r="F76" s="128"/>
      <c r="G76" s="128"/>
      <c r="H76" s="128"/>
      <c r="I76" s="128"/>
      <c r="J76" s="199"/>
      <c r="K76" s="199"/>
      <c r="L76" s="195">
        <f>IF($G$5="MetMax",MetMax!$J$37,IF($G$5="MetCare",MetCare!$J$37,Nelson!$N$32))</f>
        <v>0</v>
      </c>
      <c r="M76" s="195"/>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3658</v>
      </c>
      <c r="S76" s="60">
        <f ca="1">IF(OR(ISBLANK($E$52),S$69&gt;$E$55),"",ROUND(VLOOKUP(S$68,'MM-MC Tarifák'!$A$3:$AQ$67,HLOOKUP($E76,'MM-MC Tarifák'!$B$1:$AQ$2,2,0),0)/1000*$J$74*IF(OR(AND($E$61="Forint",$J$74&gt;=1000000,$J$74&lt;=50000000),AND($E$61="Euró",$J$74&gt;=3400,$J$74&lt;=162500)),1,0)*VLOOKUP($E$58,Paraméterek!$K$1:$L$4,2,0)*IF($O$76="Kizárás",1,1+$O$76),IF($E$61="Forint",0,2)))</f>
        <v>4051</v>
      </c>
      <c r="T76" s="60">
        <f ca="1">IF(OR(ISBLANK($E$52),T$69&gt;$E$55),"",ROUND(VLOOKUP(T$68,'MM-MC Tarifák'!$A$3:$AQ$67,HLOOKUP($E76,'MM-MC Tarifák'!$B$1:$AQ$2,2,0),0)/1000*$J$74*IF(OR(AND($E$61="Forint",$J$74&gt;=1000000,$J$74&lt;=50000000),AND($E$61="Euró",$J$74&gt;=3400,$J$74&lt;=162500)),1,0)*VLOOKUP($E$58,Paraméterek!$K$1:$L$4,2,0)*IF($O$76="Kizárás",1,1+$O$76),IF($E$61="Forint",0,2)))</f>
        <v>4513</v>
      </c>
      <c r="U76" s="60">
        <f ca="1">IF(OR(ISBLANK($E$52),U$69&gt;$E$55),"",ROUND(VLOOKUP(U$68,'MM-MC Tarifák'!$A$3:$AQ$67,HLOOKUP($E76,'MM-MC Tarifák'!$B$1:$AQ$2,2,0),0)/1000*$J$74*IF(OR(AND($E$61="Forint",$J$74&gt;=1000000,$J$74&lt;=50000000),AND($E$61="Euró",$J$74&gt;=3400,$J$74&lt;=162500)),1,0)*VLOOKUP($E$58,Paraméterek!$K$1:$L$4,2,0)*IF($O$76="Kizárás",1,1+$O$76),IF($E$61="Forint",0,2)))</f>
        <v>5359</v>
      </c>
      <c r="V76" s="60">
        <f ca="1">IF(OR(ISBLANK($E$52),V$69&gt;$E$55),"",ROUND(VLOOKUP(V$68,'MM-MC Tarifák'!$A$3:$AQ$67,HLOOKUP($E76,'MM-MC Tarifák'!$B$1:$AQ$2,2,0),0)/1000*$J$74*IF(OR(AND($E$61="Forint",$J$74&gt;=1000000,$J$74&lt;=50000000),AND($E$61="Euró",$J$74&gt;=3400,$J$74&lt;=162500)),1,0)*VLOOKUP($E$58,Paraméterek!$K$1:$L$4,2,0)*IF($O$76="Kizárás",1,1+$O$76),IF($E$61="Forint",0,2)))</f>
        <v>6205</v>
      </c>
      <c r="W76" s="60">
        <f ca="1">IF(OR(ISBLANK($E$52),W$69&gt;$E$55),"",ROUND(VLOOKUP(W$68,'MM-MC Tarifák'!$A$3:$AQ$67,HLOOKUP($E76,'MM-MC Tarifák'!$B$1:$AQ$2,2,0),0)/1000*$J$74*IF(OR(AND($E$61="Forint",$J$74&gt;=1000000,$J$74&lt;=50000000),AND($E$61="Euró",$J$74&gt;=3400,$J$74&lt;=162500)),1,0)*VLOOKUP($E$58,Paraméterek!$K$1:$L$4,2,0)*IF($O$76="Kizárás",1,1+$O$76),IF($E$61="Forint",0,2)))</f>
        <v>7060</v>
      </c>
      <c r="X76" s="60">
        <f ca="1">IF(OR(ISBLANK($E$52),X$69&gt;$E$55),"",ROUND(VLOOKUP(X$68,'MM-MC Tarifák'!$A$3:$AQ$67,HLOOKUP($E76,'MM-MC Tarifák'!$B$1:$AQ$2,2,0),0)/1000*$J$74*IF(OR(AND($E$61="Forint",$J$74&gt;=1000000,$J$74&lt;=50000000),AND($E$61="Euró",$J$74&gt;=3400,$J$74&lt;=162500)),1,0)*VLOOKUP($E$58,Paraméterek!$K$1:$L$4,2,0)*IF($O$76="Kizárás",1,1+$O$76),IF($E$61="Forint",0,2)))</f>
        <v>7906</v>
      </c>
      <c r="Y76" s="60">
        <f ca="1">IF(OR(ISBLANK($E$52),Y$69&gt;$E$55),"",ROUND(VLOOKUP(Y$68,'MM-MC Tarifák'!$A$3:$AQ$67,HLOOKUP($E76,'MM-MC Tarifák'!$B$1:$AQ$2,2,0),0)/1000*$J$74*IF(OR(AND($E$61="Forint",$J$74&gt;=1000000,$J$74&lt;=50000000),AND($E$61="Euró",$J$74&gt;=3400,$J$74&lt;=162500)),1,0)*VLOOKUP($E$58,Paraméterek!$K$1:$L$4,2,0)*IF($O$76="Kizárás",1,1+$O$76),IF($E$61="Forint",0,2)))</f>
        <v>8949</v>
      </c>
      <c r="Z76" s="60">
        <f ca="1">IF(OR(ISBLANK($E$52),Z$69&gt;$E$55),"",ROUND(VLOOKUP(Z$68,'MM-MC Tarifák'!$A$3:$AQ$67,HLOOKUP($E76,'MM-MC Tarifák'!$B$1:$AQ$2,2,0),0)/1000*$J$74*IF(OR(AND($E$61="Forint",$J$74&gt;=1000000,$J$74&lt;=50000000),AND($E$61="Euró",$J$74&gt;=3400,$J$74&lt;=162500)),1,0)*VLOOKUP($E$58,Paraméterek!$K$1:$L$4,2,0)*IF($O$76="Kizárás",1,1+$O$76),IF($E$61="Forint",0,2)))</f>
        <v>10368</v>
      </c>
      <c r="AA76" s="60">
        <f ca="1">IF(OR(ISBLANK($E$52),AA$69&gt;$E$55),"",ROUND(VLOOKUP(AA$68,'MM-MC Tarifák'!$A$3:$AQ$67,HLOOKUP($E76,'MM-MC Tarifák'!$B$1:$AQ$2,2,0),0)/1000*$J$74*IF(OR(AND($E$61="Forint",$J$74&gt;=1000000,$J$74&lt;=50000000),AND($E$61="Euró",$J$74&gt;=3400,$J$74&lt;=162500)),1,0)*VLOOKUP($E$58,Paraméterek!$K$1:$L$4,2,0)*IF($O$76="Kizárás",1,1+$O$76),IF($E$61="Forint",0,2)))</f>
        <v>11786</v>
      </c>
      <c r="AB76" s="60">
        <f ca="1">IF(OR(ISBLANK($E$52),AB$69&gt;$E$55),"",ROUND(VLOOKUP(AB$68,'MM-MC Tarifák'!$A$3:$AQ$67,HLOOKUP($E76,'MM-MC Tarifák'!$B$1:$AQ$2,2,0),0)/1000*$J$74*IF(OR(AND($E$61="Forint",$J$74&gt;=1000000,$J$74&lt;=50000000),AND($E$61="Euró",$J$74&gt;=3400,$J$74&lt;=162500)),1,0)*VLOOKUP($E$58,Paraméterek!$K$1:$L$4,2,0)*IF($O$76="Kizárás",1,1+$O$76),IF($E$61="Forint",0,2)))</f>
        <v>13214</v>
      </c>
      <c r="AC76" s="60">
        <f ca="1">IF(OR(ISBLANK($E$52),AC$69&gt;$E$55),"",ROUND(VLOOKUP(AC$68,'MM-MC Tarifák'!$A$3:$AQ$67,HLOOKUP($E76,'MM-MC Tarifák'!$B$1:$AQ$2,2,0),0)/1000*$J$74*IF(OR(AND($E$61="Forint",$J$74&gt;=1000000,$J$74&lt;=50000000),AND($E$61="Euró",$J$74&gt;=3400,$J$74&lt;=162500)),1,0)*VLOOKUP($E$58,Paraméterek!$K$1:$L$4,2,0)*IF($O$76="Kizárás",1,1+$O$76),IF($E$61="Forint",0,2)))</f>
        <v>14632</v>
      </c>
      <c r="AD76" s="60">
        <f ca="1">IF(OR(ISBLANK($E$52),AD$69&gt;$E$55),"",ROUND(VLOOKUP(AD$68,'MM-MC Tarifák'!$A$3:$AQ$67,HLOOKUP($E76,'MM-MC Tarifák'!$B$1:$AQ$2,2,0),0)/1000*$J$74*IF(OR(AND($E$61="Forint",$J$74&gt;=1000000,$J$74&lt;=50000000),AND($E$61="Euró",$J$74&gt;=3400,$J$74&lt;=162500)),1,0)*VLOOKUP($E$58,Paraméterek!$K$1:$L$4,2,0)*IF($O$76="Kizárás",1,1+$O$76),IF($E$61="Forint",0,2)))</f>
        <v>16410</v>
      </c>
      <c r="AE76" s="60">
        <f ca="1">IF(OR(ISBLANK($E$52),AE$69&gt;$E$55),"",ROUND(VLOOKUP(AE$68,'MM-MC Tarifák'!$A$3:$AQ$67,HLOOKUP($E76,'MM-MC Tarifák'!$B$1:$AQ$2,2,0),0)/1000*$J$74*IF(OR(AND($E$61="Forint",$J$74&gt;=1000000,$J$74&lt;=50000000),AND($E$61="Euró",$J$74&gt;=3400,$J$74&lt;=162500)),1,0)*VLOOKUP($E$58,Paraméterek!$K$1:$L$4,2,0)*IF($O$76="Kizárás",1,1+$O$76),IF($E$61="Forint",0,2)))</f>
        <v>18248</v>
      </c>
      <c r="AF76" s="60">
        <f ca="1">IF(OR(ISBLANK($E$52),AF$69&gt;$E$55),"",ROUND(VLOOKUP(AF$68,'MM-MC Tarifák'!$A$3:$AQ$67,HLOOKUP($E76,'MM-MC Tarifák'!$B$1:$AQ$2,2,0),0)/1000*$J$74*IF(OR(AND($E$61="Forint",$J$74&gt;=1000000,$J$74&lt;=50000000),AND($E$61="Euró",$J$74&gt;=3400,$J$74&lt;=162500)),1,0)*VLOOKUP($E$58,Paraméterek!$K$1:$L$4,2,0)*IF($O$76="Kizárás",1,1+$O$76),IF($E$61="Forint",0,2)))</f>
        <v>20077</v>
      </c>
      <c r="AG76" s="60">
        <f ca="1">IF(OR(ISBLANK($E$52),AG$69&gt;$E$55),"",ROUND(VLOOKUP(AG$68,'MM-MC Tarifák'!$A$3:$AQ$67,HLOOKUP($E76,'MM-MC Tarifák'!$B$1:$AQ$2,2,0),0)/1000*$J$74*IF(OR(AND($E$61="Forint",$J$74&gt;=1000000,$J$74&lt;=50000000),AND($E$61="Euró",$J$74&gt;=3400,$J$74&lt;=162500)),1,0)*VLOOKUP($E$58,Paraméterek!$K$1:$L$4,2,0)*IF($O$76="Kizárás",1,1+$O$76),IF($E$61="Forint",0,2)))</f>
        <v>21906</v>
      </c>
      <c r="AH76" s="60">
        <f ca="1">IF(OR(ISBLANK($E$52),AH$69&gt;$E$55),"",ROUND(VLOOKUP(AH$68,'MM-MC Tarifák'!$A$3:$AQ$67,HLOOKUP($E76,'MM-MC Tarifák'!$B$1:$AQ$2,2,0),0)/1000*$J$74*IF(OR(AND($E$61="Forint",$J$74&gt;=1000000,$J$74&lt;=50000000),AND($E$61="Euró",$J$74&gt;=3400,$J$74&lt;=162500)),1,0)*VLOOKUP($E$58,Paraméterek!$K$1:$L$4,2,0)*IF($O$76="Kizárás",1,1+$O$76),IF($E$61="Forint",0,2)))</f>
        <v>23735</v>
      </c>
      <c r="AI76" s="60">
        <f ca="1">IF(OR(ISBLANK($E$52),AI$69&gt;$E$55),"",ROUND(VLOOKUP(AI$68,'MM-MC Tarifák'!$A$3:$AQ$67,HLOOKUP($E76,'MM-MC Tarifák'!$B$1:$AQ$2,2,0),0)/1000*$J$74*IF(OR(AND($E$61="Forint",$J$74&gt;=1000000,$J$74&lt;=50000000),AND($E$61="Euró",$J$74&gt;=3400,$J$74&lt;=162500)),1,0)*VLOOKUP($E$58,Paraméterek!$K$1:$L$4,2,0)*IF($O$76="Kizárás",1,1+$O$76),IF($E$61="Forint",0,2)))</f>
        <v>26641</v>
      </c>
      <c r="AJ76" s="60">
        <f ca="1">IF(OR(ISBLANK($E$52),AJ$69&gt;$E$55),"",ROUND(VLOOKUP(AJ$68,'MM-MC Tarifák'!$A$3:$AQ$67,HLOOKUP($E76,'MM-MC Tarifák'!$B$1:$AQ$2,2,0),0)/1000*$J$74*IF(OR(AND($E$61="Forint",$J$74&gt;=1000000,$J$74&lt;=50000000),AND($E$61="Euró",$J$74&gt;=3400,$J$74&lt;=162500)),1,0)*VLOOKUP($E$58,Paraméterek!$K$1:$L$4,2,0)*IF($O$76="Kizárás",1,1+$O$76),IF($E$61="Forint",0,2)))</f>
        <v>28863</v>
      </c>
      <c r="AK76" s="60">
        <f ca="1">IF(OR(ISBLANK($E$52),AK$69&gt;$E$55),"",ROUND(VLOOKUP(AK$68,'MM-MC Tarifák'!$A$3:$AQ$67,HLOOKUP($E76,'MM-MC Tarifák'!$B$1:$AQ$2,2,0),0)/1000*$J$74*IF(OR(AND($E$61="Forint",$J$74&gt;=1000000,$J$74&lt;=50000000),AND($E$61="Euró",$J$74&gt;=3400,$J$74&lt;=162500)),1,0)*VLOOKUP($E$58,Paraméterek!$K$1:$L$4,2,0)*IF($O$76="Kizárás",1,1+$O$76),IF($E$61="Forint",0,2)))</f>
        <v>31085</v>
      </c>
      <c r="AL76" s="60">
        <f ca="1">IF(OR(ISBLANK($E$52),AL$69&gt;$E$55),"",ROUND(VLOOKUP(AL$68,'MM-MC Tarifák'!$A$3:$AQ$67,HLOOKUP($E76,'MM-MC Tarifák'!$B$1:$AQ$2,2,0),0)/1000*$J$74*IF(OR(AND($E$61="Forint",$J$74&gt;=1000000,$J$74&lt;=50000000),AND($E$61="Euró",$J$74&gt;=3400,$J$74&lt;=162500)),1,0)*VLOOKUP($E$58,Paraméterek!$K$1:$L$4,2,0)*IF($O$76="Kizárás",1,1+$O$76),IF($E$61="Forint",0,2)))</f>
        <v>33308</v>
      </c>
      <c r="AM76" s="60">
        <f ca="1">IF(OR(ISBLANK($E$52),AM$69&gt;$E$55),"",ROUND(VLOOKUP(AM$68,'MM-MC Tarifák'!$A$3:$AQ$67,HLOOKUP($E76,'MM-MC Tarifák'!$B$1:$AQ$2,2,0),0)/1000*$J$74*IF(OR(AND($E$61="Forint",$J$74&gt;=1000000,$J$74&lt;=50000000),AND($E$61="Euró",$J$74&gt;=3400,$J$74&lt;=162500)),1,0)*VLOOKUP($E$58,Paraméterek!$K$1:$L$4,2,0)*IF($O$76="Kizárás",1,1+$O$76),IF($E$61="Forint",0,2)))</f>
        <v>35530</v>
      </c>
      <c r="AN76" s="60">
        <f ca="1">IF(OR(ISBLANK($E$52),AN$69&gt;$E$55),"",ROUND(VLOOKUP(AN$68,'MM-MC Tarifák'!$A$3:$AQ$67,HLOOKUP($E76,'MM-MC Tarifák'!$B$1:$AQ$2,2,0),0)/1000*$J$74*IF(OR(AND($E$61="Forint",$J$74&gt;=1000000,$J$74&lt;=50000000),AND($E$61="Euró",$J$74&gt;=3400,$J$74&lt;=162500)),1,0)*VLOOKUP($E$58,Paraméterek!$K$1:$L$4,2,0)*IF($O$76="Kizárás",1,1+$O$76),IF($E$61="Forint",0,2)))</f>
        <v>39000</v>
      </c>
      <c r="AO76" s="60">
        <f ca="1">IF(OR(ISBLANK($E$52),AO$69&gt;$E$55),"",ROUND(VLOOKUP(AO$68,'MM-MC Tarifák'!$A$3:$AQ$67,HLOOKUP($E76,'MM-MC Tarifák'!$B$1:$AQ$2,2,0),0)/1000*$J$74*IF(OR(AND($E$61="Forint",$J$74&gt;=1000000,$J$74&lt;=50000000),AND($E$61="Euró",$J$74&gt;=3400,$J$74&lt;=162500)),1,0)*VLOOKUP($E$58,Paraméterek!$K$1:$L$4,2,0)*IF($O$76="Kizárás",1,1+$O$76),IF($E$61="Forint",0,2)))</f>
        <v>42222</v>
      </c>
      <c r="AP76" s="60">
        <f ca="1">IF(OR(ISBLANK($E$52),AP$69&gt;$E$55),"",ROUND(VLOOKUP(AP$68,'MM-MC Tarifák'!$A$3:$AQ$67,HLOOKUP($E76,'MM-MC Tarifák'!$B$1:$AQ$2,2,0),0)/1000*$J$74*IF(OR(AND($E$61="Forint",$J$74&gt;=1000000,$J$74&lt;=50000000),AND($E$61="Euró",$J$74&gt;=3400,$J$74&lt;=162500)),1,0)*VLOOKUP($E$58,Paraméterek!$K$1:$L$4,2,0)*IF($O$76="Kizárás",1,1+$O$76),IF($E$61="Forint",0,2)))</f>
        <v>45444</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2500000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613</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300000</v>
      </c>
      <c r="K83" s="197"/>
      <c r="L83" s="195" t="str">
        <f>IF($G$5="MetMax",MetMax!$J$59,IF($G$5="MetCare",MetCare!$J$63,Nelson!$N$40))</f>
        <v>Ezt kérem!</v>
      </c>
      <c r="M83" s="195"/>
      <c r="N83" s="73"/>
      <c r="O83" s="16">
        <f>IF(ISBLANK($B$65),0,VLOOKUP($B$65,'Foglalkozási pótdíjak'!$A$3:$K$494,9,0))</f>
        <v>0</v>
      </c>
      <c r="Q83" s="59">
        <f ca="1">IF($L$83="Ezt kérem!",MIN($E$53+$E$55-1,59,64),"")</f>
        <v>57</v>
      </c>
      <c r="R83" s="60">
        <f ca="1">IF(OR(ISBLANK($E$52),R$69&gt;$E$55),"",ROUND(VLOOKUP(R$68,'MM-MC Tarifák'!$A$3:$AQ$67,HLOOKUP($E83,'MM-MC Tarifák'!$B$1:$AQ$2,2,0),0)/1000*$J$83*IF(OR(AND($E$61="Forint",$J$83&gt;=100000,$J$83&lt;=1000000),AND($E$61="Euró",$J$83&gt;=340,$J$83&lt;=3250)),1,0)*VLOOKUP($E$58,Paraméterek!$K$1:$L$4,2,0)*IF($O$83="Kizárás",1,1+$O$83),IF($E$61="Forint",0,2)))</f>
        <v>1698</v>
      </c>
      <c r="S83" s="60">
        <f ca="1">IF(OR(ISBLANK($E$52),S$69&gt;$E$55),"",IF(S$68&gt;64,0,$R$83))</f>
        <v>1698</v>
      </c>
      <c r="T83" s="60">
        <f t="shared" ref="T83:AP83" ca="1" si="4">IF(OR(ISBLANK($E$52),T$69&gt;$E$55),"",IF(T$68&gt;64,0,$R$83))</f>
        <v>1698</v>
      </c>
      <c r="U83" s="60">
        <f t="shared" ca="1" si="4"/>
        <v>1698</v>
      </c>
      <c r="V83" s="60">
        <f t="shared" ca="1" si="4"/>
        <v>1698</v>
      </c>
      <c r="W83" s="60">
        <f t="shared" ca="1" si="4"/>
        <v>1698</v>
      </c>
      <c r="X83" s="60">
        <f t="shared" ca="1" si="4"/>
        <v>1698</v>
      </c>
      <c r="Y83" s="60">
        <f t="shared" ca="1" si="4"/>
        <v>1698</v>
      </c>
      <c r="Z83" s="60">
        <f t="shared" ca="1" si="4"/>
        <v>1698</v>
      </c>
      <c r="AA83" s="60">
        <f t="shared" ca="1" si="4"/>
        <v>1698</v>
      </c>
      <c r="AB83" s="60">
        <f t="shared" ca="1" si="4"/>
        <v>1698</v>
      </c>
      <c r="AC83" s="60">
        <f t="shared" ca="1" si="4"/>
        <v>1698</v>
      </c>
      <c r="AD83" s="60">
        <f t="shared" ca="1" si="4"/>
        <v>1698</v>
      </c>
      <c r="AE83" s="60">
        <f t="shared" ca="1" si="4"/>
        <v>1698</v>
      </c>
      <c r="AF83" s="60">
        <f t="shared" ca="1" si="4"/>
        <v>1698</v>
      </c>
      <c r="AG83" s="60">
        <f t="shared" ca="1" si="4"/>
        <v>1698</v>
      </c>
      <c r="AH83" s="60">
        <f t="shared" ca="1" si="4"/>
        <v>1698</v>
      </c>
      <c r="AI83" s="60">
        <f t="shared" ca="1" si="4"/>
        <v>1698</v>
      </c>
      <c r="AJ83" s="60">
        <f t="shared" ca="1" si="4"/>
        <v>1698</v>
      </c>
      <c r="AK83" s="60">
        <f t="shared" ca="1" si="4"/>
        <v>1698</v>
      </c>
      <c r="AL83" s="60">
        <f t="shared" ca="1" si="4"/>
        <v>1698</v>
      </c>
      <c r="AM83" s="60">
        <f t="shared" ca="1" si="4"/>
        <v>1698</v>
      </c>
      <c r="AN83" s="60">
        <f t="shared" ca="1" si="4"/>
        <v>1698</v>
      </c>
      <c r="AO83" s="60">
        <f t="shared" ca="1" si="4"/>
        <v>1698</v>
      </c>
      <c r="AP83" s="60">
        <f t="shared" ca="1" si="4"/>
        <v>1698</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5000</v>
      </c>
      <c r="K87" s="197"/>
      <c r="L87" s="195" t="str">
        <f>IF($G$5="MetMax",MetMax!$J$67,IF($G$5="MetCare",MetCare!$J$71,Nelson!$N$44))</f>
        <v>Ezt kérem!</v>
      </c>
      <c r="M87" s="195"/>
      <c r="N87" s="73"/>
      <c r="O87" s="16">
        <f>IF(ISBLANK($B$65),0,VLOOKUP($B$65,'Foglalkozási pótdíjak'!$A$3:$K$494,11,0))</f>
        <v>0</v>
      </c>
      <c r="Q87" s="59">
        <f ca="1">IF($L$87="Ezt kérem!",MIN($E$53+$E$55-1,59,64),"")</f>
        <v>57</v>
      </c>
      <c r="R87" s="60">
        <f ca="1">IF(OR(ISBLANK($E$52),R$69&gt;$E$55),"",ROUND(VLOOKUP(R$68,'MM-MC Tarifák'!$A$3:$AQ$67,HLOOKUP($E87,'MM-MC Tarifák'!$B$1:$AQ$2,2,0),0)/1000*$J$87*IF(OR(AND($E$61="Forint",$J$87&gt;=2000,$J$87&lt;=40000),AND($E$61="Euró",$J$87&gt;=7,$J$87&lt;=130)),1,0)*VLOOKUP($E$58,Paraméterek!$K$1:$L$4,2,0)*IF($O$87="Kizárás",1,1+$O$87),IF($E$61="Forint",0,2)))</f>
        <v>1455</v>
      </c>
      <c r="S87" s="60">
        <f ca="1">IF(OR(ISBLANK($E$52),S$69&gt;$E$55),"",IF(S$68&gt;64,0,$R$87))</f>
        <v>1455</v>
      </c>
      <c r="T87" s="60">
        <f t="shared" ref="T87:AP87" ca="1" si="5">IF(OR(ISBLANK($E$52),T$69&gt;$E$55),"",IF(T$68&gt;64,0,$R$87))</f>
        <v>1455</v>
      </c>
      <c r="U87" s="60">
        <f t="shared" ca="1" si="5"/>
        <v>1455</v>
      </c>
      <c r="V87" s="60">
        <f t="shared" ca="1" si="5"/>
        <v>1455</v>
      </c>
      <c r="W87" s="60">
        <f t="shared" ca="1" si="5"/>
        <v>1455</v>
      </c>
      <c r="X87" s="60">
        <f t="shared" ca="1" si="5"/>
        <v>1455</v>
      </c>
      <c r="Y87" s="60">
        <f t="shared" ca="1" si="5"/>
        <v>1455</v>
      </c>
      <c r="Z87" s="60">
        <f t="shared" ca="1" si="5"/>
        <v>1455</v>
      </c>
      <c r="AA87" s="60">
        <f t="shared" ca="1" si="5"/>
        <v>1455</v>
      </c>
      <c r="AB87" s="60">
        <f t="shared" ca="1" si="5"/>
        <v>1455</v>
      </c>
      <c r="AC87" s="60">
        <f t="shared" ca="1" si="5"/>
        <v>1455</v>
      </c>
      <c r="AD87" s="60">
        <f t="shared" ca="1" si="5"/>
        <v>1455</v>
      </c>
      <c r="AE87" s="60">
        <f t="shared" ca="1" si="5"/>
        <v>1455</v>
      </c>
      <c r="AF87" s="60">
        <f t="shared" ca="1" si="5"/>
        <v>1455</v>
      </c>
      <c r="AG87" s="60">
        <f t="shared" ca="1" si="5"/>
        <v>1455</v>
      </c>
      <c r="AH87" s="60">
        <f t="shared" ca="1" si="5"/>
        <v>1455</v>
      </c>
      <c r="AI87" s="60">
        <f t="shared" ca="1" si="5"/>
        <v>1455</v>
      </c>
      <c r="AJ87" s="60">
        <f t="shared" ca="1" si="5"/>
        <v>1455</v>
      </c>
      <c r="AK87" s="60">
        <f t="shared" ca="1" si="5"/>
        <v>1455</v>
      </c>
      <c r="AL87" s="60">
        <f t="shared" ca="1" si="5"/>
        <v>1455</v>
      </c>
      <c r="AM87" s="60">
        <f t="shared" ca="1" si="5"/>
        <v>1455</v>
      </c>
      <c r="AN87" s="60">
        <f t="shared" ca="1" si="5"/>
        <v>1455</v>
      </c>
      <c r="AO87" s="60">
        <f t="shared" ca="1" si="5"/>
        <v>1455</v>
      </c>
      <c r="AP87" s="60">
        <f t="shared" ca="1" si="5"/>
        <v>1455</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200000</v>
      </c>
      <c r="K90" s="199"/>
      <c r="L90" s="195">
        <f>IF($G$5="MetMax",MetMax!$J$76,IF($G$5="MetCare",MetCare!$J$80,Nelson!$N$47))</f>
        <v>0</v>
      </c>
      <c r="M90" s="195"/>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308</v>
      </c>
      <c r="AP90" s="60">
        <f ca="1">IF(OR(ISBLANK($E$52),AP$69&gt;$E$55),"",ROUND(VLOOKUP(AP$68,'MM-MC Tarifák'!$A$3:$AQ$67,HLOOKUP($E90,'MM-MC Tarifák'!$B$1:$AQ$2,2,0),0)/1000*$J$90*IF(OR(AND($E$61="Forint",$J$90&gt;=100000,$J$90&lt;=1000000),AND($E$61="Euró",$J$90&gt;=340,$J$90&lt;=3250)),1,0)*VLOOKUP($E$58,Paraméterek!$K$1:$L$4,2,0)*IF($O$90="Kizárás",1,1+$O$90),IF($E$61="Forint",0,2)))</f>
        <v>308</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57</v>
      </c>
      <c r="R99" s="60">
        <f ca="1">IF(SUMIF($L$70:$M$94,"Ezt kérem!",R$70:R$94)-SUMIF($N$70:$N$94,"!",R$70:R$94)&lt;IF($E$61="Forint",VLOOKUP($E$58,Paraméterek!$K$1:$Q$4,4,0),IF($E$59="Postai",SUMIF($L$70:$M$94,"Ezt kérem!",R$70:R$94)-SUMIF($N$70:$N$94,"!",R$70:R$94)+1,VLOOKUP($E$58,Paraméterek!$K$1:$Q$4,7,0))),0,SUMIF($L$70:$M$94,"Ezt kérem!",R$70:R$94)-SUMIF($N$70:$N$94,"!",R$70:R$94))</f>
        <v>3153</v>
      </c>
      <c r="S99" s="60">
        <f ca="1">IF(SUMIF($L$70:$M$94,"Ezt kérem!",S$70:S$94)-SUMIF($N$70:$N$94,"!",S$70:S$94)&lt;IF($E$61="Forint",VLOOKUP($E$58,Paraméterek!$K$1:$Q$4,4,0),IF($E$59="Postai",SUMIF($L$70:$M$94,"Ezt kérem!",S$70:S$94)-SUMIF($N$70:$N$94,"!",S$70:S$94)+1,VLOOKUP($E$58,Paraméterek!$K$1:$Q$4,7,0))),0,SUMIF($L$70:$M$94,"Ezt kérem!",S$70:S$94)-SUMIF($N$70:$N$94,"!",S$70:S$94))</f>
        <v>3153</v>
      </c>
      <c r="T99" s="60">
        <f ca="1">IF(SUMIF($L$70:$M$94,"Ezt kérem!",T$70:T$94)-SUMIF($N$70:$N$94,"!",T$70:T$94)&lt;IF($E$61="Forint",VLOOKUP($E$58,Paraméterek!$K$1:$Q$4,4,0),IF($E$59="Postai",SUMIF($L$70:$M$94,"Ezt kérem!",T$70:T$94)-SUMIF($N$70:$N$94,"!",T$70:T$94)+1,VLOOKUP($E$58,Paraméterek!$K$1:$Q$4,7,0))),0,SUMIF($L$70:$M$94,"Ezt kérem!",T$70:T$94)-SUMIF($N$70:$N$94,"!",T$70:T$94))</f>
        <v>3153</v>
      </c>
      <c r="U99" s="60">
        <f ca="1">IF(SUMIF($L$70:$M$94,"Ezt kérem!",U$70:U$94)-SUMIF($N$70:$N$94,"!",U$70:U$94)&lt;IF($E$61="Forint",VLOOKUP($E$58,Paraméterek!$K$1:$Q$4,4,0),IF($E$59="Postai",SUMIF($L$70:$M$94,"Ezt kérem!",U$70:U$94)-SUMIF($N$70:$N$94,"!",U$70:U$94)+1,VLOOKUP($E$58,Paraméterek!$K$1:$Q$4,7,0))),0,SUMIF($L$70:$M$94,"Ezt kérem!",U$70:U$94)-SUMIF($N$70:$N$94,"!",U$70:U$94))</f>
        <v>3153</v>
      </c>
      <c r="V99" s="60">
        <f ca="1">IF(SUMIF($L$70:$M$94,"Ezt kérem!",V$70:V$94)-SUMIF($N$70:$N$94,"!",V$70:V$94)&lt;IF($E$61="Forint",VLOOKUP($E$58,Paraméterek!$K$1:$Q$4,4,0),IF($E$59="Postai",SUMIF($L$70:$M$94,"Ezt kérem!",V$70:V$94)-SUMIF($N$70:$N$94,"!",V$70:V$94)+1,VLOOKUP($E$58,Paraméterek!$K$1:$Q$4,7,0))),0,SUMIF($L$70:$M$94,"Ezt kérem!",V$70:V$94)-SUMIF($N$70:$N$94,"!",V$70:V$94))</f>
        <v>3153</v>
      </c>
      <c r="W99" s="60">
        <f ca="1">IF(SUMIF($L$70:$M$94,"Ezt kérem!",W$70:W$94)-SUMIF($N$70:$N$94,"!",W$70:W$94)&lt;IF($E$61="Forint",VLOOKUP($E$58,Paraméterek!$K$1:$Q$4,4,0),IF($E$59="Postai",SUMIF($L$70:$M$94,"Ezt kérem!",W$70:W$94)-SUMIF($N$70:$N$94,"!",W$70:W$94)+1,VLOOKUP($E$58,Paraméterek!$K$1:$Q$4,7,0))),0,SUMIF($L$70:$M$94,"Ezt kérem!",W$70:W$94)-SUMIF($N$70:$N$94,"!",W$70:W$94))</f>
        <v>3153</v>
      </c>
      <c r="X99" s="60">
        <f ca="1">IF(SUMIF($L$70:$M$94,"Ezt kérem!",X$70:X$94)-SUMIF($N$70:$N$94,"!",X$70:X$94)&lt;IF($E$61="Forint",VLOOKUP($E$58,Paraméterek!$K$1:$Q$4,4,0),IF($E$59="Postai",SUMIF($L$70:$M$94,"Ezt kérem!",X$70:X$94)-SUMIF($N$70:$N$94,"!",X$70:X$94)+1,VLOOKUP($E$58,Paraméterek!$K$1:$Q$4,7,0))),0,SUMIF($L$70:$M$94,"Ezt kérem!",X$70:X$94)-SUMIF($N$70:$N$94,"!",X$70:X$94))</f>
        <v>3153</v>
      </c>
      <c r="Y99" s="60">
        <f ca="1">IF(SUMIF($L$70:$M$94,"Ezt kérem!",Y$70:Y$94)-SUMIF($N$70:$N$94,"!",Y$70:Y$94)&lt;IF($E$61="Forint",VLOOKUP($E$58,Paraméterek!$K$1:$Q$4,4,0),IF($E$59="Postai",SUMIF($L$70:$M$94,"Ezt kérem!",Y$70:Y$94)-SUMIF($N$70:$N$94,"!",Y$70:Y$94)+1,VLOOKUP($E$58,Paraméterek!$K$1:$Q$4,7,0))),0,SUMIF($L$70:$M$94,"Ezt kérem!",Y$70:Y$94)-SUMIF($N$70:$N$94,"!",Y$70:Y$94))</f>
        <v>3153</v>
      </c>
      <c r="Z99" s="60">
        <f ca="1">IF(SUMIF($L$70:$M$94,"Ezt kérem!",Z$70:Z$94)-SUMIF($N$70:$N$94,"!",Z$70:Z$94)&lt;IF($E$61="Forint",VLOOKUP($E$58,Paraméterek!$K$1:$Q$4,4,0),IF($E$59="Postai",SUMIF($L$70:$M$94,"Ezt kérem!",Z$70:Z$94)-SUMIF($N$70:$N$94,"!",Z$70:Z$94)+1,VLOOKUP($E$58,Paraméterek!$K$1:$Q$4,7,0))),0,SUMIF($L$70:$M$94,"Ezt kérem!",Z$70:Z$94)-SUMIF($N$70:$N$94,"!",Z$70:Z$94))</f>
        <v>3153</v>
      </c>
      <c r="AA99" s="60">
        <f ca="1">IF(SUMIF($L$70:$M$94,"Ezt kérem!",AA$70:AA$94)-SUMIF($N$70:$N$94,"!",AA$70:AA$94)&lt;IF($E$61="Forint",VLOOKUP($E$58,Paraméterek!$K$1:$Q$4,4,0),IF($E$59="Postai",SUMIF($L$70:$M$94,"Ezt kérem!",AA$70:AA$94)-SUMIF($N$70:$N$94,"!",AA$70:AA$94)+1,VLOOKUP($E$58,Paraméterek!$K$1:$Q$4,7,0))),0,SUMIF($L$70:$M$94,"Ezt kérem!",AA$70:AA$94)-SUMIF($N$70:$N$94,"!",AA$70:AA$94))</f>
        <v>3153</v>
      </c>
      <c r="AB99" s="60">
        <f ca="1">IF(SUMIF($L$70:$M$94,"Ezt kérem!",AB$70:AB$94)-SUMIF($N$70:$N$94,"!",AB$70:AB$94)&lt;IF($E$61="Forint",VLOOKUP($E$58,Paraméterek!$K$1:$Q$4,4,0),IF($E$59="Postai",SUMIF($L$70:$M$94,"Ezt kérem!",AB$70:AB$94)-SUMIF($N$70:$N$94,"!",AB$70:AB$94)+1,VLOOKUP($E$58,Paraméterek!$K$1:$Q$4,7,0))),0,SUMIF($L$70:$M$94,"Ezt kérem!",AB$70:AB$94)-SUMIF($N$70:$N$94,"!",AB$70:AB$94))</f>
        <v>3153</v>
      </c>
      <c r="AC99" s="60">
        <f ca="1">IF(SUMIF($L$70:$M$94,"Ezt kérem!",AC$70:AC$94)-SUMIF($N$70:$N$94,"!",AC$70:AC$94)&lt;IF($E$61="Forint",VLOOKUP($E$58,Paraméterek!$K$1:$Q$4,4,0),IF($E$59="Postai",SUMIF($L$70:$M$94,"Ezt kérem!",AC$70:AC$94)-SUMIF($N$70:$N$94,"!",AC$70:AC$94)+1,VLOOKUP($E$58,Paraméterek!$K$1:$Q$4,7,0))),0,SUMIF($L$70:$M$94,"Ezt kérem!",AC$70:AC$94)-SUMIF($N$70:$N$94,"!",AC$70:AC$94))</f>
        <v>3153</v>
      </c>
      <c r="AD99" s="60">
        <f ca="1">IF(SUMIF($L$70:$M$94,"Ezt kérem!",AD$70:AD$94)-SUMIF($N$70:$N$94,"!",AD$70:AD$94)&lt;IF($E$61="Forint",VLOOKUP($E$58,Paraméterek!$K$1:$Q$4,4,0),IF($E$59="Postai",SUMIF($L$70:$M$94,"Ezt kérem!",AD$70:AD$94)-SUMIF($N$70:$N$94,"!",AD$70:AD$94)+1,VLOOKUP($E$58,Paraméterek!$K$1:$Q$4,7,0))),0,SUMIF($L$70:$M$94,"Ezt kérem!",AD$70:AD$94)-SUMIF($N$70:$N$94,"!",AD$70:AD$94))</f>
        <v>3153</v>
      </c>
      <c r="AE99" s="60">
        <f ca="1">IF(SUMIF($L$70:$M$94,"Ezt kérem!",AE$70:AE$94)-SUMIF($N$70:$N$94,"!",AE$70:AE$94)&lt;IF($E$61="Forint",VLOOKUP($E$58,Paraméterek!$K$1:$Q$4,4,0),IF($E$59="Postai",SUMIF($L$70:$M$94,"Ezt kérem!",AE$70:AE$94)-SUMIF($N$70:$N$94,"!",AE$70:AE$94)+1,VLOOKUP($E$58,Paraméterek!$K$1:$Q$4,7,0))),0,SUMIF($L$70:$M$94,"Ezt kérem!",AE$70:AE$94)-SUMIF($N$70:$N$94,"!",AE$70:AE$94))</f>
        <v>3153</v>
      </c>
      <c r="AF99" s="60">
        <f ca="1">IF(SUMIF($L$70:$M$94,"Ezt kérem!",AF$70:AF$94)-SUMIF($N$70:$N$94,"!",AF$70:AF$94)&lt;IF($E$61="Forint",VLOOKUP($E$58,Paraméterek!$K$1:$Q$4,4,0),IF($E$59="Postai",SUMIF($L$70:$M$94,"Ezt kérem!",AF$70:AF$94)-SUMIF($N$70:$N$94,"!",AF$70:AF$94)+1,VLOOKUP($E$58,Paraméterek!$K$1:$Q$4,7,0))),0,SUMIF($L$70:$M$94,"Ezt kérem!",AF$70:AF$94)-SUMIF($N$70:$N$94,"!",AF$70:AF$94))</f>
        <v>3153</v>
      </c>
      <c r="AG99" s="60">
        <f ca="1">IF(SUMIF($L$70:$M$94,"Ezt kérem!",AG$70:AG$94)-SUMIF($N$70:$N$94,"!",AG$70:AG$94)&lt;IF($E$61="Forint",VLOOKUP($E$58,Paraméterek!$K$1:$Q$4,4,0),IF($E$59="Postai",SUMIF($L$70:$M$94,"Ezt kérem!",AG$70:AG$94)-SUMIF($N$70:$N$94,"!",AG$70:AG$94)+1,VLOOKUP($E$58,Paraméterek!$K$1:$Q$4,7,0))),0,SUMIF($L$70:$M$94,"Ezt kérem!",AG$70:AG$94)-SUMIF($N$70:$N$94,"!",AG$70:AG$94))</f>
        <v>3153</v>
      </c>
      <c r="AH99" s="60">
        <f ca="1">IF(SUMIF($L$70:$M$94,"Ezt kérem!",AH$70:AH$94)-SUMIF($N$70:$N$94,"!",AH$70:AH$94)&lt;IF($E$61="Forint",VLOOKUP($E$58,Paraméterek!$K$1:$Q$4,4,0),IF($E$59="Postai",SUMIF($L$70:$M$94,"Ezt kérem!",AH$70:AH$94)-SUMIF($N$70:$N$94,"!",AH$70:AH$94)+1,VLOOKUP($E$58,Paraméterek!$K$1:$Q$4,7,0))),0,SUMIF($L$70:$M$94,"Ezt kérem!",AH$70:AH$94)-SUMIF($N$70:$N$94,"!",AH$70:AH$94))</f>
        <v>3153</v>
      </c>
      <c r="AI99" s="60">
        <f ca="1">IF(SUMIF($L$70:$M$94,"Ezt kérem!",AI$70:AI$94)-SUMIF($N$70:$N$94,"!",AI$70:AI$94)&lt;IF($E$61="Forint",VLOOKUP($E$58,Paraméterek!$K$1:$Q$4,4,0),IF($E$59="Postai",SUMIF($L$70:$M$94,"Ezt kérem!",AI$70:AI$94)-SUMIF($N$70:$N$94,"!",AI$70:AI$94)+1,VLOOKUP($E$58,Paraméterek!$K$1:$Q$4,7,0))),0,SUMIF($L$70:$M$94,"Ezt kérem!",AI$70:AI$94)-SUMIF($N$70:$N$94,"!",AI$70:AI$94))</f>
        <v>3153</v>
      </c>
      <c r="AJ99" s="60">
        <f ca="1">IF(SUMIF($L$70:$M$94,"Ezt kérem!",AJ$70:AJ$94)-SUMIF($N$70:$N$94,"!",AJ$70:AJ$94)&lt;IF($E$61="Forint",VLOOKUP($E$58,Paraméterek!$K$1:$Q$4,4,0),IF($E$59="Postai",SUMIF($L$70:$M$94,"Ezt kérem!",AJ$70:AJ$94)-SUMIF($N$70:$N$94,"!",AJ$70:AJ$94)+1,VLOOKUP($E$58,Paraméterek!$K$1:$Q$4,7,0))),0,SUMIF($L$70:$M$94,"Ezt kérem!",AJ$70:AJ$94)-SUMIF($N$70:$N$94,"!",AJ$70:AJ$94))</f>
        <v>3153</v>
      </c>
      <c r="AK99" s="60">
        <f ca="1">IF(SUMIF($L$70:$M$94,"Ezt kérem!",AK$70:AK$94)-SUMIF($N$70:$N$94,"!",AK$70:AK$94)&lt;IF($E$61="Forint",VLOOKUP($E$58,Paraméterek!$K$1:$Q$4,4,0),IF($E$59="Postai",SUMIF($L$70:$M$94,"Ezt kérem!",AK$70:AK$94)-SUMIF($N$70:$N$94,"!",AK$70:AK$94)+1,VLOOKUP($E$58,Paraméterek!$K$1:$Q$4,7,0))),0,SUMIF($L$70:$M$94,"Ezt kérem!",AK$70:AK$94)-SUMIF($N$70:$N$94,"!",AK$70:AK$94))</f>
        <v>3153</v>
      </c>
      <c r="AL99" s="60">
        <f ca="1">IF(SUMIF($L$70:$M$94,"Ezt kérem!",AL$70:AL$94)-SUMIF($N$70:$N$94,"!",AL$70:AL$94)&lt;IF($E$61="Forint",VLOOKUP($E$58,Paraméterek!$K$1:$Q$4,4,0),IF($E$59="Postai",SUMIF($L$70:$M$94,"Ezt kérem!",AL$70:AL$94)-SUMIF($N$70:$N$94,"!",AL$70:AL$94)+1,VLOOKUP($E$58,Paraméterek!$K$1:$Q$4,7,0))),0,SUMIF($L$70:$M$94,"Ezt kérem!",AL$70:AL$94)-SUMIF($N$70:$N$94,"!",AL$70:AL$94))</f>
        <v>3153</v>
      </c>
      <c r="AM99" s="60">
        <f ca="1">IF(SUMIF($L$70:$M$94,"Ezt kérem!",AM$70:AM$94)-SUMIF($N$70:$N$94,"!",AM$70:AM$94)&lt;IF($E$61="Forint",VLOOKUP($E$58,Paraméterek!$K$1:$Q$4,4,0),IF($E$59="Postai",SUMIF($L$70:$M$94,"Ezt kérem!",AM$70:AM$94)-SUMIF($N$70:$N$94,"!",AM$70:AM$94)+1,VLOOKUP($E$58,Paraméterek!$K$1:$Q$4,7,0))),0,SUMIF($L$70:$M$94,"Ezt kérem!",AM$70:AM$94)-SUMIF($N$70:$N$94,"!",AM$70:AM$94))</f>
        <v>3153</v>
      </c>
      <c r="AN99" s="60">
        <f ca="1">IF(SUMIF($L$70:$M$94,"Ezt kérem!",AN$70:AN$94)-SUMIF($N$70:$N$94,"!",AN$70:AN$94)&lt;IF($E$61="Forint",VLOOKUP($E$58,Paraméterek!$K$1:$Q$4,4,0),IF($E$59="Postai",SUMIF($L$70:$M$94,"Ezt kérem!",AN$70:AN$94)-SUMIF($N$70:$N$94,"!",AN$70:AN$94)+1,VLOOKUP($E$58,Paraméterek!$K$1:$Q$4,7,0))),0,SUMIF($L$70:$M$94,"Ezt kérem!",AN$70:AN$94)-SUMIF($N$70:$N$94,"!",AN$70:AN$94))</f>
        <v>3153</v>
      </c>
      <c r="AO99" s="60">
        <f ca="1">IF(SUMIF($L$70:$M$94,"Ezt kérem!",AO$70:AO$94)-SUMIF($N$70:$N$94,"!",AO$70:AO$94)&lt;IF($E$61="Forint",VLOOKUP($E$58,Paraméterek!$K$1:$Q$4,4,0),IF($E$59="Postai",SUMIF($L$70:$M$94,"Ezt kérem!",AO$70:AO$94)-SUMIF($N$70:$N$94,"!",AO$70:AO$94)+1,VLOOKUP($E$58,Paraméterek!$K$1:$Q$4,7,0))),0,SUMIF($L$70:$M$94,"Ezt kérem!",AO$70:AO$94)-SUMIF($N$70:$N$94,"!",AO$70:AO$94))</f>
        <v>3153</v>
      </c>
      <c r="AP99" s="60">
        <f ca="1">IF(SUMIF($L$70:$M$94,"Ezt kérem!",AP$70:AP$94)-SUMIF($N$70:$N$94,"!",AP$70:AP$94)&lt;IF($E$61="Forint",VLOOKUP($E$58,Paraméterek!$K$1:$Q$4,4,0),IF($E$59="Postai",SUMIF($L$70:$M$94,"Ezt kérem!",AP$70:AP$94)-SUMIF($N$70:$N$94,"!",AP$70:AP$94)+1,VLOOKUP($E$58,Paraméterek!$K$1:$Q$4,7,0))),0,SUMIF($L$70:$M$94,"Ezt kérem!",AP$70:AP$94)-SUMIF($N$70:$N$94,"!",AP$70:AP$94))</f>
        <v>3153</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93700</v>
      </c>
      <c r="S104" s="62">
        <f ca="1">$R$104</f>
        <v>93700</v>
      </c>
      <c r="T104" s="62">
        <f t="shared" ref="T104:AP104" ca="1" si="6">$R$104</f>
        <v>93700</v>
      </c>
      <c r="U104" s="62">
        <f t="shared" ca="1" si="6"/>
        <v>93700</v>
      </c>
      <c r="V104" s="62">
        <f t="shared" ca="1" si="6"/>
        <v>93700</v>
      </c>
      <c r="W104" s="62">
        <f t="shared" ca="1" si="6"/>
        <v>93700</v>
      </c>
      <c r="X104" s="62">
        <f t="shared" ca="1" si="6"/>
        <v>93700</v>
      </c>
      <c r="Y104" s="62">
        <f t="shared" ca="1" si="6"/>
        <v>93700</v>
      </c>
      <c r="Z104" s="62">
        <f t="shared" ca="1" si="6"/>
        <v>93700</v>
      </c>
      <c r="AA104" s="62">
        <f t="shared" ca="1" si="6"/>
        <v>93700</v>
      </c>
      <c r="AB104" s="62">
        <f t="shared" ca="1" si="6"/>
        <v>93700</v>
      </c>
      <c r="AC104" s="62">
        <f t="shared" ca="1" si="6"/>
        <v>93700</v>
      </c>
      <c r="AD104" s="62">
        <f t="shared" ca="1" si="6"/>
        <v>93700</v>
      </c>
      <c r="AE104" s="62">
        <f t="shared" ca="1" si="6"/>
        <v>93700</v>
      </c>
      <c r="AF104" s="62">
        <f t="shared" ca="1" si="6"/>
        <v>93700</v>
      </c>
      <c r="AG104" s="62">
        <f t="shared" ca="1" si="6"/>
        <v>93700</v>
      </c>
      <c r="AH104" s="62">
        <f t="shared" ca="1" si="6"/>
        <v>93700</v>
      </c>
      <c r="AI104" s="62">
        <f t="shared" ca="1" si="6"/>
        <v>93700</v>
      </c>
      <c r="AJ104" s="62">
        <f t="shared" ca="1" si="6"/>
        <v>93700</v>
      </c>
      <c r="AK104" s="62">
        <f t="shared" ca="1" si="6"/>
        <v>93700</v>
      </c>
      <c r="AL104" s="62">
        <f t="shared" ca="1" si="6"/>
        <v>93700</v>
      </c>
      <c r="AM104" s="62">
        <f t="shared" ca="1" si="6"/>
        <v>93700</v>
      </c>
      <c r="AN104" s="62">
        <f t="shared" ca="1" si="6"/>
        <v>93700</v>
      </c>
      <c r="AO104" s="62">
        <f t="shared" ca="1" si="6"/>
        <v>93700</v>
      </c>
      <c r="AP104" s="62">
        <f t="shared" ca="1" si="6"/>
        <v>93700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44000</v>
      </c>
      <c r="S108" s="62">
        <f t="shared" ref="S108:AP108" ca="1" si="8">IF(S$68&gt;64,0,$R$108)</f>
        <v>44000</v>
      </c>
      <c r="T108" s="62">
        <f t="shared" ca="1" si="8"/>
        <v>44000</v>
      </c>
      <c r="U108" s="62">
        <f t="shared" ca="1" si="8"/>
        <v>44000</v>
      </c>
      <c r="V108" s="62">
        <f t="shared" ca="1" si="8"/>
        <v>44000</v>
      </c>
      <c r="W108" s="62">
        <f t="shared" ca="1" si="8"/>
        <v>44000</v>
      </c>
      <c r="X108" s="62">
        <f t="shared" ca="1" si="8"/>
        <v>44000</v>
      </c>
      <c r="Y108" s="62">
        <f t="shared" ca="1" si="8"/>
        <v>44000</v>
      </c>
      <c r="Z108" s="62">
        <f t="shared" ca="1" si="8"/>
        <v>44000</v>
      </c>
      <c r="AA108" s="62">
        <f t="shared" ca="1" si="8"/>
        <v>44000</v>
      </c>
      <c r="AB108" s="62">
        <f t="shared" ca="1" si="8"/>
        <v>44000</v>
      </c>
      <c r="AC108" s="62">
        <f t="shared" ca="1" si="8"/>
        <v>44000</v>
      </c>
      <c r="AD108" s="62">
        <f t="shared" ca="1" si="8"/>
        <v>44000</v>
      </c>
      <c r="AE108" s="62">
        <f t="shared" ca="1" si="8"/>
        <v>44000</v>
      </c>
      <c r="AF108" s="62">
        <f t="shared" ca="1" si="8"/>
        <v>44000</v>
      </c>
      <c r="AG108" s="62">
        <f t="shared" ca="1" si="8"/>
        <v>44000</v>
      </c>
      <c r="AH108" s="62">
        <f t="shared" ca="1" si="8"/>
        <v>44000</v>
      </c>
      <c r="AI108" s="62">
        <f t="shared" ca="1" si="8"/>
        <v>44000</v>
      </c>
      <c r="AJ108" s="62">
        <f t="shared" ca="1" si="8"/>
        <v>44000</v>
      </c>
      <c r="AK108" s="62">
        <f t="shared" ca="1" si="8"/>
        <v>44000</v>
      </c>
      <c r="AL108" s="62">
        <f t="shared" ca="1" si="8"/>
        <v>44000</v>
      </c>
      <c r="AM108" s="62">
        <f t="shared" ca="1" si="8"/>
        <v>44000</v>
      </c>
      <c r="AN108" s="62">
        <f t="shared" ca="1" si="8"/>
        <v>44000</v>
      </c>
      <c r="AO108" s="62">
        <f t="shared" ca="1" si="8"/>
        <v>44000</v>
      </c>
      <c r="AP108" s="62">
        <f t="shared" ca="1" si="8"/>
        <v>44000</v>
      </c>
    </row>
    <row r="109" spans="1:42" hidden="1" x14ac:dyDescent="0.2">
      <c r="A109" s="12" t="s">
        <v>406</v>
      </c>
      <c r="R109" s="62">
        <f ca="1">IF(OR(ISBLANK($E$52),ISBLANK($E$55),$E$53&gt;64),"",ROUND($J$74/HLOOKUP($E$75,'TR Tarifák'!$C$153:$N$155,3,0)*VLOOKUP($E$53,'TR Tarifák'!$B$156:$N$255,HLOOKUP($E$75,'TR Tarifák'!$C$153:$N$155,2,0),0)*IF($O$75="Kizárás",1,1+$O$75),0))</f>
        <v>61000</v>
      </c>
      <c r="S109" s="62">
        <f t="shared" ref="S109:AP109" ca="1" si="9">IF(S$68&gt;64,0,$R$109)</f>
        <v>61000</v>
      </c>
      <c r="T109" s="62">
        <f t="shared" ca="1" si="9"/>
        <v>61000</v>
      </c>
      <c r="U109" s="62">
        <f t="shared" ca="1" si="9"/>
        <v>61000</v>
      </c>
      <c r="V109" s="62">
        <f t="shared" ca="1" si="9"/>
        <v>61000</v>
      </c>
      <c r="W109" s="62">
        <f t="shared" ca="1" si="9"/>
        <v>61000</v>
      </c>
      <c r="X109" s="62">
        <f t="shared" ca="1" si="9"/>
        <v>61000</v>
      </c>
      <c r="Y109" s="62">
        <f t="shared" ca="1" si="9"/>
        <v>61000</v>
      </c>
      <c r="Z109" s="62">
        <f t="shared" ca="1" si="9"/>
        <v>61000</v>
      </c>
      <c r="AA109" s="62">
        <f t="shared" ca="1" si="9"/>
        <v>61000</v>
      </c>
      <c r="AB109" s="62">
        <f t="shared" ca="1" si="9"/>
        <v>61000</v>
      </c>
      <c r="AC109" s="62">
        <f t="shared" ca="1" si="9"/>
        <v>61000</v>
      </c>
      <c r="AD109" s="62">
        <f t="shared" ca="1" si="9"/>
        <v>61000</v>
      </c>
      <c r="AE109" s="62">
        <f t="shared" ca="1" si="9"/>
        <v>61000</v>
      </c>
      <c r="AF109" s="62">
        <f t="shared" ca="1" si="9"/>
        <v>61000</v>
      </c>
      <c r="AG109" s="62">
        <f t="shared" ca="1" si="9"/>
        <v>61000</v>
      </c>
      <c r="AH109" s="62">
        <f t="shared" ca="1" si="9"/>
        <v>61000</v>
      </c>
      <c r="AI109" s="62">
        <f t="shared" ca="1" si="9"/>
        <v>61000</v>
      </c>
      <c r="AJ109" s="62">
        <f t="shared" ca="1" si="9"/>
        <v>61000</v>
      </c>
      <c r="AK109" s="62">
        <f t="shared" ca="1" si="9"/>
        <v>61000</v>
      </c>
      <c r="AL109" s="62">
        <f t="shared" ca="1" si="9"/>
        <v>61000</v>
      </c>
      <c r="AM109" s="62">
        <f t="shared" ca="1" si="9"/>
        <v>61000</v>
      </c>
      <c r="AN109" s="62">
        <f t="shared" ca="1" si="9"/>
        <v>61000</v>
      </c>
      <c r="AO109" s="62">
        <f t="shared" ca="1" si="9"/>
        <v>61000</v>
      </c>
      <c r="AP109" s="62">
        <f t="shared" ca="1" si="9"/>
        <v>61000</v>
      </c>
    </row>
    <row r="110" spans="1:42" hidden="1" x14ac:dyDescent="0.2">
      <c r="A110" s="12" t="s">
        <v>406</v>
      </c>
      <c r="R110" s="62">
        <f ca="1">IF(OR(ISBLANK($E$52),ISBLANK($E$55),$E$53&gt;64),"",ROUND($J$74/HLOOKUP($E$76,'TR Tarifák'!$C$153:$N$155,3,0)*VLOOKUP($E$53,'TR Tarifák'!$B$156:$N$255,HLOOKUP($E$76,'TR Tarifák'!$C$153:$N$155,2,0),0)*IF($O$76="Kizárás",1,1+$O$76),0))</f>
        <v>76000</v>
      </c>
      <c r="S110" s="62">
        <f t="shared" ref="S110:AP110" ca="1" si="10">IF(S$68&gt;64,0,$R$110)</f>
        <v>76000</v>
      </c>
      <c r="T110" s="62">
        <f t="shared" ca="1" si="10"/>
        <v>76000</v>
      </c>
      <c r="U110" s="62">
        <f t="shared" ca="1" si="10"/>
        <v>76000</v>
      </c>
      <c r="V110" s="62">
        <f t="shared" ca="1" si="10"/>
        <v>76000</v>
      </c>
      <c r="W110" s="62">
        <f t="shared" ca="1" si="10"/>
        <v>76000</v>
      </c>
      <c r="X110" s="62">
        <f t="shared" ca="1" si="10"/>
        <v>76000</v>
      </c>
      <c r="Y110" s="62">
        <f t="shared" ca="1" si="10"/>
        <v>76000</v>
      </c>
      <c r="Z110" s="62">
        <f t="shared" ca="1" si="10"/>
        <v>76000</v>
      </c>
      <c r="AA110" s="62">
        <f t="shared" ca="1" si="10"/>
        <v>76000</v>
      </c>
      <c r="AB110" s="62">
        <f t="shared" ca="1" si="10"/>
        <v>76000</v>
      </c>
      <c r="AC110" s="62">
        <f t="shared" ca="1" si="10"/>
        <v>76000</v>
      </c>
      <c r="AD110" s="62">
        <f t="shared" ca="1" si="10"/>
        <v>76000</v>
      </c>
      <c r="AE110" s="62">
        <f t="shared" ca="1" si="10"/>
        <v>76000</v>
      </c>
      <c r="AF110" s="62">
        <f t="shared" ca="1" si="10"/>
        <v>76000</v>
      </c>
      <c r="AG110" s="62">
        <f t="shared" ca="1" si="10"/>
        <v>76000</v>
      </c>
      <c r="AH110" s="62">
        <f t="shared" ca="1" si="10"/>
        <v>76000</v>
      </c>
      <c r="AI110" s="62">
        <f t="shared" ca="1" si="10"/>
        <v>76000</v>
      </c>
      <c r="AJ110" s="62">
        <f t="shared" ca="1" si="10"/>
        <v>76000</v>
      </c>
      <c r="AK110" s="62">
        <f t="shared" ca="1" si="10"/>
        <v>76000</v>
      </c>
      <c r="AL110" s="62">
        <f t="shared" ca="1" si="10"/>
        <v>76000</v>
      </c>
      <c r="AM110" s="62">
        <f t="shared" ca="1" si="10"/>
        <v>76000</v>
      </c>
      <c r="AN110" s="62">
        <f t="shared" ca="1" si="10"/>
        <v>76000</v>
      </c>
      <c r="AO110" s="62">
        <f t="shared" ca="1" si="10"/>
        <v>76000</v>
      </c>
      <c r="AP110" s="62">
        <f t="shared" ca="1" si="10"/>
        <v>76000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9500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45600</v>
      </c>
      <c r="S117" s="62">
        <f ca="1">IF(S$68&gt;59,0,$R$117)</f>
        <v>45600</v>
      </c>
      <c r="T117" s="62">
        <f t="shared" ref="T117:AP117" ca="1" si="13">IF(T$68&gt;59,0,$R$117)</f>
        <v>45600</v>
      </c>
      <c r="U117" s="62">
        <f t="shared" ca="1" si="13"/>
        <v>45600</v>
      </c>
      <c r="V117" s="62">
        <f t="shared" ca="1" si="13"/>
        <v>45600</v>
      </c>
      <c r="W117" s="62">
        <f t="shared" ca="1" si="13"/>
        <v>45600</v>
      </c>
      <c r="X117" s="62">
        <f t="shared" ca="1" si="13"/>
        <v>45600</v>
      </c>
      <c r="Y117" s="62">
        <f t="shared" ca="1" si="13"/>
        <v>45600</v>
      </c>
      <c r="Z117" s="62">
        <f t="shared" ca="1" si="13"/>
        <v>45600</v>
      </c>
      <c r="AA117" s="62">
        <f t="shared" ca="1" si="13"/>
        <v>45600</v>
      </c>
      <c r="AB117" s="62">
        <f t="shared" ca="1" si="13"/>
        <v>45600</v>
      </c>
      <c r="AC117" s="62">
        <f t="shared" ca="1" si="13"/>
        <v>45600</v>
      </c>
      <c r="AD117" s="62">
        <f t="shared" ca="1" si="13"/>
        <v>45600</v>
      </c>
      <c r="AE117" s="62">
        <f t="shared" ca="1" si="13"/>
        <v>45600</v>
      </c>
      <c r="AF117" s="62">
        <f t="shared" ca="1" si="13"/>
        <v>45600</v>
      </c>
      <c r="AG117" s="62">
        <f t="shared" ca="1" si="13"/>
        <v>45600</v>
      </c>
      <c r="AH117" s="62">
        <f t="shared" ca="1" si="13"/>
        <v>45600</v>
      </c>
      <c r="AI117" s="62">
        <f t="shared" ca="1" si="13"/>
        <v>45600</v>
      </c>
      <c r="AJ117" s="62">
        <f t="shared" ca="1" si="13"/>
        <v>45600</v>
      </c>
      <c r="AK117" s="62">
        <f t="shared" ca="1" si="13"/>
        <v>45600</v>
      </c>
      <c r="AL117" s="62">
        <f t="shared" ca="1" si="13"/>
        <v>45600</v>
      </c>
      <c r="AM117" s="62">
        <f t="shared" ca="1" si="13"/>
        <v>45600</v>
      </c>
      <c r="AN117" s="62">
        <f t="shared" ca="1" si="13"/>
        <v>45600</v>
      </c>
      <c r="AO117" s="62">
        <f t="shared" ca="1" si="13"/>
        <v>45600</v>
      </c>
      <c r="AP117" s="62">
        <f t="shared" ca="1" si="13"/>
        <v>45600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31760</v>
      </c>
      <c r="S121" s="62">
        <f ca="1">IF(S$68&gt;59,0,$R$121)</f>
        <v>31760</v>
      </c>
      <c r="T121" s="62">
        <f t="shared" ref="T121:AP121" ca="1" si="15">IF(T$68&gt;59,0,$R$121)</f>
        <v>31760</v>
      </c>
      <c r="U121" s="62">
        <f t="shared" ca="1" si="15"/>
        <v>31760</v>
      </c>
      <c r="V121" s="62">
        <f t="shared" ca="1" si="15"/>
        <v>31760</v>
      </c>
      <c r="W121" s="62">
        <f t="shared" ca="1" si="15"/>
        <v>31760</v>
      </c>
      <c r="X121" s="62">
        <f t="shared" ca="1" si="15"/>
        <v>31760</v>
      </c>
      <c r="Y121" s="62">
        <f t="shared" ca="1" si="15"/>
        <v>31760</v>
      </c>
      <c r="Z121" s="62">
        <f t="shared" ca="1" si="15"/>
        <v>31760</v>
      </c>
      <c r="AA121" s="62">
        <f t="shared" ca="1" si="15"/>
        <v>31760</v>
      </c>
      <c r="AB121" s="62">
        <f t="shared" ca="1" si="15"/>
        <v>31760</v>
      </c>
      <c r="AC121" s="62">
        <f t="shared" ca="1" si="15"/>
        <v>31760</v>
      </c>
      <c r="AD121" s="62">
        <f t="shared" ca="1" si="15"/>
        <v>31760</v>
      </c>
      <c r="AE121" s="62">
        <f t="shared" ca="1" si="15"/>
        <v>31760</v>
      </c>
      <c r="AF121" s="62">
        <f t="shared" ca="1" si="15"/>
        <v>31760</v>
      </c>
      <c r="AG121" s="62">
        <f t="shared" ca="1" si="15"/>
        <v>31760</v>
      </c>
      <c r="AH121" s="62">
        <f t="shared" ca="1" si="15"/>
        <v>31760</v>
      </c>
      <c r="AI121" s="62">
        <f t="shared" ca="1" si="15"/>
        <v>31760</v>
      </c>
      <c r="AJ121" s="62">
        <f t="shared" ca="1" si="15"/>
        <v>31760</v>
      </c>
      <c r="AK121" s="62">
        <f t="shared" ca="1" si="15"/>
        <v>31760</v>
      </c>
      <c r="AL121" s="62">
        <f t="shared" ca="1" si="15"/>
        <v>31760</v>
      </c>
      <c r="AM121" s="62">
        <f t="shared" ca="1" si="15"/>
        <v>31760</v>
      </c>
      <c r="AN121" s="62">
        <f t="shared" ca="1" si="15"/>
        <v>31760</v>
      </c>
      <c r="AO121" s="62">
        <f t="shared" ca="1" si="15"/>
        <v>31760</v>
      </c>
      <c r="AP121" s="62">
        <f t="shared" ca="1" si="15"/>
        <v>31760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5760</v>
      </c>
      <c r="AP124" s="62">
        <f t="shared" ca="1" si="16"/>
        <v>5760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77360</v>
      </c>
      <c r="S130" s="62">
        <f ca="1">IF(OR(ISBLANK($E$52),ISBLANK($E$55)),"",SUMIF($L$70:$M$94,"Ezt kérem!",S$104:S$128)-SUMIF($N$70:$N$94,"!",S$104:S$128))</f>
        <v>77360</v>
      </c>
      <c r="T130" s="62">
        <f t="shared" ref="T130:AP130" ca="1" si="19">IF(OR(ISBLANK($E$52),ISBLANK($E$55)),"",SUMIF($L$70:$M$94,"Ezt kérem!",T$104:T$128)-SUMIF($N$70:$N$94,"!",T$104:T$128))</f>
        <v>77360</v>
      </c>
      <c r="U130" s="62">
        <f t="shared" ca="1" si="19"/>
        <v>77360</v>
      </c>
      <c r="V130" s="62">
        <f t="shared" ca="1" si="19"/>
        <v>77360</v>
      </c>
      <c r="W130" s="62">
        <f t="shared" ca="1" si="19"/>
        <v>77360</v>
      </c>
      <c r="X130" s="62">
        <f t="shared" ca="1" si="19"/>
        <v>77360</v>
      </c>
      <c r="Y130" s="62">
        <f t="shared" ca="1" si="19"/>
        <v>77360</v>
      </c>
      <c r="Z130" s="62">
        <f t="shared" ca="1" si="19"/>
        <v>77360</v>
      </c>
      <c r="AA130" s="62">
        <f t="shared" ca="1" si="19"/>
        <v>77360</v>
      </c>
      <c r="AB130" s="62">
        <f t="shared" ca="1" si="19"/>
        <v>77360</v>
      </c>
      <c r="AC130" s="62">
        <f t="shared" ca="1" si="19"/>
        <v>77360</v>
      </c>
      <c r="AD130" s="62">
        <f t="shared" ca="1" si="19"/>
        <v>77360</v>
      </c>
      <c r="AE130" s="62">
        <f t="shared" ca="1" si="19"/>
        <v>77360</v>
      </c>
      <c r="AF130" s="62">
        <f t="shared" ca="1" si="19"/>
        <v>77360</v>
      </c>
      <c r="AG130" s="62">
        <f t="shared" ca="1" si="19"/>
        <v>77360</v>
      </c>
      <c r="AH130" s="62">
        <f t="shared" ca="1" si="19"/>
        <v>77360</v>
      </c>
      <c r="AI130" s="62">
        <f t="shared" ca="1" si="19"/>
        <v>77360</v>
      </c>
      <c r="AJ130" s="62">
        <f t="shared" ca="1" si="19"/>
        <v>77360</v>
      </c>
      <c r="AK130" s="62">
        <f t="shared" ca="1" si="19"/>
        <v>77360</v>
      </c>
      <c r="AL130" s="62">
        <f t="shared" ca="1" si="19"/>
        <v>77360</v>
      </c>
      <c r="AM130" s="62">
        <f t="shared" ca="1" si="19"/>
        <v>77360</v>
      </c>
      <c r="AN130" s="62">
        <f t="shared" ca="1" si="19"/>
        <v>77360</v>
      </c>
      <c r="AO130" s="62">
        <f t="shared" ca="1" si="19"/>
        <v>77360</v>
      </c>
      <c r="AP130" s="62">
        <f t="shared" ca="1" si="19"/>
        <v>77360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77360</v>
      </c>
      <c r="S132" s="62">
        <f ca="1">IF(OR(ISBLANK($E$52),ISBLANK($E$55)),"",S$130-S$131)</f>
        <v>77360</v>
      </c>
      <c r="T132" s="62">
        <f t="shared" ref="T132:AP132" ca="1" si="21">IF(OR(ISBLANK($E$52),ISBLANK($E$55)),"",T$130-T$131)</f>
        <v>77360</v>
      </c>
      <c r="U132" s="62">
        <f t="shared" ca="1" si="21"/>
        <v>77360</v>
      </c>
      <c r="V132" s="62">
        <f t="shared" ca="1" si="21"/>
        <v>77360</v>
      </c>
      <c r="W132" s="62">
        <f t="shared" ca="1" si="21"/>
        <v>77360</v>
      </c>
      <c r="X132" s="62">
        <f t="shared" ca="1" si="21"/>
        <v>77360</v>
      </c>
      <c r="Y132" s="62">
        <f t="shared" ca="1" si="21"/>
        <v>77360</v>
      </c>
      <c r="Z132" s="62">
        <f t="shared" ca="1" si="21"/>
        <v>77360</v>
      </c>
      <c r="AA132" s="62">
        <f t="shared" ca="1" si="21"/>
        <v>77360</v>
      </c>
      <c r="AB132" s="62">
        <f t="shared" ca="1" si="21"/>
        <v>77360</v>
      </c>
      <c r="AC132" s="62">
        <f t="shared" ca="1" si="21"/>
        <v>77360</v>
      </c>
      <c r="AD132" s="62">
        <f t="shared" ca="1" si="21"/>
        <v>77360</v>
      </c>
      <c r="AE132" s="62">
        <f t="shared" ca="1" si="21"/>
        <v>77360</v>
      </c>
      <c r="AF132" s="62">
        <f t="shared" ca="1" si="21"/>
        <v>77360</v>
      </c>
      <c r="AG132" s="62">
        <f t="shared" ca="1" si="21"/>
        <v>77360</v>
      </c>
      <c r="AH132" s="62">
        <f t="shared" ca="1" si="21"/>
        <v>77360</v>
      </c>
      <c r="AI132" s="62">
        <f t="shared" ca="1" si="21"/>
        <v>77360</v>
      </c>
      <c r="AJ132" s="62">
        <f t="shared" ca="1" si="21"/>
        <v>77360</v>
      </c>
      <c r="AK132" s="62">
        <f t="shared" ca="1" si="21"/>
        <v>77360</v>
      </c>
      <c r="AL132" s="62">
        <f t="shared" ca="1" si="21"/>
        <v>77360</v>
      </c>
      <c r="AM132" s="62">
        <f t="shared" ca="1" si="21"/>
        <v>77360</v>
      </c>
      <c r="AN132" s="62">
        <f t="shared" ca="1" si="21"/>
        <v>77360</v>
      </c>
      <c r="AO132" s="62">
        <f t="shared" ca="1" si="21"/>
        <v>77360</v>
      </c>
      <c r="AP132" s="62">
        <f t="shared" ca="1" si="21"/>
        <v>77360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6611.9592000000002</v>
      </c>
      <c r="S133" s="62">
        <f ca="1">IF(OR(ISBLANK($E$52),ISBLANK($E$55)),"",IF(ISBLANK($J$70),"",$R$132*VLOOKUP($E$58,Paraméterek!$K$1:$L$4,2,0)*(1-SUMIF($L$93:$M$94,"Ezt kérem!",S$127:S$128)/S$130)+SUMIF($L$93:$M$94,"Ezt kérem!",S$127:S$128)/S$130*S$132/VLOOKUP($E$58,Paraméterek!$K$1:$M$4,3,0)))</f>
        <v>6611.9592000000002</v>
      </c>
      <c r="T133" s="62">
        <f ca="1">IF(OR(ISBLANK($E$52),ISBLANK($E$55)),"",IF(ISBLANK($J$70),"",$R$132*VLOOKUP($E$58,Paraméterek!$K$1:$L$4,2,0)*(1-SUMIF($L$93:$M$94,"Ezt kérem!",T$127:T$128)/T$130)+SUMIF($L$93:$M$94,"Ezt kérem!",T$127:T$128)/T$130*T$132/VLOOKUP($E$58,Paraméterek!$K$1:$M$4,3,0)))</f>
        <v>6611.9592000000002</v>
      </c>
      <c r="U133" s="62">
        <f ca="1">IF(OR(ISBLANK($E$52),ISBLANK($E$55)),"",IF(ISBLANK($J$70),"",$R$132*VLOOKUP($E$58,Paraméterek!$K$1:$L$4,2,0)*(1-SUMIF($L$93:$M$94,"Ezt kérem!",U$127:U$128)/U$130)+SUMIF($L$93:$M$94,"Ezt kérem!",U$127:U$128)/U$130*U$132/VLOOKUP($E$58,Paraméterek!$K$1:$M$4,3,0)))</f>
        <v>6611.9592000000002</v>
      </c>
      <c r="V133" s="62">
        <f ca="1">IF(OR(ISBLANK($E$52),ISBLANK($E$55)),"",IF(ISBLANK($J$70),"",$R$132*VLOOKUP($E$58,Paraméterek!$K$1:$L$4,2,0)*(1-SUMIF($L$93:$M$94,"Ezt kérem!",V$127:V$128)/V$130)+SUMIF($L$93:$M$94,"Ezt kérem!",V$127:V$128)/V$130*V$132/VLOOKUP($E$58,Paraméterek!$K$1:$M$4,3,0)))</f>
        <v>6611.9592000000002</v>
      </c>
      <c r="W133" s="62">
        <f ca="1">IF(OR(ISBLANK($E$52),ISBLANK($E$55)),"",IF(ISBLANK($J$70),"",$R$132*VLOOKUP($E$58,Paraméterek!$K$1:$L$4,2,0)*(1-SUMIF($L$93:$M$94,"Ezt kérem!",W$127:W$128)/W$130)+SUMIF($L$93:$M$94,"Ezt kérem!",W$127:W$128)/W$130*W$132/VLOOKUP($E$58,Paraméterek!$K$1:$M$4,3,0)))</f>
        <v>6611.9592000000002</v>
      </c>
      <c r="X133" s="62">
        <f ca="1">IF(OR(ISBLANK($E$52),ISBLANK($E$55)),"",IF(ISBLANK($J$70),"",$R$132*VLOOKUP($E$58,Paraméterek!$K$1:$L$4,2,0)*(1-SUMIF($L$93:$M$94,"Ezt kérem!",X$127:X$128)/X$130)+SUMIF($L$93:$M$94,"Ezt kérem!",X$127:X$128)/X$130*X$132/VLOOKUP($E$58,Paraméterek!$K$1:$M$4,3,0)))</f>
        <v>6611.9592000000002</v>
      </c>
      <c r="Y133" s="62">
        <f ca="1">IF(OR(ISBLANK($E$52),ISBLANK($E$55)),"",IF(ISBLANK($J$70),"",$R$132*VLOOKUP($E$58,Paraméterek!$K$1:$L$4,2,0)*(1-SUMIF($L$93:$M$94,"Ezt kérem!",Y$127:Y$128)/Y$130)+SUMIF($L$93:$M$94,"Ezt kérem!",Y$127:Y$128)/Y$130*Y$132/VLOOKUP($E$58,Paraméterek!$K$1:$M$4,3,0)))</f>
        <v>6611.9592000000002</v>
      </c>
      <c r="Z133" s="62">
        <f ca="1">IF(OR(ISBLANK($E$52),ISBLANK($E$55)),"",IF(ISBLANK($J$70),"",$R$132*VLOOKUP($E$58,Paraméterek!$K$1:$L$4,2,0)*(1-SUMIF($L$93:$M$94,"Ezt kérem!",Z$127:Z$128)/Z$130)+SUMIF($L$93:$M$94,"Ezt kérem!",Z$127:Z$128)/Z$130*Z$132/VLOOKUP($E$58,Paraméterek!$K$1:$M$4,3,0)))</f>
        <v>6611.9592000000002</v>
      </c>
      <c r="AA133" s="62">
        <f ca="1">IF(OR(ISBLANK($E$52),ISBLANK($E$55)),"",IF(ISBLANK($J$70),"",$R$132*VLOOKUP($E$58,Paraméterek!$K$1:$L$4,2,0)*(1-SUMIF($L$93:$M$94,"Ezt kérem!",AA$127:AA$128)/AA$130)+SUMIF($L$93:$M$94,"Ezt kérem!",AA$127:AA$128)/AA$130*AA$132/VLOOKUP($E$58,Paraméterek!$K$1:$M$4,3,0)))</f>
        <v>6611.9592000000002</v>
      </c>
      <c r="AB133" s="62">
        <f ca="1">IF(OR(ISBLANK($E$52),ISBLANK($E$55)),"",IF(ISBLANK($J$70),"",$R$132*VLOOKUP($E$58,Paraméterek!$K$1:$L$4,2,0)*(1-SUMIF($L$93:$M$94,"Ezt kérem!",AB$127:AB$128)/AB$130)+SUMIF($L$93:$M$94,"Ezt kérem!",AB$127:AB$128)/AB$130*AB$132/VLOOKUP($E$58,Paraméterek!$K$1:$M$4,3,0)))</f>
        <v>6611.9592000000002</v>
      </c>
      <c r="AC133" s="62">
        <f ca="1">IF(OR(ISBLANK($E$52),ISBLANK($E$55)),"",IF(ISBLANK($J$70),"",$R$132*VLOOKUP($E$58,Paraméterek!$K$1:$L$4,2,0)*(1-SUMIF($L$93:$M$94,"Ezt kérem!",AC$127:AC$128)/AC$130)+SUMIF($L$93:$M$94,"Ezt kérem!",AC$127:AC$128)/AC$130*AC$132/VLOOKUP($E$58,Paraméterek!$K$1:$M$4,3,0)))</f>
        <v>6611.9592000000002</v>
      </c>
      <c r="AD133" s="62">
        <f ca="1">IF(OR(ISBLANK($E$52),ISBLANK($E$55)),"",IF(ISBLANK($J$70),"",$R$132*VLOOKUP($E$58,Paraméterek!$K$1:$L$4,2,0)*(1-SUMIF($L$93:$M$94,"Ezt kérem!",AD$127:AD$128)/AD$130)+SUMIF($L$93:$M$94,"Ezt kérem!",AD$127:AD$128)/AD$130*AD$132/VLOOKUP($E$58,Paraméterek!$K$1:$M$4,3,0)))</f>
        <v>6611.9592000000002</v>
      </c>
      <c r="AE133" s="62">
        <f ca="1">IF(OR(ISBLANK($E$52),ISBLANK($E$55)),"",IF(ISBLANK($J$70),"",$R$132*VLOOKUP($E$58,Paraméterek!$K$1:$L$4,2,0)*(1-SUMIF($L$93:$M$94,"Ezt kérem!",AE$127:AE$128)/AE$130)+SUMIF($L$93:$M$94,"Ezt kérem!",AE$127:AE$128)/AE$130*AE$132/VLOOKUP($E$58,Paraméterek!$K$1:$M$4,3,0)))</f>
        <v>6611.9592000000002</v>
      </c>
      <c r="AF133" s="62">
        <f ca="1">IF(OR(ISBLANK($E$52),ISBLANK($E$55)),"",IF(ISBLANK($J$70),"",$R$132*VLOOKUP($E$58,Paraméterek!$K$1:$L$4,2,0)*(1-SUMIF($L$93:$M$94,"Ezt kérem!",AF$127:AF$128)/AF$130)+SUMIF($L$93:$M$94,"Ezt kérem!",AF$127:AF$128)/AF$130*AF$132/VLOOKUP($E$58,Paraméterek!$K$1:$M$4,3,0)))</f>
        <v>6611.9592000000002</v>
      </c>
      <c r="AG133" s="62">
        <f ca="1">IF(OR(ISBLANK($E$52),ISBLANK($E$55)),"",IF(ISBLANK($J$70),"",$R$132*VLOOKUP($E$58,Paraméterek!$K$1:$L$4,2,0)*(1-SUMIF($L$93:$M$94,"Ezt kérem!",AG$127:AG$128)/AG$130)+SUMIF($L$93:$M$94,"Ezt kérem!",AG$127:AG$128)/AG$130*AG$132/VLOOKUP($E$58,Paraméterek!$K$1:$M$4,3,0)))</f>
        <v>6611.9592000000002</v>
      </c>
      <c r="AH133" s="62">
        <f ca="1">IF(OR(ISBLANK($E$52),ISBLANK($E$55)),"",IF(ISBLANK($J$70),"",$R$132*VLOOKUP($E$58,Paraméterek!$K$1:$L$4,2,0)*(1-SUMIF($L$93:$M$94,"Ezt kérem!",AH$127:AH$128)/AH$130)+SUMIF($L$93:$M$94,"Ezt kérem!",AH$127:AH$128)/AH$130*AH$132/VLOOKUP($E$58,Paraméterek!$K$1:$M$4,3,0)))</f>
        <v>6611.9592000000002</v>
      </c>
      <c r="AI133" s="62">
        <f ca="1">IF(OR(ISBLANK($E$52),ISBLANK($E$55)),"",IF(ISBLANK($J$70),"",$R$132*VLOOKUP($E$58,Paraméterek!$K$1:$L$4,2,0)*(1-SUMIF($L$93:$M$94,"Ezt kérem!",AI$127:AI$128)/AI$130)+SUMIF($L$93:$M$94,"Ezt kérem!",AI$127:AI$128)/AI$130*AI$132/VLOOKUP($E$58,Paraméterek!$K$1:$M$4,3,0)))</f>
        <v>6611.9592000000002</v>
      </c>
      <c r="AJ133" s="62">
        <f ca="1">IF(OR(ISBLANK($E$52),ISBLANK($E$55)),"",IF(ISBLANK($J$70),"",$R$132*VLOOKUP($E$58,Paraméterek!$K$1:$L$4,2,0)*(1-SUMIF($L$93:$M$94,"Ezt kérem!",AJ$127:AJ$128)/AJ$130)+SUMIF($L$93:$M$94,"Ezt kérem!",AJ$127:AJ$128)/AJ$130*AJ$132/VLOOKUP($E$58,Paraméterek!$K$1:$M$4,3,0)))</f>
        <v>6611.9592000000002</v>
      </c>
      <c r="AK133" s="62">
        <f ca="1">IF(OR(ISBLANK($E$52),ISBLANK($E$55)),"",IF(ISBLANK($J$70),"",$R$132*VLOOKUP($E$58,Paraméterek!$K$1:$L$4,2,0)*(1-SUMIF($L$93:$M$94,"Ezt kérem!",AK$127:AK$128)/AK$130)+SUMIF($L$93:$M$94,"Ezt kérem!",AK$127:AK$128)/AK$130*AK$132/VLOOKUP($E$58,Paraméterek!$K$1:$M$4,3,0)))</f>
        <v>6611.9592000000002</v>
      </c>
      <c r="AL133" s="62">
        <f ca="1">IF(OR(ISBLANK($E$52),ISBLANK($E$55)),"",IF(ISBLANK($J$70),"",$R$132*VLOOKUP($E$58,Paraméterek!$K$1:$L$4,2,0)*(1-SUMIF($L$93:$M$94,"Ezt kérem!",AL$127:AL$128)/AL$130)+SUMIF($L$93:$M$94,"Ezt kérem!",AL$127:AL$128)/AL$130*AL$132/VLOOKUP($E$58,Paraméterek!$K$1:$M$4,3,0)))</f>
        <v>6611.9592000000002</v>
      </c>
      <c r="AM133" s="62">
        <f ca="1">IF(OR(ISBLANK($E$52),ISBLANK($E$55)),"",IF(ISBLANK($J$70),"",$R$132*VLOOKUP($E$58,Paraméterek!$K$1:$L$4,2,0)*(1-SUMIF($L$93:$M$94,"Ezt kérem!",AM$127:AM$128)/AM$130)+SUMIF($L$93:$M$94,"Ezt kérem!",AM$127:AM$128)/AM$130*AM$132/VLOOKUP($E$58,Paraméterek!$K$1:$M$4,3,0)))</f>
        <v>6611.9592000000002</v>
      </c>
      <c r="AN133" s="62">
        <f ca="1">IF(OR(ISBLANK($E$52),ISBLANK($E$55)),"",IF(ISBLANK($J$70),"",$R$132*VLOOKUP($E$58,Paraméterek!$K$1:$L$4,2,0)*(1-SUMIF($L$93:$M$94,"Ezt kérem!",AN$127:AN$128)/AN$130)+SUMIF($L$93:$M$94,"Ezt kérem!",AN$127:AN$128)/AN$130*AN$132/VLOOKUP($E$58,Paraméterek!$K$1:$M$4,3,0)))</f>
        <v>6611.9592000000002</v>
      </c>
      <c r="AO133" s="62">
        <f ca="1">IF(OR(ISBLANK($E$52),ISBLANK($E$55)),"",IF(ISBLANK($J$70),"",$R$132*VLOOKUP($E$58,Paraméterek!$K$1:$L$4,2,0)*(1-SUMIF($L$93:$M$94,"Ezt kérem!",AO$127:AO$128)/AO$130)+SUMIF($L$93:$M$94,"Ezt kérem!",AO$127:AO$128)/AO$130*AO$132/VLOOKUP($E$58,Paraméterek!$K$1:$M$4,3,0)))</f>
        <v>6611.9592000000002</v>
      </c>
      <c r="AP133" s="62">
        <f ca="1">IF(OR(ISBLANK($E$52),ISBLANK($E$55)),"",IF(ISBLANK($J$70),"",$R$132*VLOOKUP($E$58,Paraméterek!$K$1:$L$4,2,0)*(1-SUMIF($L$93:$M$94,"Ezt kérem!",AP$127:AP$128)/AP$130)+SUMIF($L$93:$M$94,"Ezt kérem!",AP$127:AP$128)/AP$130*AP$132/VLOOKUP($E$58,Paraméterek!$K$1:$M$4,3,0)))</f>
        <v>6611.9592000000002</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5000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300000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33</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0</v>
      </c>
      <c r="I16" s="23">
        <f ca="1">VLOOKUP($C$16,$A$7:$G$10,IF($B$16="Forint",HLOOKUP($E$16,$B$4:$G$6,3),HLOOKUP($E$16,$B$5:$G$6,2)))</f>
        <v>0</v>
      </c>
      <c r="J16" t="str">
        <f ca="1">VLOOKUP(MAX($F$16:$I$16),$J$5:$K$10,2)</f>
        <v>Egészségi nyilatkozat</v>
      </c>
    </row>
    <row r="17" spans="1:10" x14ac:dyDescent="0.2">
      <c r="A17" t="s">
        <v>132</v>
      </c>
      <c r="B17" t="s">
        <v>37</v>
      </c>
      <c r="C17" s="23">
        <f ca="1">Nelson!$E$9</f>
        <v>46</v>
      </c>
      <c r="D17" s="23">
        <f>IF(Nelson!$J$26&gt;0,Nelson!$J$26,0)</f>
        <v>500000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2020-03-03T18:24:47Z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