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D:\Work\sales-shit\Leadek\Szőcs Mónika\"/>
    </mc:Choice>
  </mc:AlternateContent>
  <xr:revisionPtr revIDLastSave="0" documentId="13_ncr:1_{A30E7213-D82D-43CE-8BDC-9E4081D9F122}" xr6:coauthVersionLast="45" xr6:coauthVersionMax="45" xr10:uidLastSave="{00000000-0000-0000-0000-000000000000}"/>
  <workbookProtection workbookPassword="D9D3" lockStructure="1"/>
  <bookViews>
    <workbookView xWindow="-120" yWindow="-120" windowWidth="29040" windowHeight="15840" activeTab="2"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J4" i="8" s="1"/>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s="1"/>
  <c r="E9" i="25"/>
  <c r="J3" i="25"/>
  <c r="E19" i="11"/>
  <c r="G17" i="11"/>
  <c r="E17" i="11"/>
  <c r="D17" i="11"/>
  <c r="G16" i="11"/>
  <c r="G15" i="11"/>
  <c r="F15" i="11"/>
  <c r="I16" i="23"/>
  <c r="N19" i="25" s="1"/>
  <c r="C14" i="23"/>
  <c r="F14" i="23" s="1"/>
  <c r="H5" i="14"/>
  <c r="L77" i="14" s="1"/>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Q75" i="19" s="1"/>
  <c r="L74" i="19"/>
  <c r="Q74" i="19" s="1"/>
  <c r="L71" i="19"/>
  <c r="E52" i="19"/>
  <c r="E53" i="19" s="1"/>
  <c r="AA68" i="19" s="1"/>
  <c r="M11" i="19"/>
  <c r="I11" i="19"/>
  <c r="E11" i="19"/>
  <c r="G2" i="19"/>
  <c r="Q93" i="19"/>
  <c r="N26" i="8"/>
  <c r="L70" i="19"/>
  <c r="Y10"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A13" i="10" l="1"/>
  <c r="H7" i="1" s="1"/>
  <c r="H16" i="1"/>
  <c r="D18" i="1"/>
  <c r="B18" i="14"/>
  <c r="L30" i="1"/>
  <c r="A6" i="10"/>
  <c r="A86" i="10"/>
  <c r="H12" i="14" s="1"/>
  <c r="L74" i="14" s="1"/>
  <c r="L35" i="1"/>
  <c r="A37" i="10"/>
  <c r="H13" i="1" s="1"/>
  <c r="B15" i="11"/>
  <c r="A25" i="10"/>
  <c r="H10" i="1" s="1"/>
  <c r="A74" i="10"/>
  <c r="H9" i="14" s="1"/>
  <c r="L51"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61" i="14" l="1"/>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C18" i="1" l="1"/>
  <c r="AG128" i="19"/>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R133" i="19"/>
  <c r="G25" i="19" s="1"/>
  <c r="AO131" i="19"/>
  <c r="AO132" i="19" s="1"/>
  <c r="AO133" i="19" s="1"/>
  <c r="N64" i="19"/>
  <c r="N20" i="8"/>
  <c r="B64" i="25"/>
  <c r="Y63" i="25"/>
  <c r="Q63" i="25"/>
  <c r="I63" i="25"/>
  <c r="K63" i="25"/>
  <c r="O63" i="25"/>
  <c r="C63" i="25"/>
  <c r="M63" i="25"/>
  <c r="S63" i="25"/>
  <c r="W63" i="25"/>
  <c r="G63" i="25"/>
  <c r="E63" i="25"/>
  <c r="U63" i="25"/>
  <c r="AI133" i="19" l="1"/>
  <c r="AG133" i="19"/>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<sst xmlns="http://schemas.openxmlformats.org/spreadsheetml/2006/main" count="1956" uniqueCount="733">
  <si>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</si>
  <si>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</si>
  <si>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</si>
  <si>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</si>
  <si>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</si>
  <si>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</si>
  <si>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</si>
  <si>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</si>
  <si>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</si>
  <si>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</si>
  <si>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</si>
  <si>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</si>
  <si>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</si>
  <si>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</si>
  <si>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</si>
  <si>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</si>
  <si>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</si>
  <si>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</si>
  <si>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</si>
  <si>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</si>
  <si>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</si>
  <si>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</si>
  <si>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</si>
  <si>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</si>
  <si>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</si>
  <si>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</si>
  <si>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</si>
  <si>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</si>
  <si>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</si>
  <si>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</si>
  <si>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</si>
  <si>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</si>
  <si>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</si>
  <si>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</si>
  <si>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</si>
  <si>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</si>
  <si>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</si>
  <si>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</si>
  <si>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</si>
  <si>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</si>
  <si>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</si>
  <si>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</si>
  <si>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</si>
  <si>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</si>
  <si>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</si>
  <si>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</si>
  <si>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</si>
  <si>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</si>
  <si>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</si>
  <si>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</si>
  <si>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</si>
  <si>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</si>
  <si>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</si>
  <si>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</si>
  <si>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</si>
  <si>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</si>
  <si>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</si>
  <si>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</si>
  <si>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</si>
  <si>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</si>
  <si>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</si>
  <si>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</si>
  <si>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</si>
  <si>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</si>
  <si>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</si>
  <si>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</si>
  <si>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</si>
  <si>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</si>
  <si>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</si>
  <si>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</si>
  <si>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</si>
  <si>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</si>
  <si>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</si>
  <si>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</si>
  <si>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</si>
  <si>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</si>
  <si>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</si>
  <si>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</si>
  <si>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</si>
  <si>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</si>
  <si>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</si>
  <si>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</si>
  <si>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</si>
  <si>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</si>
  <si>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</si>
  <si>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</si>
  <si>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</si>
  <si>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</si>
  <si>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</si>
  <si>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</si>
  <si>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</si>
  <si>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</si>
  <si>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</si>
  <si>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</si>
  <si>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</si>
  <si>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</si>
  <si>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</si>
  <si>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</si>
  <si>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</si>
  <si>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</si>
  <si>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</si>
  <si>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</si>
  <si>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</si>
  <si>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</si>
  <si>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</si>
  <si>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</si>
  <si>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</si>
  <si>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</si>
  <si>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</si>
  <si>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</si>
  <si>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</si>
  <si>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</si>
  <si>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</si>
  <si>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</si>
  <si>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</si>
  <si>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</si>
  <si>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</si>
  <si>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</si>
  <si>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</si>
  <si>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</si>
  <si>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</si>
  <si>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</si>
  <si>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</si>
  <si>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</si>
  <si>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</si>
  <si>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</si>
  <si>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</si>
  <si>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</si>
  <si>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</si>
  <si>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</si>
  <si>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</si>
  <si>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</si>
  <si>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</si>
  <si>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</si>
  <si>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</si>
  <si>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</si>
  <si>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</si>
  <si>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</si>
  <si>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</si>
  <si>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</si>
  <si>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</si>
  <si>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</si>
  <si>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</si>
  <si>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</si>
  <si>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</si>
  <si>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</si>
  <si>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</si>
  <si>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</si>
  <si>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</si>
  <si>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</si>
  <si>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</si>
  <si>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</si>
  <si>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</si>
  <si>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</si>
  <si>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</si>
  <si>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</si>
  <si>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</si>
  <si>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</si>
  <si>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</si>
  <si>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</si>
  <si>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</si>
  <si>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</si>
  <si>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</si>
  <si>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</si>
  <si>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</si>
  <si>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</si>
  <si>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</si>
  <si>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</si>
  <si>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</si>
  <si>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</si>
  <si>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</si>
  <si>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</si>
  <si>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</si>
  <si>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</si>
  <si>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</si>
  <si>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</si>
  <si>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</si>
  <si>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</si>
  <si>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</si>
  <si>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</si>
  <si>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</si>
  <si>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</si>
  <si>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</si>
  <si>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</si>
  <si>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</si>
  <si>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</si>
  <si>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</si>
  <si>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</si>
  <si>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</si>
  <si>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</si>
  <si>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</si>
  <si>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</si>
  <si>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</si>
  <si>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</si>
  <si>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</si>
  <si>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</si>
  <si>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</si>
  <si>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</si>
  <si>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</si>
  <si>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</si>
  <si>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</si>
  <si>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</si>
  <si>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</si>
  <si>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</si>
  <si>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</si>
  <si>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</si>
  <si>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</si>
  <si>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</si>
  <si>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</si>
  <si>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</si>
  <si>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</si>
  <si>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</si>
  <si>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</si>
  <si>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</si>
  <si>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</si>
  <si>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</si>
  <si>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</si>
  <si>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</si>
  <si>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</si>
  <si>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</si>
  <si>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</si>
  <si>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</si>
  <si>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</si>
  <si>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</si>
  <si>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</si>
  <si>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</si>
  <si>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</si>
  <si>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</si>
  <si>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</si>
  <si>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</si>
  <si>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</si>
  <si>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</si>
  <si>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</si>
  <si>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</si>
  <si>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</si>
  <si>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</si>
  <si>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</si>
  <si>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</si>
  <si>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</si>
  <si>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</si>
  <si>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</si>
  <si>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</si>
  <si>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</si>
  <si>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</si>
  <si>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</si>
  <si>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</si>
  <si>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</si>
  <si>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</si>
  <si>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</si>
  <si>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</si>
  <si>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</si>
  <si>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</si>
  <si>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</si>
  <si>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</si>
  <si>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</si>
  <si>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</si>
  <si>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</si>
  <si>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</si>
  <si>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</si>
  <si>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</si>
  <si>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</si>
  <si>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</si>
  <si>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</si>
  <si>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</si>
  <si>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</si>
  <si>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</si>
  <si>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</si>
  <si>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</si>
  <si>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</si>
  <si>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</si>
  <si>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</si>
  <si>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</si>
  <si>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</si>
  <si>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</si>
  <si>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</si>
  <si>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</si>
  <si>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</si>
  <si>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</si>
  <si>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</si>
  <si>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</si>
  <si>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</si>
  <si>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</si>
  <si>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</si>
  <si>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</si>
  <si>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</si>
  <si>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</si>
  <si>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</si>
  <si>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</si>
  <si>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</si>
  <si>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</si>
  <si>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</si>
  <si>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</si>
  <si>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</si>
  <si>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</si>
  <si>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</si>
  <si>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</si>
  <si>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</si>
  <si>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</si>
  <si>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</si>
  <si>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</si>
  <si>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</si>
  <si>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</si>
  <si>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</si>
  <si>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</si>
  <si>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</si>
  <si>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</si>
  <si>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</si>
  <si>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</si>
  <si>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</si>
  <si>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</si>
  <si>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</si>
  <si>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</si>
  <si>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</si>
  <si>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</si>
  <si>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</si>
  <si>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</si>
  <si>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</si>
  <si>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</si>
  <si>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</si>
  <si>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</si>
  <si>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</si>
  <si>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</si>
  <si>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</si>
  <si>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</si>
  <si>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</si>
  <si>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</si>
  <si>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</si>
  <si>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</si>
  <si>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</si>
  <si>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</si>
  <si>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</si>
  <si>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</si>
  <si>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</si>
  <si>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</si>
  <si>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</si>
  <si>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</si>
  <si>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</si>
  <si>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</si>
  <si>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</si>
  <si>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</si>
  <si>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</si>
  <si>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</si>
  <si>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</si>
  <si>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</si>
  <si>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</si>
  <si>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</si>
  <si>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</si>
  <si>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</si>
  <si>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</si>
  <si>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</si>
  <si>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</si>
  <si>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</si>
  <si>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</si>
  <si>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</si>
  <si>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</si>
  <si>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</si>
  <si>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</si>
  <si>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</si>
  <si>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</si>
  <si>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</si>
  <si>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</si>
  <si>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</si>
  <si>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</si>
  <si>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</si>
  <si>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</si>
  <si>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</si>
  <si>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</si>
  <si>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</si>
  <si>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</si>
  <si>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</si>
  <si>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</si>
  <si>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</si>
  <si>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</si>
  <si>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</si>
  <si>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</si>
  <si>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</si>
  <si>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</si>
  <si>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</si>
  <si>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</si>
  <si>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</si>
  <si>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</si>
  <si>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</si>
  <si>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</si>
  <si>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</si>
  <si>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</si>
  <si>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</si>
  <si>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</si>
  <si>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</si>
  <si>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</si>
  <si>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</si>
  <si>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</si>
  <si>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</si>
  <si>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</si>
  <si>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</si>
  <si>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</si>
  <si>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</si>
  <si>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</si>
  <si>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</si>
  <si>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</si>
  <si>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</si>
  <si>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</si>
  <si>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</si>
  <si>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</si>
  <si>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</si>
  <si>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</si>
  <si>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</si>
  <si>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</si>
  <si>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</si>
  <si>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</si>
  <si>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</si>
  <si>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</si>
  <si>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</si>
  <si>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</si>
  <si>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</si>
  <si>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</si>
  <si>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</si>
  <si>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</si>
  <si>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</si>
  <si>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</si>
  <si>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</si>
  <si>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</si>
  <si>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</si>
  <si>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</si>
  <si>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</si>
  <si>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</si>
  <si>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</si>
  <si>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</si>
  <si>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</si>
  <si>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</si>
  <si>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</si>
  <si>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</si>
  <si>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</si>
  <si>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</si>
  <si>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</si>
  <si>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</si>
  <si>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</si>
  <si>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</si>
  <si>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</si>
  <si>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</si>
  <si>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</si>
  <si>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</si>
  <si>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</si>
  <si>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</si>
  <si>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</si>
  <si>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</si>
  <si>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</si>
  <si>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</si>
  <si>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</si>
  <si>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</si>
  <si>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</si>
  <si>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</si>
  <si>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</si>
  <si>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</si>
  <si>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</si>
  <si>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</si>
  <si>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</si>
  <si>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</si>
  <si>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</si>
  <si>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</si>
  <si>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</si>
  <si>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</si>
  <si>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</si>
  <si>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</si>
  <si>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</si>
  <si>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</si>
  <si>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</si>
  <si>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</si>
  <si>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</si>
  <si>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</si>
  <si>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</si>
  <si>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</si>
  <si>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</si>
  <si>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</si>
  <si>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</si>
  <si>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</si>
  <si>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</si>
  <si>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</si>
  <si>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</si>
  <si>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</si>
  <si>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</si>
  <si>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</si>
  <si>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</si>
  <si>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</si>
  <si>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</si>
  <si>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</si>
  <si>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</si>
  <si>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</si>
  <si>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</si>
  <si>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</si>
  <si>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</si>
  <si>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</si>
  <si>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</si>
  <si>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</si>
  <si>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</si>
  <si>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</si>
  <si>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</si>
  <si>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</si>
  <si>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</si>
  <si>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</si>
  <si>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</si>
  <si>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</si>
  <si>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</si>
  <si>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</si>
  <si>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</si>
  <si>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</si>
  <si>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</si>
  <si>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</si>
  <si>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</si>
  <si>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</si>
  <si>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</si>
  <si>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</si>
  <si>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</si>
  <si>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</si>
  <si>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</si>
  <si>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</si>
  <si>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</si>
  <si>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</si>
  <si>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</si>
  <si>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</si>
  <si>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</si>
  <si>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</si>
  <si>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</si>
  <si>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</si>
  <si>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</si>
  <si>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</si>
  <si>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</si>
  <si>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</si>
  <si>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</si>
  <si>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</si>
  <si>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</si>
  <si>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</si>
  <si>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</si>
  <si>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</si>
  <si>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</si>
  <si>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</si>
  <si>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</si>
  <si>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</si>
  <si>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</si>
  <si>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</si>
  <si>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</si>
  <si>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</si>
  <si>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</si>
  <si>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</si>
  <si>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</si>
  <si>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</si>
  <si>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</si>
  <si>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</si>
  <si>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</si>
  <si>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</si>
  <si>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</si>
  <si>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</si>
  <si>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</si>
  <si>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</si>
  <si>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</si>
  <si>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</si>
  <si>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</si>
  <si>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</si>
  <si>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</si>
  <si>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</si>
  <si>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</si>
  <si>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</si>
  <si>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</si>
  <si>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</si>
  <si>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</si>
  <si>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</si>
  <si>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</si>
  <si>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</si>
  <si>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</si>
  <si>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</si>
  <si>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</si>
  <si>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</si>
  <si>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</si>
  <si>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</si>
  <si>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</si>
  <si>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</si>
  <si>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</si>
  <si>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</si>
  <si>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</si>
  <si>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</si>
  <si>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</si>
  <si>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</si>
  <si>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</si>
  <si>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</si>
  <si>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</si>
  <si>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</si>
  <si>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</si>
  <si>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</si>
  <si>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</si>
  <si>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</si>
  <si>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</si>
  <si>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</si>
  <si>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</si>
  <si>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</si>
  <si>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</si>
  <si>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</si>
  <si>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</si>
  <si>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</si>
  <si>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</si>
  <si>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</si>
  <si>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</si>
  <si>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</si>
  <si>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</si>
  <si>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</si>
  <si>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</si>
  <si>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</si>
  <si>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</si>
  <si>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</si>
  <si>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</si>
  <si>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</si>
  <si>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</si>
  <si>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</si>
  <si>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</si>
  <si>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</si>
  <si>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</si>
  <si>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</si>
  <si>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</si>
  <si>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</si>
  <si>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</si>
  <si>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</si>
  <si>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</si>
  <si>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</si>
  <si>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</si>
  <si>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</si>
  <si>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</si>
  <si>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</si>
  <si>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</si>
  <si>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</si>
  <si>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</si>
  <si>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</si>
  <si>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</si>
  <si>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</si>
  <si>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</si>
  <si>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</si>
  <si>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</si>
  <si>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</si>
  <si>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</si>
  <si>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</si>
  <si>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</si>
  <si>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</si>
  <si>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</si>
  <si>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</si>
  <si>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</si>
  <si>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</si>
  <si>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</si>
  <si>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</si>
  <si>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</si>
  <si>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</si>
  <si>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</si>
  <si>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</si>
  <si>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</si>
  <si>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</si>
  <si>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</si>
  <si>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</si>
  <si>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</si>
  <si>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</si>
  <si>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</si>
  <si>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</si>
  <si>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</si>
  <si>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</si>
  <si>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</si>
  <si>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</si>
  <si>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</si>
  <si>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</si>
  <si>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</si>
  <si>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</si>
  <si>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</si>
  <si>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</si>
  <si>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</si>
  <si>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</si>
  <si>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</si>
  <si>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</si>
  <si>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</si>
  <si>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</si>
  <si>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</si>
  <si>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</si>
  <si>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</si>
  <si>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</si>
  <si>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</si>
  <si>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</si>
  <si>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</si>
  <si>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</si>
  <si>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</si>
  <si>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</si>
  <si>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</si>
  <si>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</si>
  <si>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</si>
  <si>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</si>
  <si>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</si>
  <si>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</si>
  <si>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</si>
  <si>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</si>
  <si>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</si>
  <si>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</si>
  <si>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</si>
  <si>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</si>
  <si>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</si>
  <si>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</si>
  <si>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</si>
  <si>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</si>
  <si>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</si>
  <si>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</si>
  <si>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</si>
  <si>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</si>
  <si>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</si>
  <si>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</si>
  <si>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</si>
  <si>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</si>
  <si>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</si>
  <si>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</si>
  <si>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</si>
  <si>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</si>
  <si>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</si>
  <si>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</si>
  <si>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</si>
  <si>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</si>
  <si>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</si>
  <si>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</si>
  <si>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</si>
  <si>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</si>
  <si>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</si>
  <si>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</si>
  <si>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</si>
  <si>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</si>
  <si>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</si>
  <si>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</si>
  <si>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</si>
  <si>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</si>
  <si>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</si>
  <si>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</si>
  <si>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</si>
  <si>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</si>
  <si>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</si>
  <si>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Szőcs Mónika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</si>
</sst>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Ft&quot;;[Red]\-#,##0\ &quot;Ft&quot;"/>
    <numFmt numFmtId="165" formatCode="0.00000"/>
    <numFmt numFmtId="166" formatCode="#,##0\ &quot;év&quot;"/>
    <numFmt numFmtId="167" formatCode="#,##0\ &quot;Ft&quot;"/>
    <numFmt numFmtId="168" formatCode="#,##0.00\ [$€-1];[Red]\-#,##0.00\ [$€-1]"/>
    <numFmt numFmtId="169"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5"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6"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164" fontId="0" fillId="0" borderId="0" xfId="0" applyNumberFormat="1"/>
    <xf numFmtId="168"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7" fontId="0" fillId="5" borderId="0" xfId="0" applyNumberFormat="1" applyFill="1" applyAlignment="1" applyProtection="1">
      <alignment horizontal="center" vertical="center"/>
      <protection hidden="1"/>
    </xf>
    <xf numFmtId="169"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7" fontId="3" fillId="5" borderId="0" xfId="0" applyNumberFormat="1" applyFont="1" applyFill="1" applyAlignment="1" applyProtection="1">
      <alignment horizontal="center" vertical="center"/>
      <protection hidden="1"/>
    </xf>
    <xf numFmtId="167"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6" fontId="5" fillId="5" borderId="0" xfId="0" applyNumberFormat="1" applyFont="1" applyFill="1" applyAlignment="1" applyProtection="1">
      <alignment vertical="center"/>
      <protection hidden="1"/>
    </xf>
    <xf numFmtId="167"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7" fontId="5" fillId="5" borderId="0" xfId="0" applyNumberFormat="1" applyFont="1" applyFill="1" applyBorder="1" applyAlignment="1" applyProtection="1">
      <alignment vertical="center"/>
      <protection hidden="1"/>
    </xf>
    <xf numFmtId="167"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7"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6" fontId="8" fillId="3" borderId="3" xfId="0" applyNumberFormat="1" applyFont="1" applyFill="1" applyBorder="1" applyAlignment="1" applyProtection="1">
      <alignment horizontal="center" vertical="center"/>
      <protection hidden="1"/>
    </xf>
    <xf numFmtId="166"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6" fontId="8" fillId="3" borderId="3" xfId="0" applyNumberFormat="1" applyFont="1" applyFill="1" applyBorder="1" applyProtection="1">
      <protection hidden="1"/>
    </xf>
    <xf numFmtId="166"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left" vertical="center"/>
      <protection hidden="1"/>
    </xf>
    <xf numFmtId="0" fontId="1" fillId="2" borderId="10"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6" fontId="5" fillId="5" borderId="6" xfId="0" applyNumberFormat="1" applyFont="1" applyFill="1" applyBorder="1" applyAlignment="1" applyProtection="1">
      <alignment horizontal="center" vertical="center"/>
      <protection hidden="1"/>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7" fontId="1" fillId="5" borderId="7" xfId="0" applyNumberFormat="1" applyFont="1" applyFill="1" applyBorder="1" applyAlignment="1" applyProtection="1">
      <alignment horizontal="center" vertical="center"/>
      <protection hidden="1"/>
    </xf>
    <xf numFmtId="167"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15" fillId="5" borderId="0" xfId="0" applyFont="1" applyFill="1" applyAlignment="1" applyProtection="1">
      <alignment horizontal="center" vertical="center"/>
      <protection hidden="1"/>
    </xf>
    <xf numFmtId="167" fontId="0" fillId="5" borderId="6" xfId="0" applyNumberFormat="1" applyFill="1" applyBorder="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7" fontId="1" fillId="3" borderId="6" xfId="0" applyNumberFormat="1" applyFont="1" applyFill="1" applyBorder="1" applyAlignment="1" applyProtection="1">
      <alignment horizontal="center" vertical="center"/>
      <protection locked="0"/>
    </xf>
    <xf numFmtId="166" fontId="0" fillId="5" borderId="6" xfId="0" applyNumberFormat="1" applyFill="1" applyBorder="1" applyAlignment="1" applyProtection="1">
      <alignment horizontal="center" vertical="center"/>
      <protection hidden="1"/>
    </xf>
    <xf numFmtId="167" fontId="17" fillId="5" borderId="6" xfId="0" applyNumberFormat="1" applyFont="1" applyFill="1" applyBorder="1" applyAlignment="1" applyProtection="1">
      <alignment horizontal="right" vertical="center"/>
      <protection hidden="1"/>
    </xf>
    <xf numFmtId="167" fontId="1" fillId="3" borderId="7" xfId="0" applyNumberFormat="1" applyFont="1" applyFill="1" applyBorder="1" applyAlignment="1" applyProtection="1">
      <alignment horizontal="center" vertical="center"/>
      <protection locked="0"/>
    </xf>
    <xf numFmtId="167" fontId="1" fillId="3" borderId="9" xfId="0" applyNumberFormat="1" applyFont="1" applyFill="1" applyBorder="1" applyAlignment="1" applyProtection="1">
      <alignment horizontal="center" vertical="center"/>
      <protection locked="0"/>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6"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7" fontId="0" fillId="5" borderId="3" xfId="0" applyNumberFormat="1" applyFill="1" applyBorder="1" applyAlignment="1" applyProtection="1">
      <alignment horizontal="right"/>
      <protection hidden="1"/>
    </xf>
    <xf numFmtId="167" fontId="0" fillId="4"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167" fontId="5" fillId="5" borderId="6" xfId="0" applyNumberFormat="1" applyFont="1" applyFill="1" applyBorder="1" applyAlignment="1" applyProtection="1">
      <alignment horizontal="center"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7" fontId="0" fillId="5" borderId="10"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22" fillId="5" borderId="0" xfId="0" applyFont="1" applyFill="1" applyAlignment="1" applyProtection="1">
      <alignment horizontal="center" vertical="center"/>
      <protection hidden="1"/>
    </xf>
    <xf numFmtId="167" fontId="0" fillId="5" borderId="5" xfId="0" applyNumberForma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14" fontId="5" fillId="5" borderId="6" xfId="0" applyNumberFormat="1" applyFont="1" applyFill="1" applyBorder="1" applyAlignment="1" applyProtection="1">
      <alignment horizontal="center" vertical="center"/>
      <protection hidden="1"/>
    </xf>
    <xf numFmtId="167" fontId="5" fillId="5" borderId="8" xfId="0" applyNumberFormat="1" applyFont="1" applyFill="1" applyBorder="1" applyAlignment="1" applyProtection="1">
      <alignment horizontal="right" vertical="center"/>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167" fontId="5" fillId="4" borderId="3" xfId="0" applyNumberFormat="1" applyFont="1" applyFill="1" applyBorder="1" applyAlignment="1" applyProtection="1">
      <alignment horizontal="right" vertical="center"/>
      <protection hidden="1"/>
    </xf>
    <xf numFmtId="167" fontId="5" fillId="4" borderId="8" xfId="0" applyNumberFormat="1" applyFont="1" applyFill="1" applyBorder="1" applyAlignment="1" applyProtection="1">
      <alignment horizontal="right" vertical="center"/>
      <protection hidden="1"/>
    </xf>
    <xf numFmtId="167" fontId="5" fillId="5" borderId="3" xfId="0" applyNumberFormat="1" applyFont="1" applyFill="1" applyBorder="1" applyAlignment="1" applyProtection="1">
      <alignment horizontal="right" vertical="center"/>
      <protection hidden="1"/>
    </xf>
    <xf numFmtId="167" fontId="6" fillId="5" borderId="6" xfId="0" applyNumberFormat="1" applyFont="1" applyFill="1" applyBorder="1" applyAlignment="1" applyProtection="1">
      <alignment horizontal="center" vertical="center"/>
      <protection hidden="1"/>
    </xf>
    <xf numFmtId="0" fontId="6" fillId="5" borderId="6" xfId="0" applyNumberFormat="1" applyFont="1" applyFill="1" applyBorder="1" applyAlignment="1" applyProtection="1">
      <alignment horizontal="center"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67" fontId="6" fillId="5" borderId="7" xfId="0" applyNumberFormat="1" applyFont="1" applyFill="1" applyBorder="1" applyAlignment="1" applyProtection="1">
      <alignment horizontal="center" vertical="center"/>
      <protection hidden="1"/>
    </xf>
    <xf numFmtId="167" fontId="6" fillId="5" borderId="9"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6" xfId="0" applyFont="1" applyFill="1" applyBorder="1" applyAlignment="1" applyProtection="1">
      <alignment horizontal="left" vertical="center" wrapText="1"/>
      <protection hidden="1"/>
    </xf>
    <xf numFmtId="0" fontId="1" fillId="2" borderId="14" xfId="0" applyFont="1" applyFill="1" applyBorder="1" applyAlignment="1" applyProtection="1">
      <alignment horizontal="center" vertical="center"/>
      <protection hidden="1"/>
    </xf>
    <xf numFmtId="167" fontId="1" fillId="2" borderId="15"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0" xfId="0" applyFont="1" applyFill="1" applyAlignment="1" applyProtection="1">
      <alignment horizontal="center"/>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0" fillId="5" borderId="8"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11" fillId="5" borderId="18"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6" fillId="5" borderId="3" xfId="0" applyFont="1" applyFill="1" applyBorder="1" applyAlignment="1" applyProtection="1">
      <alignment horizontal="left" wrapText="1"/>
      <protection hidden="1"/>
    </xf>
    <xf numFmtId="0" fontId="16" fillId="5" borderId="0" xfId="0" applyFont="1" applyFill="1" applyBorder="1" applyAlignment="1" applyProtection="1">
      <alignment horizontal="left" wrapText="1"/>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09" t="s">
        <v>24</v>
      </c>
      <c r="C1" s="109"/>
      <c r="D1" s="109"/>
      <c r="M1" s="12" t="s">
        <v>406</v>
      </c>
      <c r="N1" s="12" t="s">
        <v>406</v>
      </c>
      <c r="O1" s="12" t="s">
        <v>406</v>
      </c>
      <c r="P1" s="12" t="s">
        <v>406</v>
      </c>
      <c r="Q1" s="12" t="s">
        <v>406</v>
      </c>
      <c r="R1" s="12" t="s">
        <v>406</v>
      </c>
      <c r="S1" s="12" t="s">
        <v>406</v>
      </c>
      <c r="T1" s="12" t="s">
        <v>406</v>
      </c>
      <c r="U1" s="12" t="s">
        <v>406</v>
      </c>
    </row>
    <row r="2" spans="2:21" ht="12.75" customHeight="1" x14ac:dyDescent="0.2">
      <c r="B2" s="109"/>
      <c r="C2" s="109"/>
      <c r="D2" s="109"/>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17" t="s">
        <v>455</v>
      </c>
      <c r="C5" s="118"/>
      <c r="D5" s="118"/>
      <c r="E5" s="118"/>
      <c r="F5" s="119"/>
      <c r="H5" s="51" t="str">
        <f>IF(Együttkötés!$A$5="STOP","A Kritikus betegség és a Cukorbetegség biztosítások együttes biztosítási összege nem lehet több több, mint "&amp;IF($C$16="Forint","50 000 000 Ft","170 000 €"),"")</f>
        <v/>
      </c>
    </row>
    <row r="6" spans="2:21" ht="12.75" customHeight="1" x14ac:dyDescent="0.2">
      <c r="B6" s="120" t="s">
        <v>731</v>
      </c>
      <c r="C6" s="121"/>
      <c r="D6" s="121"/>
      <c r="E6" s="121"/>
      <c r="F6" s="122"/>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15">
        <v>34111</v>
      </c>
      <c r="D8" s="115"/>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16">
        <f ca="1">IF(ISBLANK($C$8),"",IF(YEAR(TODAY())-YEAR($C$8)&lt;0,"",YEAR(TODAY())-YEAR($C$8)))</f>
        <v>27</v>
      </c>
      <c r="D9" s="116"/>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14" t="s">
        <v>28</v>
      </c>
      <c r="D11" s="114"/>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14" t="s">
        <v>35</v>
      </c>
      <c r="D13" s="114"/>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14" t="s">
        <v>37</v>
      </c>
      <c r="D15" s="114"/>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01" t="str">
        <f>"Fizetendő "&amp;$C$12&amp;" díj:"</f>
        <v>Fizetendő Havi díj:</v>
      </c>
      <c r="C18" s="110">
        <f ca="1">IF(SUMIF($J$28:$K$80,"Ezt kérem!",$I$28:$I$80)-SUMIF($L$28:$L$80,"!",$I$28:$I$80)&lt;IF($C$16="Forint",VLOOKUP($C$12,Paraméterek!$K$1:$Q$4,IF($C$14="Postai",5,6),0),IF($C$14="Postai",SUMIF($J$28:$K$80,"Ezt kérem!",$I$28:$I$80)-SUMIF($L$28:$L$80,"!",$I$28:$I$80)+1,VLOOKUP($C$12,Paraméterek!$K$1:$Q$4,7,0))),0,SUMIF($J$28:$K$80,"Ezt kérem!",$I$28:$I$80)-SUMIF($L$28:$L$80,"!",$I$28:$I$80))</f>
        <v>5886</v>
      </c>
      <c r="D18" s="112" t="str">
        <f>IF(ISBLANK($C$16),"",IF($C$16="Forint","Ft","€"))</f>
        <v>Ft</v>
      </c>
      <c r="H18" s="123" t="s">
        <v>457</v>
      </c>
      <c r="I18" s="124"/>
      <c r="J18" s="127" t="str">
        <f ca="1">IF(COUNTIF($J$28:$K$80,"Ezt kérem!")=0,"---",'PÜ. limitek'!$I$12)</f>
        <v>Nem szükséges</v>
      </c>
      <c r="K18" s="128"/>
    </row>
    <row r="19" spans="2:21" ht="12.75" customHeight="1" x14ac:dyDescent="0.2">
      <c r="B19" s="103"/>
      <c r="C19" s="111"/>
      <c r="D19" s="113"/>
      <c r="H19" s="125"/>
      <c r="I19" s="126"/>
      <c r="J19" s="129"/>
      <c r="K19" s="130"/>
    </row>
    <row r="20" spans="2:21" ht="12.75" customHeight="1" x14ac:dyDescent="0.2">
      <c r="D20" s="33"/>
    </row>
    <row r="21" spans="2:21" ht="12.75" customHeight="1" x14ac:dyDescent="0.2">
      <c r="C21" s="32"/>
      <c r="D21" s="33"/>
      <c r="F21" s="13"/>
    </row>
    <row r="22" spans="2:21" ht="12.75" customHeight="1" x14ac:dyDescent="0.2">
      <c r="B22" s="117" t="s">
        <v>421</v>
      </c>
      <c r="C22" s="118"/>
      <c r="D22" s="118"/>
      <c r="E22" s="118"/>
      <c r="F22" s="119"/>
      <c r="H22" s="123" t="s">
        <v>386</v>
      </c>
      <c r="I22" s="124"/>
      <c r="J22" s="127" t="str">
        <f ca="1">IF(COUNTIF($J$28:$K$80,"Ezt kérem!")=0,"---",'EÜ. limitek'!$J$15)</f>
        <v>Egészségi nyilatkozat</v>
      </c>
      <c r="K22" s="128"/>
      <c r="M22" s="12" t="s">
        <v>410</v>
      </c>
      <c r="N22" s="12" t="s">
        <v>393</v>
      </c>
      <c r="O22" s="12" t="s">
        <v>394</v>
      </c>
      <c r="Q22" s="12" t="s">
        <v>398</v>
      </c>
      <c r="S22" s="12" t="s">
        <v>399</v>
      </c>
      <c r="U22" s="12" t="s">
        <v>397</v>
      </c>
    </row>
    <row r="23" spans="2:21" ht="12.75" customHeight="1" x14ac:dyDescent="0.2">
      <c r="B23" s="120" t="s">
        <v>240</v>
      </c>
      <c r="C23" s="121"/>
      <c r="D23" s="121"/>
      <c r="E23" s="121"/>
      <c r="F23" s="122"/>
      <c r="H23" s="125"/>
      <c r="I23" s="126"/>
      <c r="J23" s="129"/>
      <c r="K23" s="130"/>
      <c r="O23" s="12" t="s">
        <v>395</v>
      </c>
      <c r="P23" s="12" t="s">
        <v>396</v>
      </c>
      <c r="Q23" s="12" t="s">
        <v>395</v>
      </c>
      <c r="R23" s="12" t="s">
        <v>396</v>
      </c>
      <c r="S23" s="12" t="s">
        <v>395</v>
      </c>
      <c r="T23" s="12" t="s">
        <v>396</v>
      </c>
    </row>
    <row r="25" spans="2:21" ht="12.75" customHeight="1" x14ac:dyDescent="0.2">
      <c r="B25" s="131" t="s">
        <v>130</v>
      </c>
      <c r="C25" s="131"/>
      <c r="D25" s="131"/>
      <c r="E25" s="131"/>
      <c r="F25" s="131"/>
      <c r="G25" s="131"/>
      <c r="H25" s="131" t="s">
        <v>40</v>
      </c>
      <c r="J25" s="131" t="s">
        <v>41</v>
      </c>
      <c r="K25" s="131"/>
      <c r="O25" s="12" t="s">
        <v>387</v>
      </c>
    </row>
    <row r="26" spans="2:21" s="16" customFormat="1" ht="12.75" customHeight="1" x14ac:dyDescent="0.2">
      <c r="B26" s="131"/>
      <c r="C26" s="131"/>
      <c r="D26" s="131"/>
      <c r="E26" s="131"/>
      <c r="F26" s="131"/>
      <c r="G26" s="131"/>
      <c r="H26" s="131"/>
      <c r="J26" s="131"/>
      <c r="K26" s="131"/>
    </row>
    <row r="27" spans="2:21" ht="12.75" customHeight="1" x14ac:dyDescent="0.2">
      <c r="B27" s="13"/>
      <c r="O27" s="16"/>
    </row>
    <row r="28" spans="2:21" ht="12.75" customHeight="1" x14ac:dyDescent="0.2">
      <c r="B28" s="100" t="s">
        <v>413</v>
      </c>
      <c r="C28" s="105" t="s">
        <v>0</v>
      </c>
      <c r="D28" s="105"/>
      <c r="E28" s="105"/>
      <c r="F28" s="105"/>
      <c r="G28" s="105"/>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06" t="s">
        <v>730</v>
      </c>
      <c r="K28" s="107"/>
      <c r="L28" s="18" t="str">
        <f>IF(AND($J$28="Ezt kérem!",$H$10&lt;&gt;""),"!","")</f>
        <v/>
      </c>
      <c r="M28" s="21"/>
      <c r="O28" s="16">
        <f>IF(ISBLANK($B$23),0,VLOOKUP($B$23,'Foglalkozási pótdíjak'!$A$3:$K$494,2,0))</f>
        <v>0</v>
      </c>
    </row>
    <row r="29" spans="2:21" ht="12.75" customHeight="1" x14ac:dyDescent="0.2">
      <c r="B29" s="100"/>
      <c r="C29" s="105" t="s">
        <v>1</v>
      </c>
      <c r="D29" s="105"/>
      <c r="E29" s="105"/>
      <c r="F29" s="105"/>
      <c r="G29" s="105"/>
      <c r="H29" s="95">
        <v>20600000</v>
      </c>
      <c r="I29" s="17">
        <f ca="1">IF(ISBLANK($C$8),"",ROUND(VLOOKUP($C$9,'MM-MC Tarifák'!$A$3:$AQ$67,HLOOKUP($C29,'MM-MC Tarifák'!$B$1:$AQ$2,2,0),0)/1000*$H$29*IF(OR(AND($C$16="Forint",$H$29&gt;=500000,$H$29&lt;=100000000),AND($C$16="Euró",$H$29&gt;=1700,$H$29&lt;=325000)),1,0)*VLOOKUP($C$12,Paraméterek!$K$1:$L$4,2,0)*IF($O$29="Kizárás",1,1+$O$29),IF($C$16="Forint",0,2)))</f>
        <v>3363</v>
      </c>
      <c r="J29" s="106"/>
      <c r="K29" s="107"/>
      <c r="L29" s="18" t="str">
        <f>IF(AND($J$29="Ezt kérem!",OR($H$6&lt;&gt;"",$H$7&lt;&gt;"")),"!","")</f>
        <v/>
      </c>
      <c r="M29" s="27"/>
      <c r="O29" s="16">
        <f>IF(ISBLANK($B$23),0,VLOOKUP($B$23,'Foglalkozási pótdíjak'!$A$3:$K$494,3,0))</f>
        <v>0</v>
      </c>
    </row>
    <row r="30" spans="2:21" ht="12.75" customHeight="1" x14ac:dyDescent="0.2">
      <c r="B30" s="100"/>
      <c r="C30" s="105" t="s">
        <v>412</v>
      </c>
      <c r="D30" s="105"/>
      <c r="E30" s="105"/>
      <c r="F30" s="105"/>
      <c r="G30" s="105"/>
      <c r="H30" s="95">
        <v>20600000</v>
      </c>
      <c r="I30" s="17">
        <f ca="1">IF(ISBLANK($C$8),"",ROUND(VLOOKUP($C$9,'MM-MC Tarifák'!$A$3:$AQ$67,HLOOKUP($C30,'MM-MC Tarifák'!$B$1:$AQ$2,2,0),0)/1000*$H$30*IF(OR(AND($C$16="Forint",$H$30&gt;=500000,$H$30&lt;=100000000),AND($C$16="Euró",$H$30&gt;=1700,$H$30&lt;=325000)),1,0)*VLOOKUP($C$12,Paraméterek!$K$1:$L$4,2,0)*IF($O$30="Kizárás",1,1+$O$30),IF($C$16="Forint",0,2)))</f>
        <v>1056</v>
      </c>
      <c r="J30" s="106"/>
      <c r="K30" s="107"/>
      <c r="L30" s="18" t="str">
        <f>IF(AND($J$30="Ezt kérem!",$H$7&lt;&gt;""),"!","")</f>
        <v/>
      </c>
      <c r="M30" s="21"/>
      <c r="O30" s="49">
        <v>0</v>
      </c>
    </row>
    <row r="31" spans="2:21" ht="12.75" customHeight="1" x14ac:dyDescent="0.2">
      <c r="B31" s="100"/>
      <c r="C31" s="105" t="s">
        <v>2</v>
      </c>
      <c r="D31" s="105"/>
      <c r="E31" s="105"/>
      <c r="F31" s="105"/>
      <c r="G31" s="105"/>
      <c r="H31" s="95">
        <v>20600000</v>
      </c>
      <c r="I31" s="17">
        <f ca="1">IF(ISBLANK($C$8),"",ROUND(VLOOKUP($C$9,'MM-MC Tarifák'!$A$3:$AQ$67,HLOOKUP($C31,'MM-MC Tarifák'!$B$1:$AQ$2,2,0),0)/1000*$H$31*IF(OR(AND($C$16="Forint",$H$31&gt;=500000,$H$31&lt;=200000000),AND($C$16="Euró",$H$31&gt;=1700,$H$31&lt;=650000)),1,0)*VLOOKUP($C$12,Paraméterek!$K$1:$L$4,2,0)*IF($O$31="Kizárás",1,1+$O$31),IF($C$16="Forint",0,2)))</f>
        <v>1708</v>
      </c>
      <c r="J31" s="106"/>
      <c r="K31" s="107"/>
      <c r="L31" s="18" t="str">
        <f>IF(AND($J$31="Ezt kérem!",$H$10&lt;&gt;""),"!","")</f>
        <v/>
      </c>
      <c r="M31" s="21"/>
      <c r="O31" s="16">
        <f>IF(ISBLANK($B$23),0,VLOOKUP($B$23,'Foglalkozási pótdíjak'!$A$3:$K$494,3,0))</f>
        <v>0</v>
      </c>
    </row>
    <row r="32" spans="2:21" ht="12.75" customHeight="1" x14ac:dyDescent="0.2">
      <c r="B32" s="100"/>
      <c r="C32" s="105" t="s">
        <v>3</v>
      </c>
      <c r="D32" s="105"/>
      <c r="E32" s="105"/>
      <c r="F32" s="105"/>
      <c r="G32" s="105"/>
      <c r="H32" s="95">
        <v>10000000</v>
      </c>
      <c r="I32" s="17">
        <f ca="1">IF(ISBLANK($C$8),"",ROUND(VLOOKUP($C$9,'MM-MC Tarifák'!$A$3:$AQ$67,HLOOKUP($C32,'MM-MC Tarifák'!$B$1:$AQ$2,2,0),0)/1000*$H$32*IF(OR(AND($C$16="Forint",$H$32&gt;=500000,$H$32&lt;=100000000),AND($C$16="Euró",$H$32&gt;=1700,$H$32&lt;=325000)),1,0)*VLOOKUP($C$12,Paraméterek!$K$1:$L$4,2,0)*IF($O$32="Kizárás",1,1+$O$32),IF($C$16="Forint",0,2)))</f>
        <v>26</v>
      </c>
      <c r="J32" s="106"/>
      <c r="K32" s="10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00" t="s">
        <v>4</v>
      </c>
      <c r="C35" s="105" t="s">
        <v>62</v>
      </c>
      <c r="D35" s="105"/>
      <c r="E35" s="105"/>
      <c r="F35" s="105"/>
      <c r="G35" s="105"/>
      <c r="H35" s="104">
        <v>10000000</v>
      </c>
      <c r="I35" s="17">
        <f ca="1">IF(ISBLANK($C$8),"",ROUND(VLOOKUP($C$9,'MM-MC Tarifák'!$A$3:$AQ$67,HLOOKUP($C35,'MM-MC Tarifák'!$B$1:$AQ$2,2,0),0)/1000*$H$35*IF(OR(AND($C$16="Forint",$H$35&gt;=1000000,$H$35&lt;=50000000),AND($C$16="Euró",$H$35&gt;=3400,$H$35&lt;=162500)),1,0)*VLOOKUP($C$12,Paraméterek!$K$1:$L$4,2,0)*IF($O$35="Kizárás",1,1+$O$35),IF($C$16="Forint",0,2)))</f>
        <v>1128</v>
      </c>
      <c r="J35" s="106"/>
      <c r="K35" s="107"/>
      <c r="L35" s="18" t="str">
        <f>IF(AND($J$35="Ezt kérem!",OR($H$4&lt;&gt;"",$H$5&lt;&gt;"")),"!","")</f>
        <v/>
      </c>
      <c r="M35" s="21"/>
      <c r="O35" s="16">
        <f>IF(ISBLANK($B$23),0,VLOOKUP($B$23,'Foglalkozási pótdíjak'!$A$3:$K$494,4,0))</f>
        <v>0</v>
      </c>
    </row>
    <row r="36" spans="2:15" ht="12.75" customHeight="1" x14ac:dyDescent="0.2">
      <c r="B36" s="100"/>
      <c r="C36" s="105" t="s">
        <v>63</v>
      </c>
      <c r="D36" s="105"/>
      <c r="E36" s="105"/>
      <c r="F36" s="105"/>
      <c r="G36" s="105"/>
      <c r="H36" s="104"/>
      <c r="I36" s="17">
        <f ca="1">IF(ISBLANK($C$8),"",ROUND(VLOOKUP($C$9,'MM-MC Tarifák'!$A$3:$AQ$67,HLOOKUP($C36,'MM-MC Tarifák'!$B$1:$AQ$2,2,0),0)/1000*$H$35*IF(OR(AND($C$16="Forint",$H$35&gt;=1000000,$H$35&lt;=50000000),AND($C$16="Euró",$H$35&gt;=3400,$H$35&lt;=162500)),1,0)*VLOOKUP($C$12,Paraméterek!$K$1:$L$4,2,0)*IF($O$36="Kizárás",1,1+$O$36),IF($C$16="Forint",0,2)))</f>
        <v>1547</v>
      </c>
      <c r="J36" s="106"/>
      <c r="K36" s="107"/>
      <c r="L36" s="18" t="str">
        <f>IF(AND($J$36="Ezt kérem!",OR($H$4&lt;&gt;"",$H$5&lt;&gt;"")),"!","")</f>
        <v/>
      </c>
      <c r="M36" s="21"/>
      <c r="O36" s="16">
        <f>IF(ISBLANK($B$23),0,VLOOKUP($B$23,'Foglalkozási pótdíjak'!$A$3:$K$494,4,0))</f>
        <v>0</v>
      </c>
    </row>
    <row r="37" spans="2:15" ht="12.75" customHeight="1" x14ac:dyDescent="0.2">
      <c r="B37" s="100"/>
      <c r="C37" s="105" t="s">
        <v>64</v>
      </c>
      <c r="D37" s="105"/>
      <c r="E37" s="105"/>
      <c r="F37" s="105"/>
      <c r="G37" s="105"/>
      <c r="H37" s="104"/>
      <c r="I37" s="17">
        <f ca="1">IF(ISBLANK($C$8),"",ROUND(VLOOKUP($C$9,'MM-MC Tarifák'!$A$3:$AQ$67,HLOOKUP($C37,'MM-MC Tarifák'!$B$1:$AQ$2,2,0),0)/1000*$H$35*IF(OR(AND($C$16="Forint",$H$35&gt;=1000000,$H$35&lt;=50000000),AND($C$16="Euró",$H$35&gt;=3400,$H$35&lt;=162500)),1,0)*VLOOKUP($C$12,Paraméterek!$K$1:$L$4,2,0)*IF($O$37="Kizárás",1,1+$O$37),IF($C$16="Forint",0,2)))</f>
        <v>1940</v>
      </c>
      <c r="J37" s="106"/>
      <c r="K37" s="10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0" t="s">
        <v>5</v>
      </c>
      <c r="C40" s="105" t="s">
        <v>6</v>
      </c>
      <c r="D40" s="105"/>
      <c r="E40" s="105"/>
      <c r="F40" s="105"/>
      <c r="G40" s="105"/>
      <c r="H40" s="93">
        <v>28400000</v>
      </c>
      <c r="I40" s="17">
        <f ca="1">IF(ISBLANK($C$8),"",ROUND(VLOOKUP($C$9,'MM-MC Tarifák'!$A$3:$AQ$67,HLOOKUP($C40,'MM-MC Tarifák'!$B$1:$AQ$2,2,0),0)/1000*$H$40*IF(OR(AND($C$16="Forint",$H$40&gt;=500000,$H$40&lt;=200000000),AND($C$16="Euró",$H$40&gt;=1700,$H$40&lt;=650000)),1,0)*VLOOKUP($C$12,Paraméterek!$K$1:$L$4,2,0)*IF($O$40="Kizárás",1,1+$O$40),IF($C$16="Forint",0,2)))</f>
        <v>1578</v>
      </c>
      <c r="J40" s="106"/>
      <c r="K40" s="107"/>
      <c r="L40" s="18" t="str">
        <f>IF(AND($J$40="Ezt kérem!",$H$8&lt;&gt;""),"!","")</f>
        <v/>
      </c>
      <c r="M40" s="21"/>
      <c r="O40" s="16">
        <f>IF(ISBLANK($B$23),0,VLOOKUP($B$23,'Foglalkozási pótdíjak'!$A$3:$K$494,6,0))</f>
        <v>0</v>
      </c>
    </row>
    <row r="41" spans="2:15" ht="12.75" customHeight="1" x14ac:dyDescent="0.2">
      <c r="B41" s="100"/>
      <c r="C41" s="105" t="s">
        <v>7</v>
      </c>
      <c r="D41" s="105"/>
      <c r="E41" s="105"/>
      <c r="F41" s="105"/>
      <c r="G41" s="105"/>
      <c r="H41" s="96">
        <v>28400000</v>
      </c>
      <c r="I41" s="17">
        <f ca="1">IF(ISBLANK($C$8),"",ROUND(VLOOKUP($C$9,'MM-MC Tarifák'!$A$3:$AQ$67,HLOOKUP($C41,'MM-MC Tarifák'!$B$1:$AQ$2,2,0),0)/1000*$H$41*IF(OR(AND($C$16="Forint",$H$41&gt;=500000,$H$41&lt;=200000000),AND($C$16="Euró",$H$41&gt;=1700,$H$41&lt;=650000)),1,0)*VLOOKUP($C$12,Paraméterek!$K$1:$L$4,2,0)*IF($O$41="Kizárás",1,1+$O$41),IF($C$16="Forint",0,2)))</f>
        <v>4491</v>
      </c>
      <c r="J41" s="106"/>
      <c r="K41" s="107"/>
      <c r="L41" s="18" t="str">
        <f>IF(AND($J$41="Ezt kérem!",$H$8&lt;&gt;""),"!","")</f>
        <v/>
      </c>
      <c r="M41" s="21"/>
      <c r="O41" s="16">
        <f>IF(ISBLANK($B$23),0,VLOOKUP($B$23,'Foglalkozási pótdíjak'!$A$3:$K$494,5,0))</f>
        <v>0</v>
      </c>
    </row>
    <row r="42" spans="2:15" ht="12.75" customHeight="1" x14ac:dyDescent="0.2">
      <c r="B42" s="100"/>
      <c r="C42" s="105" t="s">
        <v>8</v>
      </c>
      <c r="D42" s="105"/>
      <c r="E42" s="105"/>
      <c r="F42" s="105"/>
      <c r="G42" s="105"/>
      <c r="H42" s="96">
        <v>8000000</v>
      </c>
      <c r="I42" s="17">
        <f ca="1">IF(ISBLANK($C$8),"",ROUND(VLOOKUP($C$9,'MM-MC Tarifák'!$A$3:$AQ$67,HLOOKUP($C42,'MM-MC Tarifák'!$B$1:$AQ$2,2,0),0)/1000*$H$42*IF(OR(AND($C$16="Forint",$H$42&gt;=500000,$H$42&lt;=200000000),AND($C$16="Euró",$H$42&gt;=1700,$H$42&lt;=650000)),1,0)*VLOOKUP($C$12,Paraméterek!$K$1:$L$4,2,0)*IF($O$42="Kizárás",1,1+$O$42),IF($C$16="Forint",0,2)))</f>
        <v>1962</v>
      </c>
      <c r="J42" s="106" t="s">
        <v>730</v>
      </c>
      <c r="K42" s="107"/>
      <c r="L42" s="18" t="str">
        <f>IF(AND($J$42="Ezt kérem!",$H$8&lt;&gt;""),"!","")</f>
        <v/>
      </c>
      <c r="M42" s="21"/>
      <c r="O42" s="16">
        <f>IF(ISBLANK($B$23),0,VLOOKUP($B$23,'Foglalkozási pótdíjak'!$A$3:$K$494,5,0))</f>
        <v>0</v>
      </c>
    </row>
    <row r="43" spans="2:15" ht="12.75" customHeight="1" x14ac:dyDescent="0.2">
      <c r="B43" s="100"/>
      <c r="C43" s="105" t="s">
        <v>65</v>
      </c>
      <c r="D43" s="105"/>
      <c r="E43" s="105"/>
      <c r="F43" s="105"/>
      <c r="G43" s="105"/>
      <c r="H43" s="96">
        <v>28400000</v>
      </c>
      <c r="I43" s="17">
        <f ca="1">IF(ISBLANK($C$8),"",ROUND(VLOOKUP($C$9,'MM-MC Tarifák'!$A$3:$AQ$67,HLOOKUP($C43,'MM-MC Tarifák'!$B$1:$AQ$2,2,0),0)/1000*$H$43*IF(OR(AND($C$16="Forint",$H$43&gt;=500000,$H$43&lt;=80000000),AND($C$16="Euró",$H$43&gt;=1700,$H$43&lt;=260000)),1,0)*VLOOKUP($C$12,Paraméterek!$K$1:$L$4,2,0)*IF($O$43="Kizárás",1,1+$O$43),IF($C$16="Forint",0,2)))</f>
        <v>9272</v>
      </c>
      <c r="J43" s="106"/>
      <c r="K43" s="107"/>
      <c r="L43" s="18" t="str">
        <f>IF(AND($J$43="Ezt kérem!",$H$8&lt;&gt;""),"!","")</f>
        <v/>
      </c>
      <c r="M43" s="21"/>
      <c r="O43" s="16">
        <f>IF(ISBLANK($B$23),0,VLOOKUP($B$23,'Foglalkozási pótdíjak'!$A$3:$K$494,5,0))</f>
        <v>0</v>
      </c>
    </row>
    <row r="44" spans="2:15" ht="12.75" customHeight="1" x14ac:dyDescent="0.2">
      <c r="B44" s="100"/>
      <c r="C44" s="105" t="s">
        <v>9</v>
      </c>
      <c r="D44" s="105"/>
      <c r="E44" s="105"/>
      <c r="F44" s="105"/>
      <c r="G44" s="105"/>
      <c r="H44" s="96">
        <v>8000000</v>
      </c>
      <c r="I44" s="17">
        <f ca="1">IF(ISBLANK($C$8),"",ROUND(VLOOKUP($C$9,'MM-MC Tarifák'!$A$3:$AQ$67,HLOOKUP($C44,'MM-MC Tarifák'!$B$1:$AQ$2,2,0),0)/1000*$H$44*IF(OR(AND($C$16="Forint",$H$44&gt;=500000,$H$44&lt;=100000000),AND($C$16="Euró",$H$44&gt;=1700,$H$44&lt;=325000)),1,0)*VLOOKUP($C$12,Paraméterek!$K$1:$L$4,2,0)*IF($O$44="Kizárás",1,1+$O$44),IF($C$16="Forint",0,2)))</f>
        <v>3836</v>
      </c>
      <c r="J44" s="106"/>
      <c r="K44" s="10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01" t="s">
        <v>10</v>
      </c>
      <c r="C47" s="105" t="s">
        <v>67</v>
      </c>
      <c r="D47" s="105"/>
      <c r="E47" s="105"/>
      <c r="F47" s="105"/>
      <c r="G47" s="105"/>
      <c r="H47" s="92">
        <v>20000</v>
      </c>
      <c r="I47" s="17">
        <f ca="1">IF(ISBLANK($C$8),"",ROUND(VLOOKUP($C$9,'MM-MC Tarifák'!$A$3:$AQ$67,HLOOKUP($C47,'MM-MC Tarifák'!$B$1:$AQ$2,2,0),0)/1000*$H$47*IF(OR(AND($C$16="Forint",$H$47&gt;=10000,$H$47&lt;=1666666),AND($C$16="Euró",$H$47&gt;=34,$H$47&lt;=5416)),1,0)*VLOOKUP($C$12,Paraméterek!$K$1:$L$4,2,0)*IF($O$47="Kizárás",1,1+$O$47),IF($C$16="Forint",0,2)))</f>
        <v>196</v>
      </c>
      <c r="J47" s="106"/>
      <c r="K47" s="107"/>
      <c r="L47" s="18" t="str">
        <f>IF(AND($J$47="Ezt kérem!",OR($H$6&lt;&gt;"",$H$7&lt;&gt;"")),"!","")</f>
        <v/>
      </c>
      <c r="M47" s="21"/>
      <c r="O47" s="16">
        <f>IF(ISBLANK($B$23),0,VLOOKUP($B$23,'Foglalkozási pótdíjak'!$A$3:$K$494,3,0))</f>
        <v>0</v>
      </c>
    </row>
    <row r="48" spans="2:15" ht="12.75" customHeight="1" x14ac:dyDescent="0.2">
      <c r="B48" s="102"/>
      <c r="C48" s="105" t="s">
        <v>68</v>
      </c>
      <c r="D48" s="105"/>
      <c r="E48" s="105"/>
      <c r="F48" s="105"/>
      <c r="G48" s="105"/>
      <c r="H48" s="92">
        <v>20000</v>
      </c>
      <c r="I48" s="17">
        <f ca="1">IF(ISBLANK($C$8),"",ROUND(VLOOKUP($C$9,'MM-MC Tarifák'!$A$3:$AQ$67,HLOOKUP($C48,'MM-MC Tarifák'!$B$1:$AQ$2,2,0),0)/1000*$H$48*IF(OR(AND($C$16="Forint",$H$48&gt;=10000,$H$48&lt;=833333),AND($C$16="Euró",$H$48&gt;=34,$H$48&lt;=2708)),1,0)*VLOOKUP($C$12,Paraméterek!$K$1:$L$4,2,0)*IF($O$48="Kizárás",1,1+$O$48),IF($C$16="Forint",0,2)))</f>
        <v>392</v>
      </c>
      <c r="J48" s="106"/>
      <c r="K48" s="107"/>
      <c r="L48" s="18" t="str">
        <f>IF(AND($J$48="Ezt kérem!",OR($H$6&lt;&gt;"",$H$7&lt;&gt;"")),"!","")</f>
        <v/>
      </c>
      <c r="M48" s="21"/>
      <c r="O48" s="16">
        <f>IF(ISBLANK($B$23),0,VLOOKUP($B$23,'Foglalkozási pótdíjak'!$A$3:$K$494,3,0))</f>
        <v>0</v>
      </c>
    </row>
    <row r="49" spans="2:15" ht="12.75" customHeight="1" x14ac:dyDescent="0.2">
      <c r="B49" s="102"/>
      <c r="C49" s="105" t="s">
        <v>69</v>
      </c>
      <c r="D49" s="105"/>
      <c r="E49" s="105"/>
      <c r="F49" s="105"/>
      <c r="G49" s="105"/>
      <c r="H49" s="92">
        <v>20000</v>
      </c>
      <c r="I49" s="17">
        <f ca="1">IF(ISBLANK($C$8),"",ROUND(VLOOKUP($C$9,'MM-MC Tarifák'!$A$3:$AQ$67,HLOOKUP($C49,'MM-MC Tarifák'!$B$1:$AQ$2,2,0),0)/1000*$H$49*IF(OR(AND($C$16="Forint",$H$49&gt;=10000,$H$49&lt;=1666666),AND($C$16="Euró",$H$49&gt;=34,$H$49&lt;=5416)),1,0)*VLOOKUP($C$12,Paraméterek!$K$1:$L$4,2,0)*IF($O$49="Kizárás",1,1+$O$49),IF($C$16="Forint",0,2)))</f>
        <v>3</v>
      </c>
      <c r="J49" s="106"/>
      <c r="K49" s="107"/>
      <c r="L49" s="18" t="str">
        <f>IF(AND($J$49="Ezt kérem!",OR($H$7&lt;&gt;"",$H$9&lt;&gt;"")),"!","")</f>
        <v/>
      </c>
      <c r="M49" s="21"/>
      <c r="O49" s="49">
        <v>0</v>
      </c>
    </row>
    <row r="50" spans="2:15" ht="12.75" customHeight="1" x14ac:dyDescent="0.2">
      <c r="B50" s="102"/>
      <c r="C50" s="105" t="s">
        <v>70</v>
      </c>
      <c r="D50" s="105"/>
      <c r="E50" s="105"/>
      <c r="F50" s="105"/>
      <c r="G50" s="105"/>
      <c r="H50" s="92">
        <v>20000</v>
      </c>
      <c r="I50" s="17">
        <f ca="1">IF(ISBLANK($C$8),"",ROUND(VLOOKUP($C$9,'MM-MC Tarifák'!$A$3:$AQ$67,HLOOKUP($C50,'MM-MC Tarifák'!$B$1:$AQ$2,2,0),0)/1000*$H$50*IF(OR(AND($C$16="Forint",$H$50&gt;=10000,$H$50&lt;=833333),AND($C$16="Euró",$H$50&gt;=34,$H$50&lt;=2708)),1,0)*VLOOKUP($C$12,Paraméterek!$K$1:$L$4,2,0)*IF($O$50="Kizárás",1,1+$O$50),IF($C$16="Forint",0,2)))</f>
        <v>6</v>
      </c>
      <c r="J50" s="106"/>
      <c r="K50" s="107"/>
      <c r="L50" s="18" t="str">
        <f>IF(AND($J$50="Ezt kérem!",OR($H$7&lt;&gt;"",$H$9&lt;&gt;"")),"!","")</f>
        <v/>
      </c>
      <c r="M50" s="21"/>
      <c r="O50" s="49">
        <v>0</v>
      </c>
    </row>
    <row r="51" spans="2:15" ht="12.75" customHeight="1" x14ac:dyDescent="0.2">
      <c r="B51" s="102"/>
      <c r="C51" s="105" t="s">
        <v>71</v>
      </c>
      <c r="D51" s="105"/>
      <c r="E51" s="105"/>
      <c r="F51" s="105"/>
      <c r="G51" s="105"/>
      <c r="H51" s="92">
        <v>20000</v>
      </c>
      <c r="I51" s="17">
        <f ca="1">IF(ISBLANK($C$8),"",ROUND(VLOOKUP($C$9,'MM-MC Tarifák'!$A$3:$AQ$67,HLOOKUP($C51,'MM-MC Tarifák'!$B$1:$AQ$2,2,0),0)/1000*$H$51*IF(OR(AND($C$16="Forint",$H$51&gt;=10000,$H$51&lt;=3333333),AND($C$16="Euró",$H$51&gt;=34,$H$51&lt;=10833)),1,0)*VLOOKUP($C$12,Paraméterek!$K$1:$L$4,2,0)*IF($O$51="Kizárás",1,1+$O$51),IF($C$16="Forint",0,2)))</f>
        <v>76</v>
      </c>
      <c r="J51" s="106"/>
      <c r="K51" s="107"/>
      <c r="L51" s="18" t="str">
        <f>IF(AND($J$51="Ezt kérem!",OR($H$8&lt;&gt;"",$H$15&lt;&gt;"")),"!","")</f>
        <v/>
      </c>
      <c r="M51" s="21"/>
      <c r="O51" s="16">
        <f>IF(ISBLANK($B$23),0,VLOOKUP($B$23,'Foglalkozási pótdíjak'!$A$3:$K$494,6,0))</f>
        <v>0</v>
      </c>
    </row>
    <row r="52" spans="2:15" ht="12.75" customHeight="1" x14ac:dyDescent="0.2">
      <c r="B52" s="102"/>
      <c r="C52" s="105" t="s">
        <v>72</v>
      </c>
      <c r="D52" s="105"/>
      <c r="E52" s="105"/>
      <c r="F52" s="105"/>
      <c r="G52" s="105"/>
      <c r="H52" s="92">
        <v>20000</v>
      </c>
      <c r="I52" s="17">
        <f ca="1">IF(ISBLANK($C$8),"",ROUND(VLOOKUP($C$9,'MM-MC Tarifák'!$A$3:$AQ$67,HLOOKUP($C52,'MM-MC Tarifák'!$B$1:$AQ$2,2,0),0)/1000*$H$52*IF(OR(AND($C$16="Forint",$H$52&gt;=10000,$H$52&lt;=1666666),AND($C$16="Euró",$H$52&gt;=34,$H$52&lt;=5416)),1,0)*VLOOKUP($C$12,Paraméterek!$K$1:$L$4,2,0)*IF($O$52="Kizárás",1,1+$O$52),IF($C$16="Forint",0,2)))</f>
        <v>153</v>
      </c>
      <c r="J52" s="106"/>
      <c r="K52" s="107"/>
      <c r="L52" s="18" t="str">
        <f>IF(AND($J$52="Ezt kérem!",OR($H$8&lt;&gt;"",$H$15&lt;&gt;"")),"!","")</f>
        <v/>
      </c>
      <c r="M52" s="21"/>
      <c r="O52" s="16">
        <f>IF(ISBLANK($B$23),0,VLOOKUP($B$23,'Foglalkozási pótdíjak'!$A$3:$K$494,6,0))</f>
        <v>0</v>
      </c>
    </row>
    <row r="53" spans="2:15" ht="12.75" customHeight="1" x14ac:dyDescent="0.2">
      <c r="B53" s="102"/>
      <c r="C53" s="105" t="s">
        <v>73</v>
      </c>
      <c r="D53" s="105"/>
      <c r="E53" s="105"/>
      <c r="F53" s="105"/>
      <c r="G53" s="105"/>
      <c r="H53" s="92">
        <v>20000</v>
      </c>
      <c r="I53" s="17">
        <f ca="1">IF(ISBLANK($C$8),"",ROUND(VLOOKUP($C$9,'MM-MC Tarifák'!$A$3:$AQ$67,HLOOKUP($C53,'MM-MC Tarifák'!$B$1:$AQ$2,2,0),0)/1000*$H$53*IF(OR(AND($C$16="Forint",$H$53&gt;=10000,$H$53&lt;=1666666),AND($C$16="Euró",$H$53&gt;=34,$H$53&lt;=5416)),1,0)*VLOOKUP($C$12,Paraméterek!$K$1:$L$4,2,0)*IF($O$53="Kizárás",1,1+$O$53),IF($C$16="Forint",0,2)))</f>
        <v>575</v>
      </c>
      <c r="J53" s="106"/>
      <c r="K53" s="107"/>
      <c r="L53" s="18" t="str">
        <f>IF(AND($J$53="Ezt kérem!",$H$15&lt;&gt;""),"!","")</f>
        <v/>
      </c>
      <c r="M53" s="21"/>
      <c r="O53" s="16">
        <f>IF(ISBLANK($B$23),0,VLOOKUP($B$23,'Foglalkozási pótdíjak'!$A$3:$K$494,5,0))</f>
        <v>0</v>
      </c>
    </row>
    <row r="54" spans="2:15" ht="12.75" customHeight="1" x14ac:dyDescent="0.2">
      <c r="B54" s="103"/>
      <c r="C54" s="105" t="s">
        <v>74</v>
      </c>
      <c r="D54" s="105"/>
      <c r="E54" s="105"/>
      <c r="F54" s="105"/>
      <c r="G54" s="105"/>
      <c r="H54" s="92">
        <v>20000</v>
      </c>
      <c r="I54" s="17">
        <f ca="1">IF(ISBLANK($C$8),"",ROUND(VLOOKUP($C$9,'MM-MC Tarifák'!$A$3:$AQ$67,HLOOKUP($C54,'MM-MC Tarifák'!$B$1:$AQ$2,2,0),0)/1000*$H$54*IF(OR(AND($C$16="Forint",$H$54&gt;=10000,$H$54&lt;=833333),AND($C$16="Euró",$H$54&gt;=34,$H$54&lt;=2708)),1,0)*VLOOKUP($C$12,Paraméterek!$K$1:$L$4,2,0)*IF($O$54="Kizárás",1,1+$O$54),IF($C$16="Forint",0,2)))</f>
        <v>1151</v>
      </c>
      <c r="J54" s="106"/>
      <c r="K54" s="10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00" t="s">
        <v>11</v>
      </c>
      <c r="C57" s="105" t="s">
        <v>12</v>
      </c>
      <c r="D57" s="105"/>
      <c r="E57" s="105"/>
      <c r="F57" s="105"/>
      <c r="G57" s="105"/>
      <c r="H57" s="92">
        <v>200000</v>
      </c>
      <c r="I57" s="17">
        <f ca="1">IF(ISBLANK($C$8),"",ROUND(VLOOKUP($C$9,'MM-MC Tarifák'!$A$3:$AQ$67,HLOOKUP($C57,'MM-MC Tarifák'!$B$1:$AQ$2,2,0),0)/1000*$H$57*IF(OR(AND($C$16="Forint",$H$57&gt;=100000,$H$57&lt;=1000000),AND($C$16="Euró",$H$57&gt;=340,$H$57&lt;=3250)),1,0)*VLOOKUP($C$12,Paraméterek!$K$1:$L$4,2,0)*IF($O$57="Kizárás",1,1+$O$57),IF($C$16="Forint",0,2)))</f>
        <v>395</v>
      </c>
      <c r="J57" s="106"/>
      <c r="K57" s="107"/>
      <c r="L57" s="18" t="str">
        <f>IF(AND($J$57="Ezt kérem!",$H$13&lt;&gt;""),"!","")</f>
        <v/>
      </c>
      <c r="M57" s="21"/>
      <c r="O57" s="16">
        <f>IF(ISBLANK($B$23),0,VLOOKUP($B$23,'Foglalkozási pótdíjak'!$A$3:$K$494,8,0))</f>
        <v>0</v>
      </c>
    </row>
    <row r="58" spans="2:15" ht="12.75" customHeight="1" x14ac:dyDescent="0.2">
      <c r="B58" s="100"/>
      <c r="C58" s="105" t="s">
        <v>66</v>
      </c>
      <c r="D58" s="105"/>
      <c r="E58" s="105"/>
      <c r="F58" s="105"/>
      <c r="G58" s="105"/>
      <c r="H58" s="96">
        <v>200000</v>
      </c>
      <c r="I58" s="17">
        <f ca="1">IF(ISBLANK($C$8),"",ROUND(VLOOKUP($C$9,'MM-MC Tarifák'!$A$3:$AQ$67,HLOOKUP($C58,'MM-MC Tarifák'!$B$1:$AQ$2,2,0),0)/1000*$H$58*IF(OR(AND($C$16="Forint",$H$58&gt;=100000,$H$58&lt;=500000),AND($C$16="Euró",$H$58&gt;=340,$H$58&lt;=1625)),1,0)*VLOOKUP($C$12,Paraméterek!$K$1:$L$4,2,0)*IF($O$58="Kizárás",1,1+$O$58),IF($C$16="Forint",0,2)))</f>
        <v>625</v>
      </c>
      <c r="J58" s="106"/>
      <c r="K58" s="107"/>
      <c r="L58" s="18" t="str">
        <f>IF(AND($J$58="Ezt kérem!",$H$13&lt;&gt;""),"!","")</f>
        <v/>
      </c>
      <c r="M58" s="21"/>
      <c r="O58" s="16">
        <f>IF(ISBLANK($B$23),0,VLOOKUP($B$23,'Foglalkozási pótdíjak'!$A$3:$K$494,8,0))</f>
        <v>0</v>
      </c>
    </row>
    <row r="59" spans="2:15" ht="12.75" customHeight="1" x14ac:dyDescent="0.2">
      <c r="B59" s="100"/>
      <c r="C59" s="105" t="s">
        <v>25</v>
      </c>
      <c r="D59" s="105"/>
      <c r="E59" s="105"/>
      <c r="F59" s="105"/>
      <c r="G59" s="105"/>
      <c r="H59" s="96">
        <v>300000</v>
      </c>
      <c r="I59" s="17">
        <f ca="1">IF(ISBLANK($C$8),"",ROUND(VLOOKUP($C$9,'MM-MC Tarifák'!$A$3:$AQ$67,HLOOKUP($C59,'MM-MC Tarifák'!$B$1:$AQ$2,2,0),0)/1000*$H$59*IF(OR(AND($C$16="Forint",$H$59&gt;=100000,$H$59&lt;=1000000),AND($C$16="Euró",$H$59&gt;=340,$H$59&lt;=3250)),1,0)*VLOOKUP($C$12,Paraméterek!$K$1:$L$4,2,0)*IF($O$59="Kizárás",1,1+$O$59),IF($C$16="Forint",0,2)))</f>
        <v>1568</v>
      </c>
      <c r="J59" s="106" t="s">
        <v>730</v>
      </c>
      <c r="K59" s="107"/>
      <c r="L59" s="18" t="str">
        <f>IF(AND($J$59="Ezt kérem!",$H$14&lt;&gt;""),"!","")</f>
        <v/>
      </c>
      <c r="M59" s="21"/>
      <c r="O59" s="16">
        <f>IF(ISBLANK($B$23),0,VLOOKUP($B$23,'Foglalkozási pótdíjak'!$A$3:$K$494,9,0))</f>
        <v>0</v>
      </c>
    </row>
    <row r="60" spans="2:15" ht="12.75" customHeight="1" x14ac:dyDescent="0.2">
      <c r="B60" s="100"/>
      <c r="C60" s="105" t="s">
        <v>427</v>
      </c>
      <c r="D60" s="105"/>
      <c r="E60" s="105"/>
      <c r="F60" s="105"/>
      <c r="G60" s="105"/>
      <c r="H60" s="96">
        <v>200000</v>
      </c>
      <c r="I60" s="17">
        <f ca="1">IF(ISBLANK($C$8),"",ROUND(VLOOKUP($C$9,'MM-MC Tarifák'!$A$3:$AQ$67,HLOOKUP($C60,'MM-MC Tarifák'!$B$1:$AQ$2,2,0),0)/1000*$H$60*IF(OR(AND($C$16="Forint",$H$60&gt;=100000,$H$60&lt;=500000),AND($C$16="Euró",$H$60&gt;=340,$H$60&lt;=1625)),1,0)*VLOOKUP($C$12,Paraméterek!$K$1:$L$4,2,0)*IF($O$60="Kizárás",1,1+$O$60),IF($C$16="Forint",0,2)))</f>
        <v>1636</v>
      </c>
      <c r="J60" s="106"/>
      <c r="K60" s="10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00" t="s">
        <v>13</v>
      </c>
      <c r="C63" s="105" t="s">
        <v>14</v>
      </c>
      <c r="D63" s="105"/>
      <c r="E63" s="105"/>
      <c r="F63" s="105"/>
      <c r="G63" s="105"/>
      <c r="H63" s="92">
        <v>5000</v>
      </c>
      <c r="I63" s="17">
        <f ca="1">IF(ISBLANK($C$8),"",ROUND(VLOOKUP($C$9,'MM-MC Tarifák'!$A$3:$AQ$67,HLOOKUP($C63,'MM-MC Tarifák'!$B$1:$AQ$2,2,0),0)/1000*$H$63*IF(OR(AND($C$16="Forint",$H$63&gt;=2000,$H$63&lt;=40000),AND($C$16="Euró",$H$63&gt;=7,$H$63&lt;=130)),1,0)*VLOOKUP($C$12,Paraméterek!$K$1:$L$4,2,0)*IF($O$63="Kizárás",1,1+$O$63),IF($C$16="Forint",0,2)))</f>
        <v>271</v>
      </c>
      <c r="J63" s="106" t="s">
        <v>730</v>
      </c>
      <c r="K63" s="107"/>
      <c r="L63" s="18" t="str">
        <f>IF(AND($J$63="Ezt kérem!",$H$11&lt;&gt;""),"!","")</f>
        <v/>
      </c>
      <c r="M63" s="21"/>
      <c r="O63" s="16">
        <f>IF(ISBLANK($B$23),0,VLOOKUP($B$23,'Foglalkozási pótdíjak'!$A$3:$K$494,10,0))</f>
        <v>0</v>
      </c>
    </row>
    <row r="64" spans="2:15" ht="12.75" customHeight="1" x14ac:dyDescent="0.2">
      <c r="B64" s="100"/>
      <c r="C64" s="105" t="s">
        <v>75</v>
      </c>
      <c r="D64" s="105"/>
      <c r="E64" s="105"/>
      <c r="F64" s="105"/>
      <c r="G64" s="105"/>
      <c r="H64" s="95">
        <v>5000</v>
      </c>
      <c r="I64" s="17">
        <f ca="1">IF(ISBLANK($C$8),"",ROUND(VLOOKUP($C$9,'MM-MC Tarifák'!$A$3:$AQ$67,HLOOKUP($C64,'MM-MC Tarifák'!$B$1:$AQ$2,2,0),0)/1000*$H$64*IF(OR(AND($C$16="Forint",$H$64&gt;=2000,$H$64&lt;=20000),AND($C$16="Euró",$H$64&gt;=7,$H$64&lt;=65)),1,0)*VLOOKUP($C$12,Paraméterek!$K$1:$L$4,2,0)*IF($O$64="Kizárás",1,1+$O$64),IF($C$16="Forint",0,2)))</f>
        <v>350</v>
      </c>
      <c r="J64" s="106"/>
      <c r="K64" s="107"/>
      <c r="L64" s="18" t="str">
        <f>IF(AND($J$64="Ezt kérem!",$H$11&lt;&gt;""),"!","")</f>
        <v/>
      </c>
      <c r="M64" s="21"/>
      <c r="O64" s="16">
        <f>IF(ISBLANK($B$23),0,VLOOKUP($B$23,'Foglalkozási pótdíjak'!$A$3:$K$494,10,0))</f>
        <v>0</v>
      </c>
    </row>
    <row r="65" spans="2:15" ht="12.75" customHeight="1" x14ac:dyDescent="0.2">
      <c r="B65" s="100"/>
      <c r="C65" s="105" t="s">
        <v>15</v>
      </c>
      <c r="D65" s="105"/>
      <c r="E65" s="105"/>
      <c r="F65" s="105"/>
      <c r="G65" s="105"/>
      <c r="H65" s="95">
        <v>5000</v>
      </c>
      <c r="I65" s="17">
        <f ca="1">IF(ISBLANK($C$8),"",ROUND(VLOOKUP($C$9,'MM-MC Tarifák'!$A$3:$AQ$67,HLOOKUP($C65,'MM-MC Tarifák'!$B$1:$AQ$2,2,0),0)/1000*$H$65*IF(OR(AND($C$16="Forint",$H$65&gt;=2000,$H$65&lt;=40000),AND($C$16="Euró",$H$65&gt;=7,$H$65&lt;=130)),1,0)*VLOOKUP($C$12,Paraméterek!$K$1:$L$4,2,0)*IF($O$65="Kizárás",1,1+$O$65),IF($C$16="Forint",0,2)))</f>
        <v>218</v>
      </c>
      <c r="J65" s="106"/>
      <c r="K65" s="107"/>
      <c r="L65" s="18" t="str">
        <f>IF(AND($J$65="Ezt kérem!",$H$11&lt;&gt;""),"!","")</f>
        <v/>
      </c>
      <c r="M65" s="21"/>
      <c r="O65" s="16">
        <f>IF(ISBLANK($B$23),0,VLOOKUP($B$23,'Foglalkozási pótdíjak'!$A$3:$K$494,10,0))</f>
        <v>0</v>
      </c>
    </row>
    <row r="66" spans="2:15" ht="12.75" customHeight="1" x14ac:dyDescent="0.2">
      <c r="B66" s="100"/>
      <c r="C66" s="105" t="s">
        <v>76</v>
      </c>
      <c r="D66" s="105"/>
      <c r="E66" s="105"/>
      <c r="F66" s="105"/>
      <c r="G66" s="105"/>
      <c r="H66" s="95">
        <v>5000</v>
      </c>
      <c r="I66" s="17">
        <f ca="1">IF(ISBLANK($C$8),"",ROUND(VLOOKUP($C$9,'MM-MC Tarifák'!$A$3:$AQ$67,HLOOKUP($C66,'MM-MC Tarifák'!$B$1:$AQ$2,2,0),0)/1000*$H$66*IF(OR(AND($C$16="Forint",$H$66&gt;=2000,$H$66&lt;=20000),AND($C$16="Euró",$H$66&gt;=7,$H$66&lt;=65)),1,0)*VLOOKUP($C$12,Paraméterek!$K$1:$L$4,2,0)*IF($O$66="Kizárás",1,1+$O$66),IF($C$16="Forint",0,2)))</f>
        <v>297</v>
      </c>
      <c r="J66" s="106"/>
      <c r="K66" s="107"/>
      <c r="L66" s="18" t="str">
        <f>IF(AND($J$66="Ezt kérem!",$H$11&lt;&gt;""),"!","")</f>
        <v/>
      </c>
      <c r="M66" s="21"/>
      <c r="O66" s="16">
        <f>IF(ISBLANK($B$23),0,VLOOKUP($B$23,'Foglalkozási pótdíjak'!$A$3:$K$494,10,0))</f>
        <v>0</v>
      </c>
    </row>
    <row r="67" spans="2:15" ht="12.75" customHeight="1" x14ac:dyDescent="0.2">
      <c r="B67" s="100"/>
      <c r="C67" s="105" t="s">
        <v>16</v>
      </c>
      <c r="D67" s="105"/>
      <c r="E67" s="105"/>
      <c r="F67" s="105"/>
      <c r="G67" s="105"/>
      <c r="H67" s="95">
        <v>3500</v>
      </c>
      <c r="I67" s="17">
        <f ca="1">IF(ISBLANK($C$8),"",ROUND(VLOOKUP($C$9,'MM-MC Tarifák'!$A$3:$AQ$67,HLOOKUP($C67,'MM-MC Tarifák'!$B$1:$AQ$2,2,0),0)/1000*$H$67*IF(OR(AND($C$16="Forint",$H$67&gt;=2000,$H$67&lt;=40000),AND($C$16="Euró",$H$67&gt;=7,$H$67&lt;=130)),1,0)*VLOOKUP($C$12,Paraméterek!$K$1:$L$4,2,0)*IF($O$67="Kizárás",1,1+$O$67),IF($C$16="Forint",0,2)))</f>
        <v>905</v>
      </c>
      <c r="J67" s="106"/>
      <c r="K67" s="107"/>
      <c r="L67" s="18" t="str">
        <f>IF(AND($J$67="Ezt kérem!",$H$12&lt;&gt;""),"!","")</f>
        <v/>
      </c>
      <c r="M67" s="21"/>
      <c r="O67" s="16">
        <f>IF(ISBLANK($B$23),0,VLOOKUP($B$23,'Foglalkozási pótdíjak'!$A$3:$K$494,11,0))</f>
        <v>0</v>
      </c>
    </row>
    <row r="68" spans="2:15" ht="12.75" customHeight="1" x14ac:dyDescent="0.2">
      <c r="B68" s="100"/>
      <c r="C68" s="105" t="s">
        <v>77</v>
      </c>
      <c r="D68" s="105"/>
      <c r="E68" s="105"/>
      <c r="F68" s="105"/>
      <c r="G68" s="105"/>
      <c r="H68" s="95">
        <v>5000</v>
      </c>
      <c r="I68" s="17">
        <f ca="1">IF(ISBLANK($C$8),"",ROUND(VLOOKUP($C$9,'MM-MC Tarifák'!$A$3:$AQ$67,HLOOKUP($C68,'MM-MC Tarifák'!$B$1:$AQ$2,2,0),0)/1000*$H$68*IF(OR(AND($C$16="Forint",$H$68&gt;=2000,$H$68&lt;=20000),AND($C$16="Euró",$H$68&gt;=7,$H$68&lt;=65)),1,0)*VLOOKUP($C$12,Paraméterek!$K$1:$L$4,2,0)*IF($O$68="Kizárás",1,1+$O$68),IF($C$16="Forint",0,2)))</f>
        <v>1042</v>
      </c>
      <c r="J68" s="106"/>
      <c r="K68" s="107"/>
      <c r="L68" s="18" t="str">
        <f>IF(AND($J$68="Ezt kérem!",$H$12&lt;&gt;""),"!","")</f>
        <v/>
      </c>
      <c r="M68" s="21"/>
      <c r="O68" s="16">
        <f>IF(ISBLANK($B$23),0,VLOOKUP($B$23,'Foglalkozási pótdíjak'!$A$3:$K$494,11,0))</f>
        <v>0</v>
      </c>
    </row>
    <row r="69" spans="2:15" ht="12.75" customHeight="1" x14ac:dyDescent="0.2">
      <c r="B69" s="100"/>
      <c r="C69" s="105" t="s">
        <v>17</v>
      </c>
      <c r="D69" s="105"/>
      <c r="E69" s="105"/>
      <c r="F69" s="105"/>
      <c r="G69" s="105"/>
      <c r="H69" s="95">
        <v>5000</v>
      </c>
      <c r="I69" s="17">
        <f ca="1">IF(ISBLANK($C$8),"",ROUND(VLOOKUP($C$9,'MM-MC Tarifák'!$A$3:$AQ$67,HLOOKUP($C69,'MM-MC Tarifák'!$B$1:$AQ$2,2,0),0)/1000*$H$69*IF(OR(AND($C$16="Forint",$H$69&gt;=2000,$H$69&lt;=40000),AND($C$16="Euró",$H$69&gt;=7,$H$69&lt;=130)),1,0)*VLOOKUP($C$12,Paraméterek!$K$1:$L$4,2,0)*IF($O$69="Kizárás",1,1+$O$69),IF($C$16="Forint",0,2)))</f>
        <v>818</v>
      </c>
      <c r="J69" s="106"/>
      <c r="K69" s="107"/>
      <c r="L69" s="18" t="str">
        <f>IF(AND($J$69="Ezt kérem!",$H$12&lt;&gt;""),"!","")</f>
        <v/>
      </c>
      <c r="M69" s="21"/>
      <c r="O69" s="16">
        <f>IF(ISBLANK($B$23),0,VLOOKUP($B$23,'Foglalkozási pótdíjak'!$A$3:$K$494,11,0))</f>
        <v>0</v>
      </c>
    </row>
    <row r="70" spans="2:15" ht="12.75" customHeight="1" x14ac:dyDescent="0.2">
      <c r="B70" s="100"/>
      <c r="C70" s="105" t="s">
        <v>78</v>
      </c>
      <c r="D70" s="105"/>
      <c r="E70" s="105"/>
      <c r="F70" s="105"/>
      <c r="G70" s="105"/>
      <c r="H70" s="95">
        <v>5000</v>
      </c>
      <c r="I70" s="17">
        <f ca="1">IF(ISBLANK($C$8),"",ROUND(VLOOKUP($C$9,'MM-MC Tarifák'!$A$3:$AQ$67,HLOOKUP($C70,'MM-MC Tarifák'!$B$1:$AQ$2,2,0),0)/1000*$H$70*IF(OR(AND($C$16="Forint",$H$70&gt;=2000,$H$70&lt;=20000),AND($C$16="Euró",$H$70&gt;=7,$H$70&lt;=65)),1,0)*VLOOKUP($C$12,Paraméterek!$K$1:$L$4,2,0)*IF($O$70="Kizárás",1,1+$O$70),IF($C$16="Forint",0,2)))</f>
        <v>1073</v>
      </c>
      <c r="J70" s="106"/>
      <c r="K70" s="10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05" t="s">
        <v>19</v>
      </c>
      <c r="D73" s="105"/>
      <c r="E73" s="105"/>
      <c r="F73" s="105"/>
      <c r="G73" s="105"/>
      <c r="H73" s="92">
        <v>1000000</v>
      </c>
      <c r="I73" s="17">
        <f ca="1">IF(ISBLANK($C$8),"",ROUND(VLOOKUP($C$9,'MM-MC Tarifák'!$A$3:$AQ$67,HLOOKUP($C73,'MM-MC Tarifák'!$B$1:$AQ$2,2,0),0)/1000*$H$73*IF(OR(AND($C$16="Forint",$H$73&gt;=500000,$H$73&lt;=50000000),AND($C$16="Euró",$H$73&gt;=1700,$H$73&lt;=162500)),1,0)*VLOOKUP($C$12,Paraméterek!$K$1:$L$4,2,0)*IF($O$73="Kizárás",1,1+$O$73),IF($C$16="Forint",0,2)))</f>
        <v>157</v>
      </c>
      <c r="J73" s="106"/>
      <c r="K73" s="10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05" t="s">
        <v>21</v>
      </c>
      <c r="D76" s="105"/>
      <c r="E76" s="105"/>
      <c r="F76" s="105"/>
      <c r="G76" s="105"/>
      <c r="H76" s="92">
        <v>200000</v>
      </c>
      <c r="I76" s="17">
        <f ca="1">IF(ISBLANK($C$8),"",ROUND(VLOOKUP($C$9,'MM-MC Tarifák'!$A$3:$AQ$67,HLOOKUP($C76,'MM-MC Tarifák'!$B$1:$AQ$2,2,0),0)/1000*$H$76*IF(OR(AND($C$16="Forint",$H$76&gt;=100000,$H$76&lt;=1000000),AND($C$16="Euró",$H$76&gt;=340,$H$76&lt;=3250)),1,0)*VLOOKUP($C$12,Paraméterek!$K$1:$L$4,2,0)*IF($O$76="Kizárás",1,1+$O$76),IF($C$16="Forint",0,2)))</f>
        <v>308</v>
      </c>
      <c r="J76" s="106" t="s">
        <v>730</v>
      </c>
      <c r="K76" s="10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00" t="s">
        <v>22</v>
      </c>
      <c r="C79" s="105" t="s">
        <v>79</v>
      </c>
      <c r="D79" s="105"/>
      <c r="E79" s="105"/>
      <c r="F79" s="105"/>
      <c r="G79" s="105"/>
      <c r="H79" s="19"/>
      <c r="I79" s="17">
        <f ca="1">IF(ISBLANK($C$8),"",ROUND(VLOOKUP($C$9,'MM-MC Tarifák'!$A$3:$AQ$67,HLOOKUP($C79,'MM-MC Tarifák'!$B$1:$AQ$2,2,0),0)/IF($C$16="Euró",300,1)/VLOOKUP($C$12,Paraméterek!$K$1:$M$4,3,0)*IF($O$79="Kizárás",1,1+$O$79),IF($C$16="Forint",0,2)))</f>
        <v>500</v>
      </c>
      <c r="J79" s="106"/>
      <c r="K79" s="107"/>
      <c r="L79" s="18"/>
      <c r="O79" s="49">
        <v>0</v>
      </c>
    </row>
    <row r="80" spans="2:15" ht="12.75" customHeight="1" x14ac:dyDescent="0.2">
      <c r="B80" s="100"/>
      <c r="C80" s="105" t="s">
        <v>23</v>
      </c>
      <c r="D80" s="105"/>
      <c r="E80" s="105"/>
      <c r="F80" s="105"/>
      <c r="G80" s="105"/>
      <c r="H80" s="19"/>
      <c r="I80" s="17">
        <f ca="1">IF(ISBLANK($C$8),"",ROUND(VLOOKUP($C$9,'MM-MC Tarifák'!$A$3:$AQ$67,HLOOKUP($C80,'MM-MC Tarifák'!$B$1:$AQ$2,2,0),0)/IF($C$16="Euró",300,1)/VLOOKUP($C$12,Paraméterek!$K$1:$M$4,3,0)*IF($O$80="Kizárás",1,1+$O$80),IF($C$16="Forint",0,2)))</f>
        <v>1000</v>
      </c>
      <c r="J80" s="106" t="s">
        <v>730</v>
      </c>
      <c r="K80" s="107"/>
      <c r="L80" s="18"/>
      <c r="O80" s="49">
        <v>0</v>
      </c>
    </row>
    <row r="85" spans="2:11" ht="12.75" customHeight="1" x14ac:dyDescent="0.2">
      <c r="B85" s="108" t="s">
        <v>58</v>
      </c>
      <c r="C85" s="108"/>
      <c r="D85" s="108"/>
      <c r="E85" s="108"/>
      <c r="F85" s="108"/>
      <c r="G85" s="108"/>
      <c r="H85" s="108"/>
      <c r="I85" s="108"/>
      <c r="J85" s="108"/>
      <c r="K85" s="108"/>
    </row>
    <row r="86" spans="2:11" ht="12.75" customHeight="1" x14ac:dyDescent="0.2">
      <c r="B86" s="108"/>
      <c r="C86" s="108"/>
      <c r="D86" s="108"/>
      <c r="E86" s="108"/>
      <c r="F86" s="108"/>
      <c r="G86" s="108"/>
      <c r="H86" s="108"/>
      <c r="I86" s="108"/>
      <c r="J86" s="108"/>
      <c r="K86" s="108"/>
    </row>
    <row r="87" spans="2:11" ht="12.75" customHeight="1" x14ac:dyDescent="0.2">
      <c r="B87" s="108"/>
      <c r="C87" s="108"/>
      <c r="D87" s="108"/>
      <c r="E87" s="108"/>
      <c r="F87" s="108"/>
      <c r="G87" s="108"/>
      <c r="H87" s="108"/>
      <c r="I87" s="108"/>
      <c r="J87" s="108"/>
      <c r="K87" s="108"/>
    </row>
    <row r="88" spans="2:11" ht="12.75" customHeight="1" x14ac:dyDescent="0.2">
      <c r="B88" s="108"/>
      <c r="C88" s="108"/>
      <c r="D88" s="108"/>
      <c r="E88" s="108"/>
      <c r="F88" s="108"/>
      <c r="G88" s="108"/>
      <c r="H88" s="108"/>
      <c r="I88" s="108"/>
      <c r="J88" s="108"/>
      <c r="K88" s="108"/>
    </row>
    <row r="89" spans="2:11" ht="12.75" customHeight="1" x14ac:dyDescent="0.2">
      <c r="B89" s="108"/>
      <c r="C89" s="108"/>
      <c r="D89" s="108"/>
      <c r="E89" s="108"/>
      <c r="F89" s="108"/>
      <c r="G89" s="108"/>
      <c r="H89" s="108"/>
      <c r="I89" s="108"/>
      <c r="J89" s="108"/>
      <c r="K89" s="108"/>
    </row>
  </sheetData>
  <sheetProtection password="D9D3" sheet="1" objects="1" scenarios="1"/>
  <mergeCells count="103">
    <mergeCell ref="B5:F5"/>
    <mergeCell ref="B6:F6"/>
    <mergeCell ref="H18:I19"/>
    <mergeCell ref="J18:K19"/>
    <mergeCell ref="B25:G26"/>
    <mergeCell ref="B23:F23"/>
    <mergeCell ref="B22:F22"/>
    <mergeCell ref="H22:I23"/>
    <mergeCell ref="J22:K23"/>
    <mergeCell ref="H25:H26"/>
    <mergeCell ref="J25:K26"/>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J28:K28"/>
    <mergeCell ref="J29:K29"/>
    <mergeCell ref="J30:K30"/>
    <mergeCell ref="J31:K31"/>
    <mergeCell ref="J32:K32"/>
    <mergeCell ref="J35:K35"/>
    <mergeCell ref="C31:G31"/>
    <mergeCell ref="C32:G32"/>
    <mergeCell ref="C35:G35"/>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12" t="s">
        <v>433</v>
      </c>
      <c r="C3" s="212"/>
      <c r="D3" s="212"/>
      <c r="E3" s="212"/>
      <c r="F3" s="212"/>
      <c r="G3" s="212"/>
      <c r="H3" s="212"/>
      <c r="I3" s="212"/>
      <c r="J3" s="212"/>
      <c r="K3" s="212"/>
      <c r="L3" s="212"/>
      <c r="M3" s="212"/>
      <c r="N3" s="212"/>
      <c r="O3" s="212"/>
      <c r="P3" s="212"/>
      <c r="Q3" s="212"/>
      <c r="R3" s="212"/>
    </row>
    <row r="4" spans="2:18" x14ac:dyDescent="0.2">
      <c r="B4" s="212"/>
      <c r="C4" s="212"/>
      <c r="D4" s="212"/>
      <c r="E4" s="212"/>
      <c r="F4" s="212"/>
      <c r="G4" s="212"/>
      <c r="H4" s="212"/>
      <c r="I4" s="212"/>
      <c r="J4" s="212"/>
      <c r="K4" s="212"/>
      <c r="L4" s="212"/>
      <c r="M4" s="212"/>
      <c r="N4" s="212"/>
      <c r="O4" s="212"/>
      <c r="P4" s="212"/>
      <c r="Q4" s="212"/>
      <c r="R4" s="212"/>
    </row>
    <row r="5" spans="2:18" x14ac:dyDescent="0.2">
      <c r="E5" s="213" t="s">
        <v>413</v>
      </c>
      <c r="F5" s="213"/>
      <c r="G5" s="213"/>
      <c r="H5" s="213" t="s">
        <v>434</v>
      </c>
      <c r="I5" s="213"/>
      <c r="J5" s="213"/>
      <c r="K5" s="213"/>
      <c r="L5" s="213"/>
      <c r="M5" s="213"/>
      <c r="N5" s="213" t="s">
        <v>435</v>
      </c>
      <c r="O5" s="213"/>
      <c r="P5" s="213"/>
      <c r="Q5" s="213"/>
      <c r="R5" s="213"/>
    </row>
    <row r="6" spans="2:18" x14ac:dyDescent="0.2">
      <c r="E6" s="214" t="s">
        <v>0</v>
      </c>
      <c r="F6" s="214"/>
      <c r="G6" s="214"/>
      <c r="H6" s="214" t="s">
        <v>1</v>
      </c>
      <c r="I6" s="214"/>
      <c r="J6" s="214"/>
      <c r="K6" s="214"/>
      <c r="L6" s="214"/>
      <c r="M6" s="214"/>
      <c r="N6" s="214" t="s">
        <v>6</v>
      </c>
      <c r="O6" s="214"/>
      <c r="P6" s="214"/>
      <c r="Q6" s="214"/>
      <c r="R6" s="214"/>
    </row>
    <row r="7" spans="2:18" x14ac:dyDescent="0.2">
      <c r="E7" s="215" t="s">
        <v>2</v>
      </c>
      <c r="F7" s="215"/>
      <c r="G7" s="215"/>
      <c r="H7" s="216" t="s">
        <v>67</v>
      </c>
      <c r="I7" s="216"/>
      <c r="J7" s="216"/>
      <c r="K7" s="216"/>
      <c r="L7" s="216"/>
      <c r="M7" s="216"/>
      <c r="N7" s="216" t="s">
        <v>7</v>
      </c>
      <c r="O7" s="216"/>
      <c r="P7" s="216"/>
      <c r="Q7" s="216"/>
      <c r="R7" s="216"/>
    </row>
    <row r="8" spans="2:18" x14ac:dyDescent="0.2">
      <c r="E8" s="217"/>
      <c r="F8" s="217"/>
      <c r="G8" s="217"/>
      <c r="H8" s="216" t="s">
        <v>68</v>
      </c>
      <c r="I8" s="216"/>
      <c r="J8" s="216"/>
      <c r="K8" s="216"/>
      <c r="L8" s="216"/>
      <c r="M8" s="216"/>
      <c r="N8" s="216" t="s">
        <v>8</v>
      </c>
      <c r="O8" s="216"/>
      <c r="P8" s="216"/>
      <c r="Q8" s="216"/>
      <c r="R8" s="216"/>
    </row>
    <row r="9" spans="2:18" x14ac:dyDescent="0.2">
      <c r="E9" s="217"/>
      <c r="F9" s="217"/>
      <c r="G9" s="217"/>
      <c r="H9" s="216" t="s">
        <v>118</v>
      </c>
      <c r="I9" s="216"/>
      <c r="J9" s="216"/>
      <c r="K9" s="216"/>
      <c r="L9" s="216"/>
      <c r="M9" s="216"/>
      <c r="N9" s="216" t="s">
        <v>65</v>
      </c>
      <c r="O9" s="216"/>
      <c r="P9" s="216"/>
      <c r="Q9" s="216"/>
      <c r="R9" s="216"/>
    </row>
    <row r="10" spans="2:18" x14ac:dyDescent="0.2">
      <c r="E10" s="217"/>
      <c r="F10" s="217"/>
      <c r="G10" s="217"/>
      <c r="H10" s="216" t="s">
        <v>412</v>
      </c>
      <c r="I10" s="216"/>
      <c r="J10" s="216"/>
      <c r="K10" s="216"/>
      <c r="L10" s="216"/>
      <c r="M10" s="216"/>
      <c r="N10" s="216" t="s">
        <v>71</v>
      </c>
      <c r="O10" s="216"/>
      <c r="P10" s="216"/>
      <c r="Q10" s="216"/>
      <c r="R10" s="216"/>
    </row>
    <row r="11" spans="2:18" x14ac:dyDescent="0.2">
      <c r="E11" s="217"/>
      <c r="F11" s="217"/>
      <c r="G11" s="217"/>
      <c r="H11" s="216" t="s">
        <v>3</v>
      </c>
      <c r="I11" s="216"/>
      <c r="J11" s="216"/>
      <c r="K11" s="216"/>
      <c r="L11" s="216"/>
      <c r="M11" s="216"/>
      <c r="N11" s="216" t="s">
        <v>72</v>
      </c>
      <c r="O11" s="216"/>
      <c r="P11" s="216"/>
      <c r="Q11" s="216"/>
      <c r="R11" s="216"/>
    </row>
    <row r="12" spans="2:18" x14ac:dyDescent="0.2">
      <c r="E12" s="217"/>
      <c r="F12" s="217"/>
      <c r="G12" s="217"/>
      <c r="H12" s="216" t="s">
        <v>69</v>
      </c>
      <c r="I12" s="216"/>
      <c r="J12" s="216"/>
      <c r="K12" s="216"/>
      <c r="L12" s="216"/>
      <c r="M12" s="216"/>
      <c r="N12" s="215" t="s">
        <v>120</v>
      </c>
      <c r="O12" s="215"/>
      <c r="P12" s="215"/>
      <c r="Q12" s="215"/>
      <c r="R12" s="215"/>
    </row>
    <row r="13" spans="2:18" x14ac:dyDescent="0.2">
      <c r="E13" s="217"/>
      <c r="F13" s="217"/>
      <c r="G13" s="217"/>
      <c r="H13" s="216" t="s">
        <v>70</v>
      </c>
      <c r="I13" s="216"/>
      <c r="J13" s="216"/>
      <c r="K13" s="216"/>
      <c r="L13" s="216"/>
      <c r="M13" s="216"/>
      <c r="N13" s="217"/>
      <c r="O13" s="217"/>
      <c r="P13" s="217"/>
      <c r="Q13" s="217"/>
      <c r="R13" s="217"/>
    </row>
    <row r="14" spans="2:18" x14ac:dyDescent="0.2">
      <c r="E14" s="217"/>
      <c r="F14" s="217"/>
      <c r="G14" s="217"/>
      <c r="H14" s="215" t="s">
        <v>119</v>
      </c>
      <c r="I14" s="215"/>
      <c r="J14" s="215"/>
      <c r="K14" s="215"/>
      <c r="L14" s="215"/>
      <c r="M14" s="215"/>
      <c r="N14" s="217"/>
      <c r="O14" s="217"/>
      <c r="P14" s="217"/>
      <c r="Q14" s="217"/>
      <c r="R14" s="217"/>
    </row>
    <row r="15" spans="2:18" ht="12.75" customHeight="1" x14ac:dyDescent="0.2">
      <c r="B15" s="218" t="s">
        <v>414</v>
      </c>
      <c r="C15" s="218"/>
      <c r="D15" s="218"/>
      <c r="E15" s="220" t="s">
        <v>436</v>
      </c>
      <c r="F15" s="220"/>
      <c r="G15" s="220"/>
      <c r="H15" s="220" t="s">
        <v>437</v>
      </c>
      <c r="I15" s="220"/>
      <c r="J15" s="220"/>
      <c r="K15" s="220"/>
      <c r="L15" s="220"/>
      <c r="M15" s="220"/>
      <c r="N15" s="220" t="s">
        <v>437</v>
      </c>
      <c r="O15" s="220"/>
      <c r="P15" s="220"/>
      <c r="Q15" s="220"/>
      <c r="R15" s="220"/>
    </row>
    <row r="16" spans="2:18" x14ac:dyDescent="0.2">
      <c r="B16" s="218"/>
      <c r="C16" s="218"/>
      <c r="D16" s="218"/>
      <c r="E16" s="221"/>
      <c r="F16" s="221"/>
      <c r="G16" s="221"/>
      <c r="H16" s="221"/>
      <c r="I16" s="221"/>
      <c r="J16" s="221"/>
      <c r="K16" s="221"/>
      <c r="L16" s="221"/>
      <c r="M16" s="221"/>
      <c r="N16" s="221"/>
      <c r="O16" s="221"/>
      <c r="P16" s="221"/>
      <c r="Q16" s="221"/>
      <c r="R16" s="221"/>
    </row>
    <row r="17" spans="2:18" x14ac:dyDescent="0.2">
      <c r="B17" s="219"/>
      <c r="C17" s="219"/>
      <c r="D17" s="219"/>
      <c r="E17" s="221"/>
      <c r="F17" s="221"/>
      <c r="G17" s="221"/>
      <c r="H17" s="221"/>
      <c r="I17" s="221"/>
      <c r="J17" s="221"/>
      <c r="K17" s="221"/>
      <c r="L17" s="221"/>
      <c r="M17" s="221"/>
      <c r="N17" s="221"/>
      <c r="O17" s="221"/>
      <c r="P17" s="221"/>
      <c r="Q17" s="221"/>
      <c r="R17" s="221"/>
    </row>
    <row r="18" spans="2:18" ht="12.75" customHeight="1" x14ac:dyDescent="0.2">
      <c r="B18" s="222" t="s">
        <v>438</v>
      </c>
      <c r="C18" s="222"/>
      <c r="D18" s="222"/>
      <c r="E18" s="221" t="s">
        <v>439</v>
      </c>
      <c r="F18" s="221"/>
      <c r="G18" s="221"/>
      <c r="H18" s="223" t="s">
        <v>440</v>
      </c>
      <c r="I18" s="221"/>
      <c r="J18" s="221"/>
      <c r="K18" s="221"/>
      <c r="L18" s="221"/>
      <c r="M18" s="221"/>
      <c r="N18" s="223" t="s">
        <v>440</v>
      </c>
      <c r="O18" s="221"/>
      <c r="P18" s="221"/>
      <c r="Q18" s="221"/>
      <c r="R18" s="221"/>
    </row>
    <row r="19" spans="2:18" x14ac:dyDescent="0.2">
      <c r="B19" s="218"/>
      <c r="C19" s="218"/>
      <c r="D19" s="218"/>
      <c r="E19" s="221"/>
      <c r="F19" s="221"/>
      <c r="G19" s="221"/>
      <c r="H19" s="221"/>
      <c r="I19" s="221"/>
      <c r="J19" s="221"/>
      <c r="K19" s="221"/>
      <c r="L19" s="221"/>
      <c r="M19" s="221"/>
      <c r="N19" s="221"/>
      <c r="O19" s="221"/>
      <c r="P19" s="221"/>
      <c r="Q19" s="221"/>
      <c r="R19" s="221"/>
    </row>
    <row r="20" spans="2:18" x14ac:dyDescent="0.2">
      <c r="B20" s="219"/>
      <c r="C20" s="219"/>
      <c r="D20" s="219"/>
      <c r="E20" s="221"/>
      <c r="F20" s="221"/>
      <c r="G20" s="221"/>
      <c r="H20" s="221"/>
      <c r="I20" s="221"/>
      <c r="J20" s="221"/>
      <c r="K20" s="221"/>
      <c r="L20" s="221"/>
      <c r="M20" s="221"/>
      <c r="N20" s="221"/>
      <c r="O20" s="221"/>
      <c r="P20" s="221"/>
      <c r="Q20" s="221"/>
      <c r="R20" s="221"/>
    </row>
    <row r="21" spans="2:18" x14ac:dyDescent="0.2">
      <c r="B21" s="224" t="s">
        <v>441</v>
      </c>
      <c r="C21" s="224"/>
      <c r="D21" s="224"/>
      <c r="E21" s="221" t="s">
        <v>442</v>
      </c>
      <c r="F21" s="221"/>
      <c r="G21" s="221"/>
      <c r="H21" s="221" t="s">
        <v>442</v>
      </c>
      <c r="I21" s="221"/>
      <c r="J21" s="221"/>
      <c r="K21" s="221"/>
      <c r="L21" s="221"/>
      <c r="M21" s="221"/>
      <c r="N21" s="221" t="s">
        <v>442</v>
      </c>
      <c r="O21" s="221"/>
      <c r="P21" s="221"/>
      <c r="Q21" s="221"/>
      <c r="R21" s="221"/>
    </row>
    <row r="22" spans="2:18" x14ac:dyDescent="0.2">
      <c r="B22" s="225" t="s">
        <v>438</v>
      </c>
      <c r="C22" s="225"/>
      <c r="D22" s="225"/>
      <c r="E22" s="221"/>
      <c r="F22" s="221"/>
      <c r="G22" s="221"/>
      <c r="H22" s="221"/>
      <c r="I22" s="221"/>
      <c r="J22" s="221"/>
      <c r="K22" s="221"/>
      <c r="L22" s="221"/>
      <c r="M22" s="221"/>
      <c r="N22" s="221"/>
      <c r="O22" s="221"/>
      <c r="P22" s="221"/>
      <c r="Q22" s="221"/>
      <c r="R22" s="221"/>
    </row>
    <row r="23" spans="2:18" x14ac:dyDescent="0.2">
      <c r="B23" s="225" t="s">
        <v>443</v>
      </c>
      <c r="C23" s="225"/>
      <c r="D23" s="225"/>
      <c r="E23" s="221"/>
      <c r="F23" s="221"/>
      <c r="G23" s="221"/>
      <c r="H23" s="221"/>
      <c r="I23" s="221"/>
      <c r="J23" s="221"/>
      <c r="K23" s="221"/>
      <c r="L23" s="221"/>
      <c r="M23" s="221"/>
      <c r="N23" s="221"/>
      <c r="O23" s="221"/>
      <c r="P23" s="221"/>
      <c r="Q23" s="221"/>
      <c r="R23" s="221"/>
    </row>
    <row r="24" spans="2:18" ht="25.5" customHeight="1" x14ac:dyDescent="0.2">
      <c r="B24" s="226" t="s">
        <v>444</v>
      </c>
      <c r="C24" s="226"/>
      <c r="D24" s="226"/>
      <c r="E24" s="221"/>
      <c r="F24" s="221"/>
      <c r="G24" s="221"/>
      <c r="H24" s="221"/>
      <c r="I24" s="221"/>
      <c r="J24" s="221"/>
      <c r="K24" s="221"/>
      <c r="L24" s="221"/>
      <c r="M24" s="221"/>
      <c r="N24" s="221"/>
      <c r="O24" s="221"/>
      <c r="P24" s="221"/>
      <c r="Q24" s="221"/>
      <c r="R24" s="221"/>
    </row>
    <row r="25" spans="2:18" x14ac:dyDescent="0.2">
      <c r="B25" s="224" t="s">
        <v>445</v>
      </c>
      <c r="C25" s="224"/>
      <c r="D25" s="224"/>
      <c r="E25" s="221" t="s">
        <v>446</v>
      </c>
      <c r="F25" s="221"/>
      <c r="G25" s="221"/>
      <c r="H25" s="221" t="s">
        <v>446</v>
      </c>
      <c r="I25" s="221"/>
      <c r="J25" s="221"/>
      <c r="K25" s="221"/>
      <c r="L25" s="221"/>
      <c r="M25" s="221"/>
      <c r="N25" s="221" t="s">
        <v>446</v>
      </c>
      <c r="O25" s="221"/>
      <c r="P25" s="221"/>
      <c r="Q25" s="221"/>
      <c r="R25" s="221"/>
    </row>
    <row r="26" spans="2:18" x14ac:dyDescent="0.2">
      <c r="B26" s="225" t="s">
        <v>438</v>
      </c>
      <c r="C26" s="225"/>
      <c r="D26" s="225"/>
      <c r="E26" s="221"/>
      <c r="F26" s="221"/>
      <c r="G26" s="221"/>
      <c r="H26" s="221"/>
      <c r="I26" s="221"/>
      <c r="J26" s="221"/>
      <c r="K26" s="221"/>
      <c r="L26" s="221"/>
      <c r="M26" s="221"/>
      <c r="N26" s="221"/>
      <c r="O26" s="221"/>
      <c r="P26" s="221"/>
      <c r="Q26" s="221"/>
      <c r="R26" s="221"/>
    </row>
    <row r="27" spans="2:18" ht="25.5" customHeight="1" x14ac:dyDescent="0.2">
      <c r="B27" s="227" t="s">
        <v>447</v>
      </c>
      <c r="C27" s="227"/>
      <c r="D27" s="227"/>
      <c r="E27" s="221"/>
      <c r="F27" s="221"/>
      <c r="G27" s="221"/>
      <c r="H27" s="221"/>
      <c r="I27" s="221"/>
      <c r="J27" s="221"/>
      <c r="K27" s="221"/>
      <c r="L27" s="221"/>
      <c r="M27" s="221"/>
      <c r="N27" s="221"/>
      <c r="O27" s="221"/>
      <c r="P27" s="221"/>
      <c r="Q27" s="221"/>
      <c r="R27" s="221"/>
    </row>
    <row r="28" spans="2:18" ht="25.5" customHeight="1" x14ac:dyDescent="0.2">
      <c r="B28" s="226" t="s">
        <v>448</v>
      </c>
      <c r="C28" s="226"/>
      <c r="D28" s="226"/>
      <c r="E28" s="221"/>
      <c r="F28" s="221"/>
      <c r="G28" s="221"/>
      <c r="H28" s="221"/>
      <c r="I28" s="221"/>
      <c r="J28" s="221"/>
      <c r="K28" s="221"/>
      <c r="L28" s="221"/>
      <c r="M28" s="221"/>
      <c r="N28" s="221"/>
      <c r="O28" s="221"/>
      <c r="P28" s="221"/>
      <c r="Q28" s="221"/>
      <c r="R28" s="221"/>
    </row>
  </sheetData>
  <sheetProtection password="D9D3" sheet="1" objects="1" scenarios="1"/>
  <mergeCells count="53">
    <mergeCell ref="B25:D25"/>
    <mergeCell ref="E25:G28"/>
    <mergeCell ref="H25:M28"/>
    <mergeCell ref="N25:R28"/>
    <mergeCell ref="B26:D26"/>
    <mergeCell ref="B27:D27"/>
    <mergeCell ref="B28:D28"/>
    <mergeCell ref="B21:D21"/>
    <mergeCell ref="E21:G24"/>
    <mergeCell ref="H21:M24"/>
    <mergeCell ref="N21:R24"/>
    <mergeCell ref="B22:D22"/>
    <mergeCell ref="B23:D23"/>
    <mergeCell ref="B24:D24"/>
    <mergeCell ref="B15:D17"/>
    <mergeCell ref="E15:G17"/>
    <mergeCell ref="H15:M17"/>
    <mergeCell ref="N15:R17"/>
    <mergeCell ref="B18:D20"/>
    <mergeCell ref="E18:G20"/>
    <mergeCell ref="H18:M20"/>
    <mergeCell ref="N18:R20"/>
    <mergeCell ref="E13:G13"/>
    <mergeCell ref="H13:M13"/>
    <mergeCell ref="N13:R13"/>
    <mergeCell ref="E14:G14"/>
    <mergeCell ref="H14:M14"/>
    <mergeCell ref="N14:R14"/>
    <mergeCell ref="E11:G11"/>
    <mergeCell ref="H11:M11"/>
    <mergeCell ref="N11:R11"/>
    <mergeCell ref="E12:G12"/>
    <mergeCell ref="H12:M12"/>
    <mergeCell ref="N12:R12"/>
    <mergeCell ref="E9:G9"/>
    <mergeCell ref="H9:M9"/>
    <mergeCell ref="N9:R9"/>
    <mergeCell ref="E10:G10"/>
    <mergeCell ref="H10:M10"/>
    <mergeCell ref="N10:R10"/>
    <mergeCell ref="E7:G7"/>
    <mergeCell ref="H7:M7"/>
    <mergeCell ref="N7:R7"/>
    <mergeCell ref="E8:G8"/>
    <mergeCell ref="H8:M8"/>
    <mergeCell ref="N8:R8"/>
    <mergeCell ref="B3:R4"/>
    <mergeCell ref="E5:G5"/>
    <mergeCell ref="H5:M5"/>
    <mergeCell ref="N5:R5"/>
    <mergeCell ref="E6:G6"/>
    <mergeCell ref="H6:M6"/>
    <mergeCell ref="N6:R6"/>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opLeftCell="B64" zoomScale="115" zoomScaleNormal="115" workbookViewId="0">
      <selection activeCell="B7" sqref="B7"/>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09" t="s">
        <v>131</v>
      </c>
      <c r="C1" s="109"/>
      <c r="D1" s="109"/>
      <c r="O1" s="12" t="s">
        <v>406</v>
      </c>
    </row>
    <row r="2" spans="2:15" ht="12.75" customHeight="1" x14ac:dyDescent="0.2">
      <c r="B2" s="109"/>
      <c r="C2" s="109"/>
      <c r="D2" s="109"/>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17" t="s">
        <v>455</v>
      </c>
      <c r="C5" s="118"/>
      <c r="D5" s="118"/>
      <c r="E5" s="118"/>
      <c r="F5" s="119"/>
      <c r="H5" s="51" t="str">
        <f>IF(Együttkötés!$A$58="STOP","A Kritikus betegség és a Cukorbetegség biztosítások együttes biztosítási összege nem lehet több több, mint "&amp;IF($C$16="Forint","50 000 000 Ft","170 000 €"),"")</f>
        <v/>
      </c>
    </row>
    <row r="6" spans="2:15" ht="12.75" customHeight="1" x14ac:dyDescent="0.2">
      <c r="B6" s="120" t="s">
        <v>732</v>
      </c>
      <c r="C6" s="121"/>
      <c r="D6" s="121"/>
      <c r="E6" s="121"/>
      <c r="F6" s="122"/>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15">
        <v>29025</v>
      </c>
      <c r="D8" s="115"/>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16">
        <f ca="1">IF(ISBLANK($C$8),"",IF(YEAR(TODAY())-YEAR($C$8)&lt;0,"",YEAR(TODAY())-YEAR($C$8)))</f>
        <v>41</v>
      </c>
      <c r="D9" s="116"/>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14" t="s">
        <v>28</v>
      </c>
      <c r="D11" s="114"/>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14" t="s">
        <v>35</v>
      </c>
      <c r="D13" s="114"/>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2" t="s">
        <v>37</v>
      </c>
      <c r="D15" s="132"/>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01" t="str">
        <f>"Fizetendő "&amp;$C$12&amp;" díj:"</f>
        <v>Fizetendő Havi díj:</v>
      </c>
      <c r="C18" s="110">
        <f ca="1">IF(SUMIF($J$28:$K$84,"Ezt kérem!",$I$28:$I$84)-SUMIF($L$28:$L$84,"!",$I$28:$I$84)&lt;IF($C$16="Forint",VLOOKUP($C$12,Paraméterek!$K$1:$Q$4,4,0),IF($C$14="Postai",SUMIF($J$28:$K$84,"Ezt kérem!",$I$28:$I$84)-SUMIF($L$28:$L$84,"!",$I$28:$I$84)+1,VLOOKUP($C$12,Paraméterek!$K$1:$Q$4,7,0))),0,SUMIF($J$28:$K$84,"Ezt kérem!",$I$28:$I$84)-SUMIF($L$28:$L$84,"!",$I$28:$I$84))</f>
        <v>7573</v>
      </c>
      <c r="D18" s="112" t="str">
        <f>IF(ISBLANK($C$16),"",IF($C$16="Forint","Ft","€"))</f>
        <v>Ft</v>
      </c>
      <c r="H18" s="123" t="s">
        <v>457</v>
      </c>
      <c r="I18" s="124"/>
      <c r="J18" s="127" t="str">
        <f ca="1">IF(COUNTIF($J$28:$K$80,"Ezt kérem!")=0,"---",'PÜ. limitek'!$I$13)</f>
        <v>Nem szükséges</v>
      </c>
      <c r="K18" s="128"/>
    </row>
    <row r="19" spans="2:15" ht="12.75" customHeight="1" x14ac:dyDescent="0.2">
      <c r="B19" s="103"/>
      <c r="C19" s="111"/>
      <c r="D19" s="113"/>
      <c r="H19" s="125"/>
      <c r="I19" s="126"/>
      <c r="J19" s="129"/>
      <c r="K19" s="130"/>
    </row>
    <row r="20" spans="2:15" ht="12.75" customHeight="1" x14ac:dyDescent="0.2">
      <c r="C20" s="32"/>
      <c r="D20" s="33"/>
    </row>
    <row r="21" spans="2:15" ht="12.75" customHeight="1" x14ac:dyDescent="0.2">
      <c r="C21" s="32"/>
      <c r="D21" s="33"/>
      <c r="F21" s="13"/>
    </row>
    <row r="22" spans="2:15" ht="12.75" customHeight="1" x14ac:dyDescent="0.2">
      <c r="B22" s="117" t="s">
        <v>421</v>
      </c>
      <c r="C22" s="118"/>
      <c r="D22" s="118"/>
      <c r="E22" s="118"/>
      <c r="F22" s="119"/>
      <c r="H22" s="123" t="s">
        <v>386</v>
      </c>
      <c r="I22" s="124"/>
      <c r="J22" s="127" t="str">
        <f ca="1">IF(COUNTIF($J$28:$K$84,"Ezt kérem!")=0,"---",'EÜ. limitek'!$J$16)</f>
        <v>Egészségi nyilatkozat</v>
      </c>
      <c r="K22" s="128"/>
    </row>
    <row r="23" spans="2:15" ht="12.75" customHeight="1" x14ac:dyDescent="0.2">
      <c r="B23" s="120" t="s">
        <v>307</v>
      </c>
      <c r="C23" s="121"/>
      <c r="D23" s="121"/>
      <c r="E23" s="121"/>
      <c r="F23" s="122"/>
      <c r="H23" s="125"/>
      <c r="I23" s="126"/>
      <c r="J23" s="129"/>
      <c r="K23" s="130"/>
    </row>
    <row r="25" spans="2:15" ht="12.75" customHeight="1" x14ac:dyDescent="0.2">
      <c r="B25" s="131" t="s">
        <v>130</v>
      </c>
      <c r="C25" s="131"/>
      <c r="D25" s="131"/>
      <c r="E25" s="131"/>
      <c r="F25" s="131"/>
      <c r="G25" s="131"/>
      <c r="H25" s="131" t="s">
        <v>40</v>
      </c>
      <c r="J25" s="131" t="s">
        <v>41</v>
      </c>
      <c r="K25" s="131"/>
      <c r="O25" s="12" t="s">
        <v>387</v>
      </c>
    </row>
    <row r="26" spans="2:15" s="16" customFormat="1" ht="12.75" customHeight="1" x14ac:dyDescent="0.2">
      <c r="B26" s="131"/>
      <c r="C26" s="131"/>
      <c r="D26" s="131"/>
      <c r="E26" s="131"/>
      <c r="F26" s="131"/>
      <c r="G26" s="131"/>
      <c r="H26" s="131"/>
      <c r="J26" s="131"/>
      <c r="K26" s="131"/>
    </row>
    <row r="27" spans="2:15" ht="12.75" customHeight="1" x14ac:dyDescent="0.2">
      <c r="B27" s="13"/>
      <c r="O27" s="16"/>
    </row>
    <row r="28" spans="2:15" ht="12.75" customHeight="1" x14ac:dyDescent="0.2">
      <c r="B28" s="100" t="s">
        <v>413</v>
      </c>
      <c r="C28" s="105" t="s">
        <v>0</v>
      </c>
      <c r="D28" s="105"/>
      <c r="E28" s="105"/>
      <c r="F28" s="105"/>
      <c r="G28" s="105"/>
      <c r="H28" s="97">
        <v>5000000</v>
      </c>
      <c r="I28" s="17">
        <f ca="1">IF(ISBLANK($C$8),"",ROUND((VLOOKUP($C$9,'MM-MC Tarifák'!$A$3:$AQ$67,HLOOKUP($C28,'MM-MC Tarifák'!$B$1:$AQ$2,2,0),0)+IF($O$28="Ezrelékes",1000,0))/1000000*$H$28*IF(OR(AND($C$16="Forint",OR($H$28=250000,AND($H$28&gt;=500000,$H$28&lt;=200000000))),AND($C$16="Euró",OR($H$28=850,AND($H$28&gt;=1700,$H$28&lt;=650000)))),1,0)*VLOOKUP($C$12,Paraméterek!$K$1:$L$4,2,0),IF($C$16="Forint",0,2)))</f>
        <v>1763</v>
      </c>
      <c r="J28" s="106" t="s">
        <v>730</v>
      </c>
      <c r="K28" s="107"/>
      <c r="L28" s="18" t="str">
        <f>IF(AND($J$28="Ezt kérem!",$H$10&lt;&gt;""),"!","")</f>
        <v/>
      </c>
      <c r="M28" s="48"/>
      <c r="N28" s="21"/>
      <c r="O28" s="16">
        <f>IF(ISBLANK($B$23),0,VLOOKUP($B$23,'Foglalkozási pótdíjak'!$A$3:$K$494,2,0))</f>
        <v>0</v>
      </c>
    </row>
    <row r="29" spans="2:15" ht="12.75" customHeight="1" x14ac:dyDescent="0.2">
      <c r="B29" s="100"/>
      <c r="C29" s="105" t="s">
        <v>1</v>
      </c>
      <c r="D29" s="105"/>
      <c r="E29" s="105"/>
      <c r="F29" s="105"/>
      <c r="G29" s="105"/>
      <c r="H29" s="98"/>
      <c r="I29" s="17">
        <f ca="1">IF(ISBLANK($C$8),"",ROUND(VLOOKUP($C$9,'MM-MC Tarifák'!$A$3:$AQ$67,HLOOKUP($C29,'MM-MC Tarifák'!$B$1:$AQ$2,2,0),0)/1000*$H$29*IF(OR(AND($C$16="Forint",$H$29&gt;=500000,$H$29&lt;=100000000),AND($C$16="Euró",$H$29&gt;=1700,$H$29&lt;=325000)),1,0)*VLOOKUP($C$12,Paraméterek!$K$1:$L$4,2,0)*IF($O$29="Kizárás",1,1+$O$29),IF($C$16="Forint",0,2)))</f>
        <v>0</v>
      </c>
      <c r="J29" s="106"/>
      <c r="K29" s="107"/>
      <c r="L29" s="18" t="str">
        <f>IF(AND($J$29="Ezt kérem!",OR($H$6&lt;&gt;"",$H$7&lt;&gt;"")),"!","")</f>
        <v/>
      </c>
      <c r="M29" s="48"/>
      <c r="N29" s="27"/>
      <c r="O29" s="16">
        <f>IF(ISBLANK($B$23),0,VLOOKUP($B$23,'Foglalkozási pótdíjak'!$A$3:$K$494,3,0))</f>
        <v>0</v>
      </c>
    </row>
    <row r="30" spans="2:15" ht="12.75" customHeight="1" x14ac:dyDescent="0.2">
      <c r="B30" s="100"/>
      <c r="C30" s="105" t="s">
        <v>412</v>
      </c>
      <c r="D30" s="105"/>
      <c r="E30" s="105"/>
      <c r="F30" s="105"/>
      <c r="G30" s="105"/>
      <c r="H30" s="98"/>
      <c r="I30" s="17">
        <f ca="1">IF(ISBLANK($C$8),"",ROUND(VLOOKUP($C$9,'MM-MC Tarifák'!$A$3:$AQ$67,HLOOKUP($C30,'MM-MC Tarifák'!$B$1:$AQ$2,2,0),0)/1000*$H$30*IF(OR(AND($C$16="Forint",$H$30&gt;=500000,$H$30&lt;=100000000),AND($C$16="Euró",$H$30&gt;=1700,$H$30&lt;=325000)),1,0)*VLOOKUP($C$12,Paraméterek!$K$1:$L$4,2,0)*IF($O$30="Kizárás",1,1+$O$30),IF($C$16="Forint",0,2)))</f>
        <v>0</v>
      </c>
      <c r="J30" s="106"/>
      <c r="K30" s="107"/>
      <c r="L30" s="18" t="str">
        <f>IF(AND($J$30="Ezt kérem!",$H$7&lt;&gt;""),"!","")</f>
        <v/>
      </c>
      <c r="M30" s="48"/>
      <c r="N30" s="21"/>
      <c r="O30" s="49">
        <v>0</v>
      </c>
    </row>
    <row r="31" spans="2:15" ht="12.75" customHeight="1" x14ac:dyDescent="0.2">
      <c r="B31" s="100"/>
      <c r="C31" s="105" t="s">
        <v>2</v>
      </c>
      <c r="D31" s="105"/>
      <c r="E31" s="105"/>
      <c r="F31" s="105"/>
      <c r="G31" s="105"/>
      <c r="H31" s="98"/>
      <c r="I31" s="17">
        <f ca="1">IF(ISBLANK($C$8),"",ROUND(VLOOKUP($C$9,'MM-MC Tarifák'!$A$3:$AQ$67,HLOOKUP($C31,'MM-MC Tarifák'!$B$1:$AQ$2,2,0),0)/1000*$H$31*IF(OR(AND($C$16="Forint",$H$31&gt;=500000,$H$31&lt;=200000000),AND($C$16="Euró",$H$31&gt;=1700,$H$31&lt;=650000)),1,0)*VLOOKUP($C$12,Paraméterek!$K$1:$L$4,2,0)*IF($O$31="Kizárás",1,1+$O$31),IF($C$16="Forint",0,2)))</f>
        <v>0</v>
      </c>
      <c r="J31" s="106"/>
      <c r="K31" s="107"/>
      <c r="L31" s="18" t="str">
        <f>IF(AND($J$31="Ezt kérem!",$H$10&lt;&gt;""),"!","")</f>
        <v/>
      </c>
      <c r="M31" s="48"/>
      <c r="N31" s="21"/>
      <c r="O31" s="16">
        <f>IF(ISBLANK($B$23),0,VLOOKUP($B$23,'Foglalkozási pótdíjak'!$A$3:$K$494,3,0))</f>
        <v>0</v>
      </c>
    </row>
    <row r="32" spans="2:15" ht="12.75" customHeight="1" x14ac:dyDescent="0.2">
      <c r="B32" s="100"/>
      <c r="C32" s="105" t="s">
        <v>3</v>
      </c>
      <c r="D32" s="105"/>
      <c r="E32" s="105"/>
      <c r="F32" s="105"/>
      <c r="G32" s="105"/>
      <c r="H32" s="98"/>
      <c r="I32" s="17">
        <f ca="1">IF(ISBLANK($C$8),"",ROUND(VLOOKUP($C$9,'MM-MC Tarifák'!$A$3:$AQ$67,HLOOKUP($C32,'MM-MC Tarifák'!$B$1:$AQ$2,2,0),0)/1000*$H$32*IF(OR(AND($C$16="Forint",$H$32&gt;=500000,$H$32&lt;=100000000),AND($C$16="Euró",$H$32&gt;=1700,$H$32&lt;=325000)),1,0)*VLOOKUP($C$12,Paraméterek!$K$1:$L$4,2,0)*IF($O$32="Kizárás",1,1+$O$32),IF($C$16="Forint",0,2)))</f>
        <v>0</v>
      </c>
      <c r="J32" s="106"/>
      <c r="K32" s="10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00" t="s">
        <v>4</v>
      </c>
      <c r="C35" s="105" t="s">
        <v>62</v>
      </c>
      <c r="D35" s="105"/>
      <c r="E35" s="105"/>
      <c r="F35" s="105"/>
      <c r="G35" s="105"/>
      <c r="H35" s="104">
        <v>3000000</v>
      </c>
      <c r="I35" s="17">
        <f ca="1">IF(ISBLANK($C$8),"",ROUND(VLOOKUP($C$9,'MM-MC Tarifák'!$A$3:$AQ$67,HLOOKUP($C35,'MM-MC Tarifák'!$B$1:$AQ$2,2,0),0)/1000*$H$35*IF(OR(AND($C$16="Forint",$H$35&gt;=1000000,$H$35&lt;=50000000),AND($C$16="Euró",$H$35&gt;=3400,$H$35&lt;=162500)),1,0)*VLOOKUP($C$12,Paraméterek!$K$1:$L$4,2,0)*IF($O$35="Kizárás",1,1+$O$35),IF($C$16="Forint",0,2)))</f>
        <v>1738</v>
      </c>
      <c r="J35" s="106"/>
      <c r="K35" s="107"/>
      <c r="L35" s="18" t="str">
        <f>IF(AND($J$35="Ezt kérem!",OR($H$4&lt;&gt;"",$H$5&lt;&gt;"")),"!","")</f>
        <v/>
      </c>
      <c r="M35" s="48"/>
      <c r="N35" s="21"/>
      <c r="O35" s="16">
        <f>IF(ISBLANK($B$23),0,VLOOKUP($B$23,'Foglalkozási pótdíjak'!$A$3:$K$494,4,0))</f>
        <v>0</v>
      </c>
    </row>
    <row r="36" spans="2:15" ht="12.75" customHeight="1" x14ac:dyDescent="0.2">
      <c r="B36" s="100"/>
      <c r="C36" s="105" t="s">
        <v>63</v>
      </c>
      <c r="D36" s="105"/>
      <c r="E36" s="105"/>
      <c r="F36" s="105"/>
      <c r="G36" s="105"/>
      <c r="H36" s="104"/>
      <c r="I36" s="17">
        <f ca="1">IF(ISBLANK($C$8),"",ROUND(VLOOKUP($C$9,'MM-MC Tarifák'!$A$3:$AQ$67,HLOOKUP($C36,'MM-MC Tarifák'!$B$1:$AQ$2,2,0),0)/1000*$H$35*IF(OR(AND($C$16="Forint",$H$35&gt;=1000000,$H$35&lt;=50000000),AND($C$16="Euró",$H$35&gt;=3400,$H$35&lt;=162500)),1,0)*VLOOKUP($C$12,Paraméterek!$K$1:$L$4,2,0)*IF($O$36="Kizárás",1,1+$O$36),IF($C$16="Forint",0,2)))</f>
        <v>2487</v>
      </c>
      <c r="J36" s="106"/>
      <c r="K36" s="107"/>
      <c r="L36" s="18" t="str">
        <f>IF(AND($J$36="Ezt kérem!",OR($H$4&lt;&gt;"",$H$5&lt;&gt;"")),"!","")</f>
        <v/>
      </c>
      <c r="M36" s="48"/>
      <c r="N36" s="21"/>
      <c r="O36" s="16">
        <f>IF(ISBLANK($B$23),0,VLOOKUP($B$23,'Foglalkozási pótdíjak'!$A$3:$K$494,4,0))</f>
        <v>0</v>
      </c>
    </row>
    <row r="37" spans="2:15" ht="12.75" customHeight="1" x14ac:dyDescent="0.2">
      <c r="B37" s="100"/>
      <c r="C37" s="105" t="s">
        <v>64</v>
      </c>
      <c r="D37" s="105"/>
      <c r="E37" s="105"/>
      <c r="F37" s="105"/>
      <c r="G37" s="105"/>
      <c r="H37" s="104"/>
      <c r="I37" s="17">
        <f ca="1">IF(ISBLANK($C$8),"",ROUND(VLOOKUP($C$9,'MM-MC Tarifák'!$A$3:$AQ$67,HLOOKUP($C37,'MM-MC Tarifák'!$B$1:$AQ$2,2,0),0)/1000*$H$35*IF(OR(AND($C$16="Forint",$H$35&gt;=1000000,$H$35&lt;=50000000),AND($C$16="Euró",$H$35&gt;=3400,$H$35&lt;=162500)),1,0)*VLOOKUP($C$12,Paraméterek!$K$1:$L$4,2,0)*IF($O$37="Kizárás",1,1+$O$37),IF($C$16="Forint",0,2)))</f>
        <v>3110</v>
      </c>
      <c r="J37" s="106"/>
      <c r="K37" s="10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0" t="s">
        <v>5</v>
      </c>
      <c r="C40" s="105" t="s">
        <v>6</v>
      </c>
      <c r="D40" s="105"/>
      <c r="E40" s="105"/>
      <c r="F40" s="105"/>
      <c r="G40" s="105"/>
      <c r="H40" s="99">
        <v>2500000</v>
      </c>
      <c r="I40" s="17">
        <f ca="1">IF(ISBLANK($C$8),"",ROUND(VLOOKUP($C$9,'MM-MC Tarifák'!$A$3:$AQ$67,HLOOKUP($C40,'MM-MC Tarifák'!$B$1:$AQ$2,2,0),0)/1000*$H$40*IF(OR(AND($C$16="Forint",$H$40&gt;=500000,$H$40&lt;=200000000),AND($C$16="Euró",$H$40&gt;=1700,$H$40&lt;=650000)),1,0)*VLOOKUP($C$12,Paraméterek!$K$1:$L$4,2,0)*IF($O$40="Kizárás",1,1+$O$40),IF($C$16="Forint",0,2)))</f>
        <v>139</v>
      </c>
      <c r="J40" s="106"/>
      <c r="K40" s="107"/>
      <c r="L40" s="18" t="str">
        <f>IF(AND($J$40="Ezt kérem!",$H$8&lt;&gt;""),"!","")</f>
        <v/>
      </c>
      <c r="M40" s="48"/>
      <c r="N40" s="21"/>
      <c r="O40" s="16">
        <f>IF(ISBLANK($B$23),0,VLOOKUP($B$23,'Foglalkozási pótdíjak'!$A$3:$K$494,6,0))</f>
        <v>0</v>
      </c>
    </row>
    <row r="41" spans="2:15" ht="12.75" customHeight="1" x14ac:dyDescent="0.2">
      <c r="B41" s="100"/>
      <c r="C41" s="105" t="s">
        <v>7</v>
      </c>
      <c r="D41" s="105"/>
      <c r="E41" s="105"/>
      <c r="F41" s="105"/>
      <c r="G41" s="105"/>
      <c r="H41" s="99">
        <v>2500000</v>
      </c>
      <c r="I41" s="17">
        <f ca="1">IF(ISBLANK($C$8),"",ROUND(VLOOKUP($C$9,'MM-MC Tarifák'!$A$3:$AQ$67,HLOOKUP($C41,'MM-MC Tarifák'!$B$1:$AQ$2,2,0),0)/1000*$H$41*IF(OR(AND($C$16="Forint",$H$41&gt;=500000,$H$41&lt;=200000000),AND($C$16="Euró",$H$41&gt;=1700,$H$41&lt;=650000)),1,0)*VLOOKUP($C$12,Paraméterek!$K$1:$L$4,2,0)*IF($O$41="Kizárás",1,1+$O$41),IF($C$16="Forint",0,2)))</f>
        <v>395</v>
      </c>
      <c r="J41" s="106"/>
      <c r="K41" s="107"/>
      <c r="L41" s="18" t="str">
        <f>IF(AND($J$41="Ezt kérem!",$H$8&lt;&gt;""),"!","")</f>
        <v/>
      </c>
      <c r="M41" s="48"/>
      <c r="N41" s="21"/>
      <c r="O41" s="16">
        <f>IF(ISBLANK($B$23),0,VLOOKUP($B$23,'Foglalkozási pótdíjak'!$A$3:$K$494,5,0))</f>
        <v>0</v>
      </c>
    </row>
    <row r="42" spans="2:15" ht="12.75" customHeight="1" x14ac:dyDescent="0.2">
      <c r="B42" s="100"/>
      <c r="C42" s="105" t="s">
        <v>8</v>
      </c>
      <c r="D42" s="105"/>
      <c r="E42" s="105"/>
      <c r="F42" s="105"/>
      <c r="G42" s="105"/>
      <c r="H42" s="99">
        <v>2500000</v>
      </c>
      <c r="I42" s="17">
        <f ca="1">IF(ISBLANK($C$8),"",ROUND(VLOOKUP($C$9,'MM-MC Tarifák'!$A$3:$AQ$67,HLOOKUP($C42,'MM-MC Tarifák'!$B$1:$AQ$2,2,0),0)/1000*$H$42*IF(OR(AND($C$16="Forint",$H$42&gt;=500000,$H$42&lt;=200000000),AND($C$16="Euró",$H$42&gt;=1700,$H$42&lt;=650000)),1,0)*VLOOKUP($C$12,Paraméterek!$K$1:$L$4,2,0)*IF($O$42="Kizárás",1,1+$O$42),IF($C$16="Forint",0,2)))</f>
        <v>613</v>
      </c>
      <c r="J42" s="106"/>
      <c r="K42" s="107"/>
      <c r="L42" s="18" t="str">
        <f>IF(AND($J$42="Ezt kérem!",$H$8&lt;&gt;""),"!","")</f>
        <v/>
      </c>
      <c r="M42" s="48"/>
      <c r="N42" s="21"/>
      <c r="O42" s="16">
        <f>IF(ISBLANK($B$23),0,VLOOKUP($B$23,'Foglalkozási pótdíjak'!$A$3:$K$494,5,0))</f>
        <v>0</v>
      </c>
    </row>
    <row r="43" spans="2:15" ht="12.75" customHeight="1" x14ac:dyDescent="0.2">
      <c r="B43" s="100"/>
      <c r="C43" s="105" t="s">
        <v>65</v>
      </c>
      <c r="D43" s="105"/>
      <c r="E43" s="105"/>
      <c r="F43" s="105"/>
      <c r="G43" s="105"/>
      <c r="H43" s="99">
        <v>2500000</v>
      </c>
      <c r="I43" s="17">
        <f ca="1">IF(ISBLANK($C$8),"",ROUND(VLOOKUP($C$9,'MM-MC Tarifák'!$A$3:$AQ$67,HLOOKUP($C43,'MM-MC Tarifák'!$B$1:$AQ$2,2,0),0)/1000*$H$43*IF(OR(AND($C$16="Forint",$H$43&gt;=500000,$H$43&lt;=80000000),AND($C$16="Euró",$H$43&gt;=1700,$H$43&lt;=260000)),1,0)*VLOOKUP($C$12,Paraméterek!$K$1:$L$4,2,0)*IF($O$43="Kizárás",1,1+$O$43),IF($C$16="Forint",0,2)))</f>
        <v>816</v>
      </c>
      <c r="J43" s="106"/>
      <c r="K43" s="107"/>
      <c r="L43" s="18" t="str">
        <f>IF(AND($J$43="Ezt kérem!",$H$8&lt;&gt;""),"!","")</f>
        <v/>
      </c>
      <c r="M43" s="48"/>
      <c r="N43" s="21"/>
      <c r="O43" s="16">
        <f>IF(ISBLANK($B$23),0,VLOOKUP($B$23,'Foglalkozási pótdíjak'!$A$3:$K$494,5,0))</f>
        <v>0</v>
      </c>
    </row>
    <row r="44" spans="2:15" ht="12.75" customHeight="1" x14ac:dyDescent="0.2">
      <c r="B44" s="100"/>
      <c r="C44" s="105" t="s">
        <v>9</v>
      </c>
      <c r="D44" s="105"/>
      <c r="E44" s="105"/>
      <c r="F44" s="105"/>
      <c r="G44" s="105"/>
      <c r="H44" s="91">
        <v>4500000</v>
      </c>
      <c r="I44" s="17">
        <f ca="1">IF(ISBLANK($C$8),"",ROUND(VLOOKUP($C$9,'MM-MC Tarifák'!$A$3:$AQ$67,HLOOKUP($C44,'MM-MC Tarifák'!$B$1:$AQ$2,2,0),0)/1000*$H$44*IF(OR(AND($C$16="Forint",$H$44&gt;=500000,$H$44&lt;=100000000),AND($C$16="Euró",$H$44&gt;=1700,$H$44&lt;=325000)),1,0)*VLOOKUP($C$12,Paraméterek!$K$1:$L$4,2,0)*IF($O$44="Kizárás",1,1+$O$44),IF($C$16="Forint",0,2)))</f>
        <v>4646</v>
      </c>
      <c r="J44" s="106" t="s">
        <v>730</v>
      </c>
      <c r="K44" s="10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4" t="s">
        <v>10</v>
      </c>
      <c r="C47" s="105" t="s">
        <v>67</v>
      </c>
      <c r="D47" s="105"/>
      <c r="E47" s="105"/>
      <c r="F47" s="105"/>
      <c r="G47" s="105"/>
      <c r="H47" s="90"/>
      <c r="I47" s="17">
        <f ca="1">IF(ISBLANK($C$8),"",ROUND(VLOOKUP($C$9,'MM-MC Tarifák'!$A$3:$AQ$67,HLOOKUP($C47,'MM-MC Tarifák'!$B$1:$AQ$2,2,0),0)/1000*$H$47*IF(OR(AND($C$16="Forint",$H$47&gt;=10000,$H$47&lt;=1666666),AND($C$16="Euró",$H$47&gt;=34,$H$47&lt;=5416)),1,0)*VLOOKUP($C$12,Paraméterek!$K$1:$L$4,2,0)*IF($O$47="Kizárás",1,1+$O$47),IF($C$16="Forint",0,2)))</f>
        <v>0</v>
      </c>
      <c r="J47" s="133"/>
      <c r="K47" s="133"/>
      <c r="L47" s="18" t="str">
        <f>IF(AND($J$47="Ezt kérem!",OR($H$6&lt;&gt;"",$H$7&lt;&gt;"")),"!","")</f>
        <v/>
      </c>
      <c r="M47" s="48"/>
      <c r="N47" s="21"/>
      <c r="O47" s="16">
        <f>IF(ISBLANK($B$23),0,VLOOKUP($B$23,'Foglalkozási pótdíjak'!$A$3:$K$494,3,0))</f>
        <v>0</v>
      </c>
    </row>
    <row r="48" spans="2:15" ht="12.75" customHeight="1" x14ac:dyDescent="0.2">
      <c r="B48" s="134"/>
      <c r="C48" s="105" t="s">
        <v>68</v>
      </c>
      <c r="D48" s="105"/>
      <c r="E48" s="105"/>
      <c r="F48" s="105"/>
      <c r="G48" s="105"/>
      <c r="H48" s="90"/>
      <c r="I48" s="17">
        <f ca="1">IF(ISBLANK($C$8),"",ROUND(VLOOKUP($C$9,'MM-MC Tarifák'!$A$3:$AQ$67,HLOOKUP($C48,'MM-MC Tarifák'!$B$1:$AQ$2,2,0),0)/1000*$H$48*IF(OR(AND($C$16="Forint",$H$48&gt;=10000,$H$48&lt;=833333),AND($C$16="Euró",$H$48&gt;=34,$H$48&lt;=2708)),1,0)*VLOOKUP($C$12,Paraméterek!$K$1:$L$4,2,0)*IF($O$48="Kizárás",1,1+$O$48),IF($C$16="Forint",0,2)))</f>
        <v>0</v>
      </c>
      <c r="J48" s="133"/>
      <c r="K48" s="133"/>
      <c r="L48" s="18" t="str">
        <f>IF(AND($J$48="Ezt kérem!",OR($H$6&lt;&gt;"",$H$7&lt;&gt;"")),"!","")</f>
        <v/>
      </c>
      <c r="M48" s="48"/>
      <c r="N48" s="21"/>
      <c r="O48" s="16">
        <f>IF(ISBLANK($B$23),0,VLOOKUP($B$23,'Foglalkozási pótdíjak'!$A$3:$K$494,3,0))</f>
        <v>0</v>
      </c>
    </row>
    <row r="49" spans="2:15" ht="12.75" customHeight="1" x14ac:dyDescent="0.2">
      <c r="B49" s="134"/>
      <c r="C49" s="105" t="s">
        <v>118</v>
      </c>
      <c r="D49" s="105"/>
      <c r="E49" s="105"/>
      <c r="F49" s="105"/>
      <c r="G49" s="105"/>
      <c r="H49" s="90"/>
      <c r="I49" s="17">
        <f ca="1">IF(ISBLANK($C$8),"",ROUND(VLOOKUP($C$9,'MM-MC Tarifák'!$A$3:$AQ$67,HLOOKUP($C49,'MM-MC Tarifák'!$B$1:$AQ$2,2,0),0)/1000*$H$49*IF(OR(AND($C$16="Forint",$H$49&gt;=10000,$H$49&lt;=416666),AND($C$16="Euró",$H$49&gt;=34,$H$49&lt;=1354)),1,0)*VLOOKUP($C$12,Paraméterek!$K$1:$L$4,2,0)*IF($O$49="Kizárás",1,1+$O$49),IF($C$16="Forint",0,2)))</f>
        <v>0</v>
      </c>
      <c r="J49" s="133"/>
      <c r="K49" s="133"/>
      <c r="L49" s="18" t="str">
        <f>IF(AND($J$49="Ezt kérem!",OR($H$6&lt;&gt;"",$H$7&lt;&gt;"")),"!","")</f>
        <v/>
      </c>
      <c r="M49" s="48"/>
      <c r="N49" s="21"/>
      <c r="O49" s="16">
        <f>IF(ISBLANK($B$23),0,VLOOKUP($B$23,'Foglalkozási pótdíjak'!$A$3:$K$494,3,0))</f>
        <v>0</v>
      </c>
    </row>
    <row r="50" spans="2:15" ht="12.75" customHeight="1" x14ac:dyDescent="0.2">
      <c r="B50" s="134"/>
      <c r="C50" s="105" t="s">
        <v>69</v>
      </c>
      <c r="D50" s="105"/>
      <c r="E50" s="105"/>
      <c r="F50" s="105"/>
      <c r="G50" s="105"/>
      <c r="H50" s="90"/>
      <c r="I50" s="17">
        <f ca="1">IF(ISBLANK($C$8),"",ROUND(VLOOKUP($C$9,'MM-MC Tarifák'!$A$3:$AQ$67,HLOOKUP($C50,'MM-MC Tarifák'!$B$1:$AQ$2,2,0),0)/1000*$H$50*IF(OR(AND($C$16="Forint",$H$50&gt;=10000,$H$50&lt;=1666666),AND($C$16="Euró",$H$50&gt;=34,$H$50&lt;=5417)),1,0)*VLOOKUP($C$12,Paraméterek!$K$1:$L$4,2,0)*IF($O$50="Kizárás",1,1+$O$50),IF($C$16="Forint",0,2)))</f>
        <v>0</v>
      </c>
      <c r="J50" s="133"/>
      <c r="K50" s="133"/>
      <c r="L50" s="18" t="str">
        <f>IF(AND($J$50="Ezt kérem!",OR($H$7&lt;&gt;"",$H$9&lt;&gt;"")),"!","")</f>
        <v/>
      </c>
      <c r="M50" s="48"/>
      <c r="N50" s="21"/>
      <c r="O50" s="49">
        <v>0</v>
      </c>
    </row>
    <row r="51" spans="2:15" ht="12.75" customHeight="1" x14ac:dyDescent="0.2">
      <c r="B51" s="134"/>
      <c r="C51" s="105" t="s">
        <v>70</v>
      </c>
      <c r="D51" s="105"/>
      <c r="E51" s="105"/>
      <c r="F51" s="105"/>
      <c r="G51" s="105"/>
      <c r="H51" s="90"/>
      <c r="I51" s="17">
        <f ca="1">IF(ISBLANK($C$8),"",ROUND(VLOOKUP($C$9,'MM-MC Tarifák'!$A$3:$AQ$67,HLOOKUP($C51,'MM-MC Tarifák'!$B$1:$AQ$2,2,0),0)/1000*$H$51*IF(OR(AND($C$16="Forint",$H$51&gt;=10000,$H$51&lt;=833333),AND($C$16="Euró",$H$51&gt;=34,$H$51&lt;=2708)),1,0)*VLOOKUP($C$12,Paraméterek!$K$1:$L$4,2,0)*IF($O$51="Kizárás",1,1+$O$51),IF($C$16="Forint",0,2)))</f>
        <v>0</v>
      </c>
      <c r="J51" s="133"/>
      <c r="K51" s="133"/>
      <c r="L51" s="18" t="str">
        <f>IF(AND($J$51="Ezt kérem!",OR($H$7&lt;&gt;"",$H$9&lt;&gt;"")),"!","")</f>
        <v/>
      </c>
      <c r="M51" s="48"/>
      <c r="N51" s="21"/>
      <c r="O51" s="49">
        <v>0</v>
      </c>
    </row>
    <row r="52" spans="2:15" ht="12.75" customHeight="1" x14ac:dyDescent="0.2">
      <c r="B52" s="134"/>
      <c r="C52" s="105" t="s">
        <v>119</v>
      </c>
      <c r="D52" s="105"/>
      <c r="E52" s="105"/>
      <c r="F52" s="105"/>
      <c r="G52" s="105"/>
      <c r="H52" s="90"/>
      <c r="I52" s="17">
        <f ca="1">IF(ISBLANK($C$8),"",ROUND(VLOOKUP($C$9,'MM-MC Tarifák'!$A$3:$AQ$67,HLOOKUP($C52,'MM-MC Tarifák'!$B$1:$AQ$2,2,0),0)/1000*$H$52*IF(OR(AND($C$16="Forint",$H$52&gt;=10000,$H$52&lt;=416666),AND($C$16="Euró",$H$52&gt;=34,$H$52&lt;=1354)),1,0)*VLOOKUP($C$12,Paraméterek!$K$1:$L$4,2,0)*IF($O$52="Kizárás",1,1+$O$52),IF($C$16="Forint",0,2)))</f>
        <v>0</v>
      </c>
      <c r="J52" s="133"/>
      <c r="K52" s="133"/>
      <c r="L52" s="18" t="str">
        <f>IF(AND($J$52="Ezt kérem!",OR($H$7&lt;&gt;"",$H$9&lt;&gt;"")),"!","")</f>
        <v/>
      </c>
      <c r="M52" s="48"/>
      <c r="N52" s="21"/>
      <c r="O52" s="49">
        <v>0</v>
      </c>
    </row>
    <row r="53" spans="2:15" ht="12.75" customHeight="1" x14ac:dyDescent="0.2">
      <c r="B53" s="134"/>
      <c r="C53" s="105" t="s">
        <v>71</v>
      </c>
      <c r="D53" s="105"/>
      <c r="E53" s="105"/>
      <c r="F53" s="105"/>
      <c r="G53" s="105"/>
      <c r="H53" s="90"/>
      <c r="I53" s="17">
        <f ca="1">IF(ISBLANK($C$8),"",ROUND(VLOOKUP($C$9,'MM-MC Tarifák'!$A$3:$AQ$67,HLOOKUP($C53,'MM-MC Tarifák'!$B$1:$AQ$2,2,0),0)/1000*$H$53*IF(OR(AND($C$16="Forint",$H$53&gt;=10000,$H$53&lt;=3333333),AND($C$16="Euró",$H$53&gt;=34,$H$53&lt;=10833)),1,0)*VLOOKUP($C$12,Paraméterek!$K$1:$L$4,2,0)*IF($O$53="Kizárás",1,1+$O$53),IF($C$16="Forint",0,2)))</f>
        <v>0</v>
      </c>
      <c r="J53" s="133"/>
      <c r="K53" s="133"/>
      <c r="L53" s="18" t="str">
        <f>IF(AND($J$53="Ezt kérem!",OR($H$8&lt;&gt;"",$H$15&lt;&gt;"")),"!","")</f>
        <v/>
      </c>
      <c r="M53" s="48"/>
      <c r="N53" s="21"/>
      <c r="O53" s="16">
        <f>IF(ISBLANK($B$23),0,VLOOKUP($B$23,'Foglalkozási pótdíjak'!$A$3:$K$494,6,0))</f>
        <v>0</v>
      </c>
    </row>
    <row r="54" spans="2:15" ht="12.75" customHeight="1" x14ac:dyDescent="0.2">
      <c r="B54" s="134"/>
      <c r="C54" s="105" t="s">
        <v>72</v>
      </c>
      <c r="D54" s="105"/>
      <c r="E54" s="105"/>
      <c r="F54" s="105"/>
      <c r="G54" s="105"/>
      <c r="H54" s="90"/>
      <c r="I54" s="17">
        <f ca="1">IF(ISBLANK($C$8),"",ROUND(VLOOKUP($C$9,'MM-MC Tarifák'!$A$3:$AQ$67,HLOOKUP($C54,'MM-MC Tarifák'!$B$1:$AQ$2,2,0),0)/1000*$H$54*IF(OR(AND($C$16="Forint",$H$54&gt;=10000,$H$54&lt;=1666666),AND($C$16="Euró",$H$54&gt;=34,$H$54&lt;=5416)),1,0)*VLOOKUP($C$12,Paraméterek!$K$1:$L$4,2,0)*IF($O$54="Kizárás",1,1+$O$54),IF($C$16="Forint",0,2)))</f>
        <v>0</v>
      </c>
      <c r="J54" s="133"/>
      <c r="K54" s="133"/>
      <c r="L54" s="18" t="str">
        <f>IF(AND($J$54="Ezt kérem!",OR($H$8&lt;&gt;"",$H$15&lt;&gt;"")),"!","")</f>
        <v/>
      </c>
      <c r="M54" s="48"/>
      <c r="N54" s="21"/>
      <c r="O54" s="16">
        <f>IF(ISBLANK($B$23),0,VLOOKUP($B$23,'Foglalkozási pótdíjak'!$A$3:$K$494,6,0))</f>
        <v>0</v>
      </c>
    </row>
    <row r="55" spans="2:15" ht="12.75" customHeight="1" x14ac:dyDescent="0.2">
      <c r="B55" s="134"/>
      <c r="C55" s="105" t="s">
        <v>120</v>
      </c>
      <c r="D55" s="105"/>
      <c r="E55" s="105"/>
      <c r="F55" s="105"/>
      <c r="G55" s="105"/>
      <c r="H55" s="90"/>
      <c r="I55" s="17">
        <f ca="1">IF(ISBLANK($C$8),"",ROUND(VLOOKUP($C$9,'MM-MC Tarifák'!$A$3:$AQ$67,HLOOKUP($C55,'MM-MC Tarifák'!$B$1:$AQ$2,2,0),0)/1000*$H$55*IF(OR(AND($C$16="Forint",$H$55&gt;=10000,$H$55&lt;=833333),AND($C$16="Euró",$H$55&gt;=34,$H$55&lt;=2708)),1,0)*VLOOKUP($C$12,Paraméterek!$K$1:$L$4,2,0)*IF($O$55="Kizárás",1,1+$O$55),IF($C$16="Forint",0,2)))</f>
        <v>0</v>
      </c>
      <c r="J55" s="133"/>
      <c r="K55" s="133"/>
      <c r="L55" s="18" t="str">
        <f>IF(AND($J$55="Ezt kérem!",OR($H$8&lt;&gt;"",$H$15&lt;&gt;"")),"!","")</f>
        <v/>
      </c>
      <c r="M55" s="48"/>
      <c r="N55" s="21"/>
      <c r="O55" s="16">
        <f>IF(ISBLANK($B$23),0,VLOOKUP($B$23,'Foglalkozási pótdíjak'!$A$3:$K$494,6,0))</f>
        <v>0</v>
      </c>
    </row>
    <row r="56" spans="2:15" ht="12.75" customHeight="1" x14ac:dyDescent="0.2">
      <c r="B56" s="134"/>
      <c r="C56" s="105" t="s">
        <v>73</v>
      </c>
      <c r="D56" s="105"/>
      <c r="E56" s="105"/>
      <c r="F56" s="105"/>
      <c r="G56" s="105"/>
      <c r="H56" s="90"/>
      <c r="I56" s="17">
        <f ca="1">IF(ISBLANK($C$8),"",ROUND(VLOOKUP($C$9,'MM-MC Tarifák'!$A$3:$AQ$67,HLOOKUP($C56,'MM-MC Tarifák'!$B$1:$AQ$2,2,0),0)/1000*$H$56*IF(OR(AND($C$16="Forint",$H$56&gt;=10000,$H$56&lt;=1666666),AND($C$16="Euró",$H$56&gt;=34,$H$56&lt;=5416)),1,0)*VLOOKUP($C$12,Paraméterek!$K$1:$L$4,2,0)*IF($O$56="Kizárás",1,1+$O$56),IF($C$16="Forint",0,2)))</f>
        <v>0</v>
      </c>
      <c r="J56" s="133"/>
      <c r="K56" s="133"/>
      <c r="L56" s="18" t="str">
        <f>IF(AND($J$56="Ezt kérem!",$H$15&lt;&gt;""),"!","")</f>
        <v/>
      </c>
      <c r="M56" s="48"/>
      <c r="N56" s="21"/>
      <c r="O56" s="16">
        <f>IF(ISBLANK($B$23),0,VLOOKUP($B$23,'Foglalkozási pótdíjak'!$A$3:$K$494,5,0))</f>
        <v>0</v>
      </c>
    </row>
    <row r="57" spans="2:15" ht="12.75" customHeight="1" x14ac:dyDescent="0.2">
      <c r="B57" s="134"/>
      <c r="C57" s="105" t="s">
        <v>74</v>
      </c>
      <c r="D57" s="105"/>
      <c r="E57" s="105"/>
      <c r="F57" s="105"/>
      <c r="G57" s="105"/>
      <c r="H57" s="90"/>
      <c r="I57" s="17">
        <f ca="1">IF(ISBLANK($C$8),"",ROUND(VLOOKUP($C$9,'MM-MC Tarifák'!$A$3:$AQ$67,HLOOKUP($C57,'MM-MC Tarifák'!$B$1:$AQ$2,2,0),0)/1000*$H$57*IF(OR(AND($C$16="Forint",$H$57&gt;=10000,$H$57&lt;=833333),AND($C$16="Euró",$H$57&gt;=34,$H$57&lt;=2708)),1,0)*VLOOKUP($C$12,Paraméterek!$K$1:$L$4,2,0)*IF($O$57="Kizárás",1,1+$O$57),IF($C$16="Forint",0,2)))</f>
        <v>0</v>
      </c>
      <c r="J57" s="133"/>
      <c r="K57" s="133"/>
      <c r="L57" s="18" t="str">
        <f>IF(AND($J$57="Ezt kérem!",$H$15&lt;&gt;""),"!","")</f>
        <v/>
      </c>
      <c r="M57" s="48"/>
      <c r="N57" s="21"/>
      <c r="O57" s="16">
        <f>IF(ISBLANK($B$23),0,VLOOKUP($B$23,'Foglalkozási pótdíjak'!$A$3:$K$494,5,0))</f>
        <v>0</v>
      </c>
    </row>
    <row r="58" spans="2:15" ht="12.75" customHeight="1" x14ac:dyDescent="0.2">
      <c r="B58" s="134"/>
      <c r="C58" s="105" t="s">
        <v>121</v>
      </c>
      <c r="D58" s="105"/>
      <c r="E58" s="105"/>
      <c r="F58" s="105"/>
      <c r="G58" s="105"/>
      <c r="H58" s="90"/>
      <c r="I58" s="17">
        <f ca="1">IF(ISBLANK($C$8),"",ROUND(VLOOKUP($C$9,'MM-MC Tarifák'!$A$3:$AQ$67,HLOOKUP($C58,'MM-MC Tarifák'!$B$1:$AQ$2,2,0),0)/1000*$H$58*IF(OR(AND($C$16="Forint",$H$58&gt;=10000,$H$58&lt;=416666),AND($C$16="Euró",$H$58&gt;=34,$H$58&lt;=1354)),1,0)*VLOOKUP($C$12,Paraméterek!$K$1:$L$4,2,0)*IF($O$58="Kizárás",1,1+$O$58),IF($C$16="Forint",0,2)))</f>
        <v>0</v>
      </c>
      <c r="J58" s="133"/>
      <c r="K58" s="133"/>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00" t="s">
        <v>11</v>
      </c>
      <c r="C61" s="105" t="s">
        <v>12</v>
      </c>
      <c r="D61" s="105"/>
      <c r="E61" s="105"/>
      <c r="F61" s="105"/>
      <c r="G61" s="105"/>
      <c r="H61" s="90"/>
      <c r="I61" s="17">
        <f ca="1">IF(ISBLANK($C$8),"",ROUND(VLOOKUP($C$9,'MM-MC Tarifák'!$A$3:$AQ$67,HLOOKUP($C61,'MM-MC Tarifák'!$B$1:$AQ$2,2,0),0)/1000*$H$61*IF(OR(AND($C$16="Forint",$H$61&gt;=100000,$H$61&lt;=1000000),AND($C$16="Euró",$H$61&gt;=340,$H$61&lt;=3250)),1,0)*VLOOKUP($C$12,Paraméterek!$K$1:$L$4,2,0)*IF($O$61="Kizárás",1,1+$O$61),IF($C$16="Forint",0,2)))</f>
        <v>0</v>
      </c>
      <c r="J61" s="106"/>
      <c r="K61" s="107"/>
      <c r="L61" s="18" t="str">
        <f>IF(AND($J$61="Ezt kérem!",$H$13&lt;&gt;""),"!","")</f>
        <v/>
      </c>
      <c r="M61" s="48"/>
      <c r="N61" s="21"/>
      <c r="O61" s="16">
        <f>IF(ISBLANK($B$23),0,VLOOKUP($B$23,'Foglalkozási pótdíjak'!$A$3:$K$494,8,0))</f>
        <v>0</v>
      </c>
    </row>
    <row r="62" spans="2:15" ht="12.75" customHeight="1" x14ac:dyDescent="0.2">
      <c r="B62" s="100"/>
      <c r="C62" s="105" t="s">
        <v>66</v>
      </c>
      <c r="D62" s="105"/>
      <c r="E62" s="105"/>
      <c r="F62" s="105"/>
      <c r="G62" s="105"/>
      <c r="H62" s="94"/>
      <c r="I62" s="17">
        <f ca="1">IF(ISBLANK($C$8),"",ROUND(VLOOKUP($C$9,'MM-MC Tarifák'!$A$3:$AQ$67,HLOOKUP($C62,'MM-MC Tarifák'!$B$1:$AQ$2,2,0),0)/1000*$H$62*IF(OR(AND($C$16="Forint",$H$62&gt;=100000,$H$62&lt;=500000),AND($C$16="Euró",$H$62&gt;=340,$H$62&lt;=1625)),1,0)*VLOOKUP($C$12,Paraméterek!$K$1:$L$4,2,0)*IF($O$62="Kizárás",1,1+$O$62),IF($C$16="Forint",0,2)))</f>
        <v>0</v>
      </c>
      <c r="J62" s="106"/>
      <c r="K62" s="107"/>
      <c r="L62" s="18" t="str">
        <f>IF(AND($J$62="Ezt kérem!",$H$13&lt;&gt;""),"!","")</f>
        <v/>
      </c>
      <c r="M62" s="48"/>
      <c r="N62" s="21"/>
      <c r="O62" s="16">
        <f>IF(ISBLANK($B$23),0,VLOOKUP($B$23,'Foglalkozási pótdíjak'!$A$3:$K$494,8,0))</f>
        <v>0</v>
      </c>
    </row>
    <row r="63" spans="2:15" ht="12.75" customHeight="1" x14ac:dyDescent="0.2">
      <c r="B63" s="100"/>
      <c r="C63" s="105" t="s">
        <v>25</v>
      </c>
      <c r="D63" s="105"/>
      <c r="E63" s="105"/>
      <c r="F63" s="105"/>
      <c r="G63" s="105"/>
      <c r="H63" s="94">
        <v>150000</v>
      </c>
      <c r="I63" s="17">
        <f ca="1">IF(ISBLANK($C$8),"",ROUND(VLOOKUP($C$9,'MM-MC Tarifák'!$A$3:$AQ$67,HLOOKUP($C63,'MM-MC Tarifák'!$B$1:$AQ$2,2,0),0)/1000*$H$63*IF(OR(AND($C$16="Forint",$H$63&gt;=100000,$H$63&lt;=1000000),AND($C$16="Euró",$H$63&gt;=340,$H$63&lt;=3250)),1,0)*VLOOKUP($C$12,Paraméterek!$K$1:$L$4,2,0)*IF($O$63="Kizárás",1,1+$O$63),IF($C$16="Forint",0,2)))</f>
        <v>1164</v>
      </c>
      <c r="J63" s="106" t="s">
        <v>730</v>
      </c>
      <c r="K63" s="107"/>
      <c r="L63" s="18" t="str">
        <f>IF(AND($J$63="Ezt kérem!",$H$14&lt;&gt;""),"!","")</f>
        <v/>
      </c>
      <c r="M63" s="48"/>
      <c r="N63" s="21"/>
      <c r="O63" s="16">
        <f>IF(ISBLANK($B$23),0,VLOOKUP($B$23,'Foglalkozási pótdíjak'!$A$3:$K$494,9,0))</f>
        <v>0</v>
      </c>
    </row>
    <row r="64" spans="2:15" ht="12.75" customHeight="1" x14ac:dyDescent="0.2">
      <c r="B64" s="100"/>
      <c r="C64" s="105" t="s">
        <v>427</v>
      </c>
      <c r="D64" s="105"/>
      <c r="E64" s="105"/>
      <c r="F64" s="105"/>
      <c r="G64" s="105"/>
      <c r="H64" s="94"/>
      <c r="I64" s="17">
        <f ca="1">IF(ISBLANK($C$8),"",ROUND(VLOOKUP($C$9,'MM-MC Tarifák'!$A$3:$AQ$67,HLOOKUP($C64,'MM-MC Tarifák'!$B$1:$AQ$2,2,0),0)/1000*$H$64*IF(OR(AND($C$16="Forint",$H$64&gt;=100000,$H$64&lt;=500000),AND($C$16="Euró",$H$64&gt;=340,$H$64&lt;=1625)),1,0)*VLOOKUP($C$12,Paraméterek!$K$1:$L$4,2,0)*IF($O$64="Kizárás",1,1+$O$64),IF($C$16="Forint",0,2)))</f>
        <v>0</v>
      </c>
      <c r="J64" s="106"/>
      <c r="K64" s="10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00" t="s">
        <v>13</v>
      </c>
      <c r="C67" s="105" t="s">
        <v>14</v>
      </c>
      <c r="D67" s="105"/>
      <c r="E67" s="105"/>
      <c r="F67" s="105"/>
      <c r="G67" s="105"/>
      <c r="H67" s="90"/>
      <c r="I67" s="17">
        <f ca="1">IF(ISBLANK($C$8),"",ROUND(VLOOKUP($C$9,'MM-MC Tarifák'!$A$3:$AQ$67,HLOOKUP($C67,'MM-MC Tarifák'!$B$1:$AQ$2,2,0),0)/1000*$H$67*IF(OR(AND($C$16="Forint",$H$67&gt;=2000,$H$67&lt;=40000),AND($C$16="Euró",$H$67&gt;=7,$H$67&lt;=130)),1,0)*VLOOKUP($C$12,Paraméterek!$K$1:$L$4,2,0)*IF($O$67="Kizárás",1,1+$O$67),IF($C$16="Forint",0,2)))</f>
        <v>0</v>
      </c>
      <c r="J67" s="106"/>
      <c r="K67" s="107"/>
      <c r="L67" s="18" t="str">
        <f>IF(AND($J$67="Ezt kérem!",$H$11&lt;&gt;""),"!","")</f>
        <v/>
      </c>
      <c r="M67" s="48"/>
      <c r="N67" s="21"/>
      <c r="O67" s="16">
        <f>IF(ISBLANK($B$23),0,VLOOKUP($B$23,'Foglalkozási pótdíjak'!$A$3:$K$494,10,0))</f>
        <v>0</v>
      </c>
    </row>
    <row r="68" spans="2:15" ht="12.75" customHeight="1" x14ac:dyDescent="0.2">
      <c r="B68" s="100"/>
      <c r="C68" s="105" t="s">
        <v>75</v>
      </c>
      <c r="D68" s="105"/>
      <c r="E68" s="105"/>
      <c r="F68" s="105"/>
      <c r="G68" s="105"/>
      <c r="H68" s="94"/>
      <c r="I68" s="17">
        <f ca="1">IF(ISBLANK($C$8),"",ROUND(VLOOKUP($C$9,'MM-MC Tarifák'!$A$3:$AQ$67,HLOOKUP($C68,'MM-MC Tarifák'!$B$1:$AQ$2,2,0),0)/1000*$H$68*IF(OR(AND($C$16="Forint",$H$68&gt;=2000,$H$68&lt;=20000),AND($C$16="Euró",$H$68&gt;=7,$H$68&lt;=65)),1,0)*VLOOKUP($C$12,Paraméterek!$K$1:$L$4,2,0)*IF($O$68="Kizárás",1,1+$O$68),IF($C$16="Forint",0,2)))</f>
        <v>0</v>
      </c>
      <c r="J68" s="106"/>
      <c r="K68" s="107"/>
      <c r="L68" s="18" t="str">
        <f>IF(AND($J$68="Ezt kérem!",$H$11&lt;&gt;""),"!","")</f>
        <v/>
      </c>
      <c r="M68" s="48"/>
      <c r="N68" s="21"/>
      <c r="O68" s="16">
        <f>IF(ISBLANK($B$23),0,VLOOKUP($B$23,'Foglalkozási pótdíjak'!$A$3:$K$494,10,0))</f>
        <v>0</v>
      </c>
    </row>
    <row r="69" spans="2:15" ht="12.75" customHeight="1" x14ac:dyDescent="0.2">
      <c r="B69" s="100"/>
      <c r="C69" s="105" t="s">
        <v>15</v>
      </c>
      <c r="D69" s="105"/>
      <c r="E69" s="105"/>
      <c r="F69" s="105"/>
      <c r="G69" s="105"/>
      <c r="H69" s="94"/>
      <c r="I69" s="17">
        <f ca="1">IF(ISBLANK($C$8),"",ROUND(VLOOKUP($C$9,'MM-MC Tarifák'!$A$3:$AQ$67,HLOOKUP($C69,'MM-MC Tarifák'!$B$1:$AQ$2,2,0),0)/1000*$H$69*IF(OR(AND($C$16="Forint",$H$69&gt;=2000,$H$69&lt;=40000),AND($C$16="Euró",$H$69&gt;=7,$H$69&lt;=130)),1,0)*VLOOKUP($C$12,Paraméterek!$K$1:$L$4,2,0)*IF($O$69="Kizárás",1,1+$O$69),IF($C$16="Forint",0,2)))</f>
        <v>0</v>
      </c>
      <c r="J69" s="106"/>
      <c r="K69" s="107"/>
      <c r="L69" s="18" t="str">
        <f>IF(AND($J$69="Ezt kérem!",$H$11&lt;&gt;""),"!","")</f>
        <v/>
      </c>
      <c r="M69" s="48"/>
      <c r="N69" s="21"/>
      <c r="O69" s="16">
        <f>IF(ISBLANK($B$23),0,VLOOKUP($B$23,'Foglalkozási pótdíjak'!$A$3:$K$494,10,0))</f>
        <v>0</v>
      </c>
    </row>
    <row r="70" spans="2:15" ht="12.75" customHeight="1" x14ac:dyDescent="0.2">
      <c r="B70" s="100"/>
      <c r="C70" s="105" t="s">
        <v>76</v>
      </c>
      <c r="D70" s="105"/>
      <c r="E70" s="105"/>
      <c r="F70" s="105"/>
      <c r="G70" s="105"/>
      <c r="H70" s="94"/>
      <c r="I70" s="17">
        <f ca="1">IF(ISBLANK($C$8),"",ROUND(VLOOKUP($C$9,'MM-MC Tarifák'!$A$3:$AQ$67,HLOOKUP($C70,'MM-MC Tarifák'!$B$1:$AQ$2,2,0),0)/1000*$H$70*IF(OR(AND($C$16="Forint",$H$70&gt;=2000,$H$70&lt;=20000),AND($C$16="Euró",$H$70&gt;=7,$H$70&lt;=65)),1,0)*VLOOKUP($C$12,Paraméterek!$K$1:$L$4,2,0)*IF($O$70="Kizárás",1,1+$O$70),IF($C$16="Forint",0,2)))</f>
        <v>0</v>
      </c>
      <c r="J70" s="106"/>
      <c r="K70" s="107"/>
      <c r="L70" s="18" t="str">
        <f>IF(AND($J$70="Ezt kérem!",$H$11&lt;&gt;""),"!","")</f>
        <v/>
      </c>
      <c r="M70" s="48"/>
      <c r="N70" s="21"/>
      <c r="O70" s="16">
        <f>IF(ISBLANK($B$23),0,VLOOKUP($B$23,'Foglalkozási pótdíjak'!$A$3:$K$494,10,0))</f>
        <v>0</v>
      </c>
    </row>
    <row r="71" spans="2:15" ht="12.75" customHeight="1" x14ac:dyDescent="0.2">
      <c r="B71" s="100"/>
      <c r="C71" s="105" t="s">
        <v>16</v>
      </c>
      <c r="D71" s="105"/>
      <c r="E71" s="105"/>
      <c r="F71" s="105"/>
      <c r="G71" s="105"/>
      <c r="H71" s="94">
        <v>5000</v>
      </c>
      <c r="I71" s="17">
        <f ca="1">IF(ISBLANK($C$8),"",ROUND(VLOOKUP($C$9,'MM-MC Tarifák'!$A$3:$AQ$67,HLOOKUP($C71,'MM-MC Tarifák'!$B$1:$AQ$2,2,0),0)/1000*$H$71*IF(OR(AND($C$16="Forint",$H$71&gt;=2000,$H$71&lt;=40000),AND($C$16="Euró",$H$71&gt;=7,$H$71&lt;=130)),1,0)*VLOOKUP($C$12,Paraméterek!$K$1:$L$4,2,0)*IF($O$71="Kizárás",1,1+$O$71),IF($C$16="Forint",0,2)))</f>
        <v>2228</v>
      </c>
      <c r="J71" s="106"/>
      <c r="K71" s="107"/>
      <c r="L71" s="18" t="str">
        <f>IF(AND($J$71="Ezt kérem!",$H$12&lt;&gt;""),"!","")</f>
        <v/>
      </c>
      <c r="M71" s="48"/>
      <c r="N71" s="21"/>
      <c r="O71" s="16">
        <f>IF(ISBLANK($B$23),0,VLOOKUP($B$23,'Foglalkozási pótdíjak'!$A$3:$K$494,11,0))</f>
        <v>0</v>
      </c>
    </row>
    <row r="72" spans="2:15" ht="12.75" customHeight="1" x14ac:dyDescent="0.2">
      <c r="B72" s="100"/>
      <c r="C72" s="105" t="s">
        <v>77</v>
      </c>
      <c r="D72" s="105"/>
      <c r="E72" s="105"/>
      <c r="F72" s="105"/>
      <c r="G72" s="105"/>
      <c r="H72" s="94"/>
      <c r="I72" s="17">
        <f ca="1">IF(ISBLANK($C$8),"",ROUND(VLOOKUP($C$9,'MM-MC Tarifák'!$A$3:$AQ$67,HLOOKUP($C72,'MM-MC Tarifák'!$B$1:$AQ$2,2,0),0)/1000*$H$72*IF(OR(AND($C$16="Forint",$H$72&gt;=2000,$H$72&lt;=20000),AND($C$16="Euró",$H$72&gt;=7,$H$72&lt;=65)),1,0)*VLOOKUP($C$12,Paraméterek!$K$1:$L$4,2,0)*IF($O$72="Kizárás",1,1+$O$72),IF($C$16="Forint",0,2)))</f>
        <v>0</v>
      </c>
      <c r="J72" s="106"/>
      <c r="K72" s="107"/>
      <c r="L72" s="18" t="str">
        <f>IF(AND($J$72="Ezt kérem!",$H$12&lt;&gt;""),"!","")</f>
        <v/>
      </c>
      <c r="M72" s="48"/>
      <c r="N72" s="21"/>
      <c r="O72" s="16">
        <f>IF(ISBLANK($B$23),0,VLOOKUP($B$23,'Foglalkozási pótdíjak'!$A$3:$K$494,11,0))</f>
        <v>0</v>
      </c>
    </row>
    <row r="73" spans="2:15" ht="12.75" customHeight="1" x14ac:dyDescent="0.2">
      <c r="B73" s="100"/>
      <c r="C73" s="105" t="s">
        <v>17</v>
      </c>
      <c r="D73" s="105"/>
      <c r="E73" s="105"/>
      <c r="F73" s="105"/>
      <c r="G73" s="105"/>
      <c r="H73" s="94"/>
      <c r="I73" s="17">
        <f ca="1">IF(ISBLANK($C$8),"",ROUND(VLOOKUP($C$9,'MM-MC Tarifák'!$A$3:$AQ$67,HLOOKUP($C73,'MM-MC Tarifák'!$B$1:$AQ$2,2,0),0)/1000*$H$73*IF(OR(AND($C$16="Forint",$H$73&gt;=2000,$H$73&lt;=40000),AND($C$16="Euró",$H$73&gt;=7,$H$73&lt;=130)),1,0)*VLOOKUP($C$12,Paraméterek!$K$1:$L$4,2,0)*IF($O$73="Kizárás",1,1+$O$73),IF($C$16="Forint",0,2)))</f>
        <v>0</v>
      </c>
      <c r="J73" s="106"/>
      <c r="K73" s="107"/>
      <c r="L73" s="18" t="str">
        <f>IF(AND($J$73="Ezt kérem!",$H$12&lt;&gt;""),"!","")</f>
        <v/>
      </c>
      <c r="M73" s="48"/>
      <c r="N73" s="21"/>
      <c r="O73" s="16">
        <f>IF(ISBLANK($B$23),0,VLOOKUP($B$23,'Foglalkozási pótdíjak'!$A$3:$K$494,11,0))</f>
        <v>0</v>
      </c>
    </row>
    <row r="74" spans="2:15" ht="12.75" customHeight="1" x14ac:dyDescent="0.2">
      <c r="B74" s="100"/>
      <c r="C74" s="105" t="s">
        <v>78</v>
      </c>
      <c r="D74" s="105"/>
      <c r="E74" s="105"/>
      <c r="F74" s="105"/>
      <c r="G74" s="105"/>
      <c r="H74" s="94"/>
      <c r="I74" s="17">
        <f ca="1">IF(ISBLANK($C$8),"",ROUND(VLOOKUP($C$9,'MM-MC Tarifák'!$A$3:$AQ$67,HLOOKUP($C74,'MM-MC Tarifák'!$B$1:$AQ$2,2,0),0)/1000*$H$74*IF(OR(AND($C$16="Forint",$H$74&gt;=2000,$H$74&lt;=20000),AND($C$16="Euró",$H$74&gt;=7,$H$74&lt;=65)),1,0)*VLOOKUP($C$12,Paraméterek!$K$1:$L$4,2,0)*IF($O$74="Kizárás",1,1+$O$74),IF($C$16="Forint",0,2)))</f>
        <v>0</v>
      </c>
      <c r="J74" s="106"/>
      <c r="K74" s="10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05" t="s">
        <v>19</v>
      </c>
      <c r="D77" s="105"/>
      <c r="E77" s="105"/>
      <c r="F77" s="105"/>
      <c r="G77" s="105"/>
      <c r="H77" s="72">
        <v>500000</v>
      </c>
      <c r="I77" s="17">
        <f ca="1">IF(ISBLANK($C$8),"",ROUND(VLOOKUP($C$9,'MM-MC Tarifák'!$A$3:$AQ$67,HLOOKUP($C77,'MM-MC Tarifák'!$B$1:$AQ$2,2,0),0)/1000*$H$77*IF(OR(AND($C$16="Forint",$H$77&gt;=500000,$H$77&lt;=50000000),AND($C$16="Euró",$H$77&gt;=1700,$H$77&lt;=162500)),1,0)*VLOOKUP($C$12,Paraméterek!$K$1:$L$4,2,0)*IF($O$77="Kizárás",1,1+$O$77),IF($C$16="Forint",0,2)))</f>
        <v>326</v>
      </c>
      <c r="J77" s="106"/>
      <c r="K77" s="10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05" t="s">
        <v>21</v>
      </c>
      <c r="D80" s="105"/>
      <c r="E80" s="105"/>
      <c r="F80" s="105"/>
      <c r="G80" s="105"/>
      <c r="H80" s="72">
        <v>200000</v>
      </c>
      <c r="I80" s="17">
        <f ca="1">IF(ISBLANK($C$8),"",ROUND(VLOOKUP($C$9,'MM-MC Tarifák'!$A$3:$AQ$67,HLOOKUP($C80,'MM-MC Tarifák'!$B$1:$AQ$2,2,0),0)/1000*$H$80*IF(OR(AND($C$16="Forint",$H$80&gt;=100000,$H$80&lt;=1000000),AND($C$16="Euró",$H$80&gt;=340,$H$80&lt;=3250)),1,0)*VLOOKUP($C$12,Paraméterek!$K$1:$L$4,2,0)*IF($O$80="Kizárás",1,1+$O$80),IF($C$16="Forint",0,2)))</f>
        <v>308</v>
      </c>
      <c r="J80" s="106"/>
      <c r="K80" s="10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00" t="s">
        <v>22</v>
      </c>
      <c r="C83" s="105" t="s">
        <v>79</v>
      </c>
      <c r="D83" s="105"/>
      <c r="E83" s="105"/>
      <c r="F83" s="105"/>
      <c r="G83" s="105"/>
      <c r="H83" s="19"/>
      <c r="I83" s="17">
        <f ca="1">IF(ISBLANK($C$8),"",ROUND(VLOOKUP($C$9,'MM-MC Tarifák'!$A$3:$AQ$67,HLOOKUP($C83,'MM-MC Tarifák'!$B$1:$AQ$2,2,0),0)/IF($C$16="Euró",300,1)/VLOOKUP($C$12,Paraméterek!$K$1:$M$4,3,0)*IF($O$83="Kizárás",1,1+$O$83),IF($C$16="Forint",0,2)))</f>
        <v>500</v>
      </c>
      <c r="J83" s="106"/>
      <c r="K83" s="107"/>
      <c r="L83" s="18"/>
      <c r="M83" s="48"/>
      <c r="O83" s="49">
        <v>0</v>
      </c>
    </row>
    <row r="84" spans="2:15" ht="12.75" customHeight="1" x14ac:dyDescent="0.2">
      <c r="B84" s="100"/>
      <c r="C84" s="105" t="s">
        <v>23</v>
      </c>
      <c r="D84" s="105"/>
      <c r="E84" s="105"/>
      <c r="F84" s="105"/>
      <c r="G84" s="105"/>
      <c r="H84" s="19"/>
      <c r="I84" s="17">
        <f ca="1">IF(ISBLANK($C$8),"",ROUND(VLOOKUP($C$9,'MM-MC Tarifák'!$A$3:$AQ$67,HLOOKUP($C84,'MM-MC Tarifák'!$B$1:$AQ$2,2,0),0)/IF($C$16="Euró",300,1)/VLOOKUP($C$12,Paraméterek!$K$1:$M$4,3,0)*IF($O$84="Kizárás",1,1+$O$84),IF($C$16="Forint",0,2)))</f>
        <v>1000</v>
      </c>
      <c r="J84" s="106"/>
      <c r="K84" s="107"/>
      <c r="L84" s="18"/>
      <c r="M84" s="48"/>
      <c r="O84" s="49">
        <v>0</v>
      </c>
    </row>
    <row r="89" spans="2:15" ht="12.75" customHeight="1" x14ac:dyDescent="0.2">
      <c r="B89" s="108" t="s">
        <v>58</v>
      </c>
      <c r="C89" s="108"/>
      <c r="D89" s="108"/>
      <c r="E89" s="108"/>
      <c r="F89" s="108"/>
      <c r="G89" s="108"/>
      <c r="H89" s="108"/>
      <c r="I89" s="108"/>
      <c r="J89" s="108"/>
      <c r="K89" s="108"/>
    </row>
    <row r="90" spans="2:15" ht="12.75" customHeight="1" x14ac:dyDescent="0.2">
      <c r="B90" s="108"/>
      <c r="C90" s="108"/>
      <c r="D90" s="108"/>
      <c r="E90" s="108"/>
      <c r="F90" s="108"/>
      <c r="G90" s="108"/>
      <c r="H90" s="108"/>
      <c r="I90" s="108"/>
      <c r="J90" s="108"/>
      <c r="K90" s="108"/>
    </row>
    <row r="91" spans="2:15" ht="12.75" customHeight="1" x14ac:dyDescent="0.2">
      <c r="B91" s="108"/>
      <c r="C91" s="108"/>
      <c r="D91" s="108"/>
      <c r="E91" s="108"/>
      <c r="F91" s="108"/>
      <c r="G91" s="108"/>
      <c r="H91" s="108"/>
      <c r="I91" s="108"/>
      <c r="J91" s="108"/>
      <c r="K91" s="108"/>
    </row>
    <row r="92" spans="2:15" ht="12.75" customHeight="1" x14ac:dyDescent="0.2">
      <c r="B92" s="108"/>
      <c r="C92" s="108"/>
      <c r="D92" s="108"/>
      <c r="E92" s="108"/>
      <c r="F92" s="108"/>
      <c r="G92" s="108"/>
      <c r="H92" s="108"/>
      <c r="I92" s="108"/>
      <c r="J92" s="108"/>
      <c r="K92" s="108"/>
    </row>
    <row r="93" spans="2:15" ht="12.75" customHeight="1" x14ac:dyDescent="0.2">
      <c r="B93" s="108"/>
      <c r="C93" s="108"/>
      <c r="D93" s="108"/>
      <c r="E93" s="108"/>
      <c r="F93" s="108"/>
      <c r="G93" s="108"/>
      <c r="H93" s="108"/>
      <c r="I93" s="108"/>
      <c r="J93" s="108"/>
      <c r="K93" s="108"/>
    </row>
  </sheetData>
  <sheetProtection password="D9D3" sheet="1" objects="1" scenarios="1"/>
  <mergeCells count="11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B1:D2"/>
    <mergeCell ref="C8:D8"/>
    <mergeCell ref="C9:D9"/>
    <mergeCell ref="C11:D11"/>
    <mergeCell ref="C13:D13"/>
    <mergeCell ref="C15:D15"/>
    <mergeCell ref="B5:F5"/>
    <mergeCell ref="B6:F6"/>
    <mergeCell ref="H18:I19"/>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abSelected="1" topLeftCell="A7" zoomScaleNormal="100" workbookViewId="0">
      <selection activeCell="J28" sqref="J2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6" t="s">
        <v>82</v>
      </c>
      <c r="C1" s="146"/>
      <c r="D1" s="146"/>
      <c r="E1" s="146"/>
      <c r="F1" s="146"/>
      <c r="R1" s="12" t="s">
        <v>406</v>
      </c>
      <c r="S1" s="12" t="s">
        <v>406</v>
      </c>
      <c r="T1" s="12" t="s">
        <v>406</v>
      </c>
      <c r="U1" s="12" t="s">
        <v>406</v>
      </c>
      <c r="V1" s="12" t="s">
        <v>406</v>
      </c>
      <c r="W1" s="12" t="s">
        <v>406</v>
      </c>
      <c r="X1" s="12" t="s">
        <v>406</v>
      </c>
      <c r="Y1" s="12" t="s">
        <v>406</v>
      </c>
      <c r="Z1" s="12" t="s">
        <v>406</v>
      </c>
    </row>
    <row r="2" spans="2:26" x14ac:dyDescent="0.2">
      <c r="B2" s="146"/>
      <c r="C2" s="146"/>
      <c r="D2" s="146"/>
      <c r="E2" s="146"/>
      <c r="F2" s="146"/>
      <c r="G2" s="38" t="str">
        <f>MetMax!$E$2</f>
        <v>v2.1.7</v>
      </c>
      <c r="Y2" s="135"/>
      <c r="Z2" s="136"/>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17" t="s">
        <v>455</v>
      </c>
      <c r="C5" s="118"/>
      <c r="D5" s="118"/>
      <c r="E5" s="118"/>
      <c r="F5" s="118"/>
      <c r="G5" s="118"/>
      <c r="H5" s="119"/>
    </row>
    <row r="6" spans="2:26" x14ac:dyDescent="0.2">
      <c r="B6" s="120"/>
      <c r="C6" s="121"/>
      <c r="D6" s="121"/>
      <c r="E6" s="121"/>
      <c r="F6" s="121"/>
      <c r="G6" s="121"/>
      <c r="H6" s="122"/>
    </row>
    <row r="7" spans="2:26" x14ac:dyDescent="0.2">
      <c r="J7" s="100" t="s">
        <v>87</v>
      </c>
      <c r="K7" s="100"/>
      <c r="L7" s="100"/>
      <c r="M7" s="100"/>
      <c r="N7" s="152">
        <f ca="1">IF(OR(ISBLANK($E$8),ISBLANK($E$11)),"",SUMIF($N$26:$O$51,"Ezt kérem!",$L$26:$M$51)-SUMIF($P$26:$P$51,"!",$L$26:$M$51))</f>
        <v>508700</v>
      </c>
      <c r="O7" s="152"/>
    </row>
    <row r="8" spans="2:26" x14ac:dyDescent="0.2">
      <c r="B8" s="100" t="s">
        <v>405</v>
      </c>
      <c r="C8" s="100"/>
      <c r="D8" s="100"/>
      <c r="E8" s="115">
        <v>27359</v>
      </c>
      <c r="F8" s="115"/>
      <c r="J8" s="100"/>
      <c r="K8" s="100"/>
      <c r="L8" s="100"/>
      <c r="M8" s="100"/>
      <c r="N8" s="152"/>
      <c r="O8" s="152"/>
      <c r="Q8" s="54"/>
      <c r="Y8" s="135">
        <f ca="1">IF(OR(ISBLANK($E$8),ISBLANK($E$11)),"",SUMIF($N$26:$O$51,"Ezt kérem!",$Y$26:$Z$51)-SUMIF($P$26:$P$51,"!",$Y$26:$Z$51))</f>
        <v>326900</v>
      </c>
      <c r="Z8" s="136"/>
    </row>
    <row r="9" spans="2:26" x14ac:dyDescent="0.2">
      <c r="B9" s="100" t="s">
        <v>404</v>
      </c>
      <c r="C9" s="100"/>
      <c r="D9" s="100"/>
      <c r="E9" s="151">
        <f ca="1">IF(ISBLANK($E$8),"",IF(YEAR(TODAY())-YEAR($E$8)&lt;0,"",YEAR(TODAY())-YEAR($E$8)))</f>
        <v>46</v>
      </c>
      <c r="F9" s="151"/>
      <c r="J9" s="148" t="s">
        <v>88</v>
      </c>
      <c r="K9" s="148"/>
      <c r="L9" s="148"/>
      <c r="M9" s="148"/>
      <c r="N9" s="152">
        <f ca="1">IF(OR(ISBLANK($E$8),ISBLANK($E$11)),"",IF(N7&gt;365500,($N$7-365500)*50%+161590,IF($N$7&gt;116900,($N$7-116900)*65%,0)))</f>
        <v>233190</v>
      </c>
      <c r="O9" s="152"/>
    </row>
    <row r="10" spans="2:26" x14ac:dyDescent="0.2">
      <c r="J10" s="148"/>
      <c r="K10" s="148"/>
      <c r="L10" s="148"/>
      <c r="M10" s="148"/>
      <c r="N10" s="152"/>
      <c r="O10" s="152"/>
      <c r="Y10" s="135">
        <f>IF(OR(ISBLANK($E$8),ISBLANK($E$11)),"",0)</f>
        <v>0</v>
      </c>
      <c r="Z10" s="136"/>
    </row>
    <row r="11" spans="2:26" x14ac:dyDescent="0.2">
      <c r="B11" s="100" t="s">
        <v>407</v>
      </c>
      <c r="C11" s="100"/>
      <c r="D11" s="100"/>
      <c r="E11" s="157">
        <v>10</v>
      </c>
      <c r="F11" s="157"/>
      <c r="G11" s="18" t="str">
        <f ca="1">IF($E$9="","",IF($E$9+$E$11&gt;75,"!",""))</f>
        <v/>
      </c>
      <c r="J11" s="100" t="s">
        <v>89</v>
      </c>
      <c r="K11" s="100"/>
      <c r="L11" s="100"/>
      <c r="M11" s="100"/>
      <c r="N11" s="152">
        <f ca="1">IF(OR(ISBLANK($E$8),ISBLANK($E$11)),"",$N$7-$N$9)</f>
        <v>275510</v>
      </c>
      <c r="O11" s="152"/>
    </row>
    <row r="12" spans="2:26" x14ac:dyDescent="0.2">
      <c r="J12" s="100"/>
      <c r="K12" s="100"/>
      <c r="L12" s="100"/>
      <c r="M12" s="100"/>
      <c r="N12" s="152"/>
      <c r="O12" s="152"/>
      <c r="Y12" s="135">
        <f ca="1">IF(OR(ISBLANK($E$8),ISBLANK($E$11)),"",$Y$8-$Y$10)</f>
        <v>326900</v>
      </c>
      <c r="Z12" s="136"/>
    </row>
    <row r="13" spans="2:26" x14ac:dyDescent="0.2">
      <c r="B13" s="100" t="s">
        <v>403</v>
      </c>
      <c r="C13" s="100"/>
      <c r="D13" s="100"/>
      <c r="E13" s="158" t="s">
        <v>28</v>
      </c>
      <c r="F13" s="158"/>
      <c r="J13" s="149" t="str">
        <f>"Fizetendő "&amp;$E$14&amp;" díj:"</f>
        <v>Fizetendő Havi díj:</v>
      </c>
      <c r="K13" s="149"/>
      <c r="L13" s="149"/>
      <c r="M13" s="149"/>
      <c r="N13" s="152">
        <f ca="1">IF(OR(ISBLANK($E$8),ISBLANK($E$11),$G$11="!"),0,IF(ISBLANK($J$26),"",$N$11*VLOOKUP($E$14,Paraméterek!$K$1:$L$4,2,0)*(1-SUMIF($N$50:$O$51,"Ezt kérem!",$L$50:$M$51)/$N$7)+SUMIF($N$50:$O$51,"Ezt kérem!",$L$50:$M$51)/$N$7*$N$11/VLOOKUP($E$14,Paraméterek!$K$1:$M$4,3,0)))</f>
        <v>23547.8397</v>
      </c>
      <c r="O13" s="152"/>
    </row>
    <row r="14" spans="2:26" x14ac:dyDescent="0.2">
      <c r="E14" s="15" t="str">
        <f>IF(ISBLANK($E$13),"Éves",$E$13)</f>
        <v>Havi</v>
      </c>
      <c r="J14" s="149"/>
      <c r="K14" s="149"/>
      <c r="L14" s="149"/>
      <c r="M14" s="149"/>
      <c r="N14" s="152"/>
      <c r="O14" s="152"/>
      <c r="Y14" s="135">
        <f ca="1">IF(OR(ISBLANK($E$8),ISBLANK($E$11)),"",IF(ISBLANK($J$26),"",$Y$12*VLOOKUP($E$14,Paraméterek!$K$1:$L$4,2,0)*(1-SUMIF($N$50:$O$51,"Ezt kérem!",$Y$50:$Z$51)/$Y$8)+SUMIF($N$50:$O$51,"Ezt kérem!",$Y$50:$Z$51)/$Y$8*$Y$12/VLOOKUP($E$14,Paraméterek!$K$1:$M$4,3,0)))</f>
        <v>27940.143</v>
      </c>
      <c r="Z14" s="136"/>
    </row>
    <row r="15" spans="2:26" x14ac:dyDescent="0.2">
      <c r="B15" s="100" t="s">
        <v>402</v>
      </c>
      <c r="C15" s="100"/>
      <c r="D15" s="100"/>
      <c r="E15" s="158"/>
      <c r="F15" s="158"/>
      <c r="J15" s="12"/>
      <c r="K15" s="12"/>
      <c r="L15" s="12"/>
      <c r="M15" s="12"/>
      <c r="N15" s="12"/>
      <c r="O15" s="12"/>
    </row>
    <row r="17" spans="1:26" x14ac:dyDescent="0.2">
      <c r="B17" s="100" t="s">
        <v>401</v>
      </c>
      <c r="C17" s="100"/>
      <c r="D17" s="100"/>
      <c r="E17" s="132" t="s">
        <v>37</v>
      </c>
      <c r="F17" s="132"/>
      <c r="H17" s="12"/>
      <c r="J17" s="123" t="s">
        <v>457</v>
      </c>
      <c r="K17" s="137"/>
      <c r="L17" s="137"/>
      <c r="M17" s="124"/>
      <c r="N17" s="127" t="str">
        <f ca="1">IF(COUNTIF($N$26:$O$51,"Ezt kérem!")=0,"---",'PÜ. limitek'!$I$14)</f>
        <v>Nem szükséges</v>
      </c>
      <c r="O17" s="128"/>
    </row>
    <row r="18" spans="1:26" ht="12.75" customHeight="1" x14ac:dyDescent="0.2">
      <c r="A18" s="12"/>
      <c r="B18" s="12"/>
      <c r="C18" s="32"/>
      <c r="D18" s="33"/>
      <c r="E18" s="12"/>
      <c r="F18" s="13"/>
      <c r="G18" s="12"/>
      <c r="H18" s="12"/>
      <c r="I18" s="12"/>
      <c r="J18" s="125"/>
      <c r="K18" s="138"/>
      <c r="L18" s="138"/>
      <c r="M18" s="126"/>
      <c r="N18" s="129"/>
      <c r="O18" s="130"/>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17" t="s">
        <v>421</v>
      </c>
      <c r="C20" s="118"/>
      <c r="D20" s="118"/>
      <c r="E20" s="118"/>
      <c r="F20" s="118"/>
      <c r="G20" s="118"/>
      <c r="H20" s="119"/>
      <c r="I20" s="12"/>
      <c r="J20" s="123" t="s">
        <v>386</v>
      </c>
      <c r="K20" s="137"/>
      <c r="L20" s="137"/>
      <c r="M20" s="124"/>
      <c r="N20" s="127" t="str">
        <f ca="1">IF(COUNTIF($N$26:$O$51,"Ezt kérem!")=0,"---",'EÜ. limitek'!$J$17)</f>
        <v>Egészségi nyilatkozat</v>
      </c>
      <c r="O20" s="128"/>
      <c r="P20" s="36"/>
      <c r="Q20" s="55"/>
      <c r="R20" s="36"/>
      <c r="S20" s="36"/>
      <c r="T20" s="36"/>
      <c r="U20" s="36"/>
      <c r="V20" s="36"/>
      <c r="W20" s="36"/>
      <c r="X20" s="36"/>
    </row>
    <row r="21" spans="1:26" ht="12.75" customHeight="1" x14ac:dyDescent="0.2">
      <c r="A21" s="12"/>
      <c r="B21" s="120"/>
      <c r="C21" s="121"/>
      <c r="D21" s="121"/>
      <c r="E21" s="121"/>
      <c r="F21" s="121"/>
      <c r="G21" s="121"/>
      <c r="H21" s="122"/>
      <c r="I21" s="12"/>
      <c r="J21" s="125"/>
      <c r="K21" s="138"/>
      <c r="L21" s="138"/>
      <c r="M21" s="126"/>
      <c r="N21" s="129"/>
      <c r="O21" s="130"/>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42" t="s">
        <v>130</v>
      </c>
      <c r="C23" s="142"/>
      <c r="D23" s="142"/>
      <c r="E23" s="142"/>
      <c r="F23" s="142"/>
      <c r="G23" s="142"/>
      <c r="H23" s="142"/>
      <c r="I23" s="142"/>
      <c r="J23" s="142" t="s">
        <v>40</v>
      </c>
      <c r="K23" s="142"/>
      <c r="L23" s="40"/>
      <c r="M23" s="41"/>
      <c r="N23" s="142" t="s">
        <v>41</v>
      </c>
      <c r="O23" s="142"/>
      <c r="P23" s="75"/>
      <c r="Q23" s="56"/>
      <c r="R23" s="75"/>
      <c r="S23" s="12" t="s">
        <v>387</v>
      </c>
      <c r="T23" s="75"/>
      <c r="U23" s="75"/>
      <c r="V23" s="75"/>
      <c r="W23" s="75"/>
      <c r="X23" s="75"/>
      <c r="Y23" s="155" t="s">
        <v>81</v>
      </c>
      <c r="Z23" s="155"/>
    </row>
    <row r="24" spans="1:26" x14ac:dyDescent="0.2">
      <c r="B24" s="142"/>
      <c r="C24" s="142"/>
      <c r="D24" s="142"/>
      <c r="E24" s="142"/>
      <c r="F24" s="142"/>
      <c r="G24" s="142"/>
      <c r="H24" s="142"/>
      <c r="I24" s="142"/>
      <c r="J24" s="142"/>
      <c r="K24" s="142"/>
      <c r="L24" s="41"/>
      <c r="M24" s="41"/>
      <c r="N24" s="142"/>
      <c r="O24" s="142"/>
      <c r="P24" s="75"/>
      <c r="Q24" s="56"/>
      <c r="R24" s="75"/>
      <c r="S24" s="16"/>
      <c r="T24" s="75"/>
      <c r="U24" s="75"/>
      <c r="V24" s="75"/>
      <c r="W24" s="75"/>
      <c r="X24" s="75"/>
      <c r="Y24" s="155"/>
      <c r="Z24" s="155"/>
    </row>
    <row r="25" spans="1:26" x14ac:dyDescent="0.2">
      <c r="B25" s="13"/>
      <c r="J25" s="41"/>
      <c r="K25" s="41"/>
      <c r="L25" s="156"/>
      <c r="M25" s="156"/>
      <c r="N25" s="42"/>
      <c r="O25" s="42"/>
      <c r="P25" s="75"/>
      <c r="Q25" s="56"/>
      <c r="R25" s="75"/>
      <c r="S25" s="16"/>
      <c r="T25" s="75"/>
      <c r="U25" s="75"/>
      <c r="V25" s="75"/>
      <c r="W25" s="75"/>
      <c r="X25" s="75"/>
      <c r="Y25" s="155" t="s">
        <v>42</v>
      </c>
      <c r="Z25" s="155"/>
    </row>
    <row r="26" spans="1:26" x14ac:dyDescent="0.2">
      <c r="B26" s="100" t="s">
        <v>413</v>
      </c>
      <c r="C26" s="100"/>
      <c r="D26" s="100"/>
      <c r="E26" s="105" t="s">
        <v>0</v>
      </c>
      <c r="F26" s="105"/>
      <c r="G26" s="105"/>
      <c r="H26" s="105"/>
      <c r="I26" s="105"/>
      <c r="J26" s="153">
        <v>5000000</v>
      </c>
      <c r="K26" s="154"/>
      <c r="L26" s="147">
        <f ca="1">IF(OR(ISBLANK($E$8),ISBLANK($E$11),$G$11="!"),"",ROUND($J$26/'TR Tarifák'!$B$1*(INDEX('TR Tarifák'!$C$3:$W$80,$E$9-18+1,$E$11-5+1)+IF($S$26="Ezrelékes",100,0)),0))</f>
        <v>98700</v>
      </c>
      <c r="M26" s="147"/>
      <c r="N26" s="143" t="str">
        <f>IF(ISBLANK($J$26),"","Ezt kérem!")</f>
        <v>Ezt kérem!</v>
      </c>
      <c r="O26" s="144"/>
      <c r="P26" s="52"/>
      <c r="Q26" s="57"/>
      <c r="R26" s="73"/>
      <c r="S26" s="16">
        <f>IF(ISBLANK($B$21),0,VLOOKUP($B$21,'Foglalkozási pótdíjak'!$A$3:$K$494,2,0))</f>
        <v>0</v>
      </c>
      <c r="T26" s="73"/>
      <c r="U26" s="73"/>
      <c r="V26" s="73"/>
      <c r="W26" s="73"/>
      <c r="X26" s="73"/>
      <c r="Y26" s="135">
        <f ca="1">IF(OR(ISBLANK($E$8),ISBLANK($E$11)),"",ROUND($J$26/'TR Tarifák'!$B$84*(INDEX('TR Tarifák'!$C$86:$R$148,$E$9-18+1,$E$11-5+1)+IF($S$26="Ezrelékes",100,0)),0))</f>
        <v>70600</v>
      </c>
      <c r="Z26" s="135"/>
    </row>
    <row r="27" spans="1:26" x14ac:dyDescent="0.2">
      <c r="B27" s="100"/>
      <c r="C27" s="100"/>
      <c r="D27" s="100"/>
      <c r="E27" s="105" t="s">
        <v>1</v>
      </c>
      <c r="F27" s="105"/>
      <c r="G27" s="105"/>
      <c r="H27" s="105"/>
      <c r="I27" s="105"/>
      <c r="J27" s="153">
        <v>1500000</v>
      </c>
      <c r="K27" s="154"/>
      <c r="L27" s="147">
        <f ca="1">IF(OR(ISBLANK($E$8),ISBLANK($E$11),$E$9&gt;64,$G$11="!"),"",ROUND($J$27/HLOOKUP($E$27,'TR Tarifák'!$C$153:$N$155,3,0)*IF(AND($E$17="Forint",$J$27&gt;=500000,$J$27&lt;=100000000),1,0)*VLOOKUP($E$9,'TR Tarifák'!$B$156:$N$255,HLOOKUP($E$27,'TR Tarifák'!$C$153:$N$155,2,0),0)*IF($S$27="Kizárás",1,1+$S$27),0))</f>
        <v>5100</v>
      </c>
      <c r="M27" s="147"/>
      <c r="N27" s="133"/>
      <c r="O27" s="133"/>
      <c r="P27" s="52"/>
      <c r="Q27" s="57"/>
      <c r="R27" s="73"/>
      <c r="S27" s="16">
        <f>IF(ISBLANK($B$21),0,VLOOKUP($B$21,'Foglalkozási pótdíjak'!$A$3:$K$494,3,0))</f>
        <v>0</v>
      </c>
      <c r="T27" s="73"/>
      <c r="U27" s="73"/>
      <c r="V27" s="73"/>
      <c r="W27" s="73"/>
      <c r="X27" s="73"/>
      <c r="Y27" s="135">
        <f ca="1">IF(OR(ISBLANK($E$8),ISBLANK($E$11)),"",ROUND($J$26/HLOOKUP($E$27,'TR Tarifák'!$C$260:$N$262,3,0)*VLOOKUP($E$9,'TR Tarifák'!$B$263:$N$362,HLOOKUP($E$27,'TR Tarifák'!$C$260:$N$262,2,0),0)*IF($S$27="Kizárás",1,1+$S$27),0))</f>
        <v>10500</v>
      </c>
      <c r="Z27" s="135"/>
    </row>
    <row r="28" spans="1:26" x14ac:dyDescent="0.2">
      <c r="S28" s="16"/>
    </row>
    <row r="29" spans="1:26" x14ac:dyDescent="0.2">
      <c r="B29" s="13"/>
      <c r="S29" s="16"/>
    </row>
    <row r="30" spans="1:26" x14ac:dyDescent="0.2">
      <c r="B30" s="100" t="s">
        <v>4</v>
      </c>
      <c r="C30" s="100"/>
      <c r="D30" s="100"/>
      <c r="E30" s="105" t="s">
        <v>62</v>
      </c>
      <c r="F30" s="105"/>
      <c r="G30" s="105"/>
      <c r="H30" s="105"/>
      <c r="I30" s="105"/>
      <c r="J30" s="150">
        <v>10000000</v>
      </c>
      <c r="K30" s="150"/>
      <c r="L30" s="147">
        <f ca="1">IF(OR(ISBLANK($E$8),ISBLANK($E$11),$E$9&gt;64,$G$11="!"),"",ROUND($J$30/HLOOKUP($E$30,'TR Tarifák'!$C$153:$N$155,3,0)*VLOOKUP($E$9,'TR Tarifák'!$B$156:$N$255,HLOOKUP($E$30,'TR Tarifák'!$C$153:$N$155,2,0),0)*IF($S$30="Kizárás",1,1+$S$30),0))</f>
        <v>222000</v>
      </c>
      <c r="M30" s="147"/>
      <c r="N30" s="133"/>
      <c r="O30" s="133"/>
      <c r="P30" s="53" t="str">
        <f>IF(AND($N$30="Ezt kérem!",$J$3&lt;&gt;""),"!","")</f>
        <v/>
      </c>
      <c r="Q30" s="57"/>
      <c r="R30" s="73"/>
      <c r="S30" s="16">
        <f>IF(ISBLANK($B$21),0,VLOOKUP($B$21,'Foglalkozási pótdíjak'!$A$3:$K$494,4,0))</f>
        <v>0</v>
      </c>
      <c r="T30" s="73"/>
      <c r="U30" s="73"/>
      <c r="V30" s="73"/>
      <c r="W30" s="73"/>
      <c r="X30" s="73"/>
      <c r="Y30" s="135">
        <f ca="1">IF(OR(ISBLANK($E$8),ISBLANK($E$11)),"",ROUND($J$30/HLOOKUP($E$30,'TR Tarifák'!$C$260:$N$262,3,0)*VLOOKUP($E$9,'TR Tarifák'!$B$263:$N$362,HLOOKUP($E$30,'TR Tarifák'!$C$260:$N$262,2,0),0)*IF($S$30="Kizárás",1,1+$S$30),0))</f>
        <v>139000</v>
      </c>
      <c r="Z30" s="135"/>
    </row>
    <row r="31" spans="1:26" x14ac:dyDescent="0.2">
      <c r="B31" s="100"/>
      <c r="C31" s="100"/>
      <c r="D31" s="100"/>
      <c r="E31" s="105" t="s">
        <v>63</v>
      </c>
      <c r="F31" s="105"/>
      <c r="G31" s="105"/>
      <c r="H31" s="105"/>
      <c r="I31" s="105"/>
      <c r="J31" s="150"/>
      <c r="K31" s="150"/>
      <c r="L31" s="147">
        <f ca="1">IF(OR(ISBLANK($E$8),ISBLANK($E$11),$E$9&gt;64,$G$11="!"),"",ROUND($J$30/HLOOKUP($E$31,'TR Tarifák'!$C$153:$N$155,3,0)*VLOOKUP($E$9,'TR Tarifák'!$B$156:$N$255,HLOOKUP($E$31,'TR Tarifák'!$C$153:$N$155,2,0),0)*IF($S$31="Kizárás",1,1+$S$31),0))</f>
        <v>328000</v>
      </c>
      <c r="M31" s="147"/>
      <c r="N31" s="133"/>
      <c r="O31" s="133"/>
      <c r="P31" s="53" t="str">
        <f>IF(AND($N$31="Ezt kérem!",$J$3&lt;&gt;""),"!","")</f>
        <v/>
      </c>
      <c r="Q31" s="57"/>
      <c r="R31" s="73"/>
      <c r="S31" s="16">
        <f>IF(ISBLANK($B$21),0,VLOOKUP($B$21,'Foglalkozási pótdíjak'!$A$3:$K$494,4,0))</f>
        <v>0</v>
      </c>
      <c r="T31" s="73"/>
      <c r="U31" s="73"/>
      <c r="V31" s="73"/>
      <c r="W31" s="73"/>
      <c r="X31" s="73"/>
      <c r="Y31" s="135">
        <f ca="1">IF(OR(ISBLANK($E$8),ISBLANK($E$11)),"",ROUND($J$30/HLOOKUP($E$31,'TR Tarifák'!$C$260:$N$262,3,0)*VLOOKUP($E$9,'TR Tarifák'!$B$263:$N$362,HLOOKUP($E$31,'TR Tarifák'!$C$260:$N$262,2,0),0)*IF($S$31="Kizárás",1,1+$S$31),0))</f>
        <v>205000</v>
      </c>
      <c r="Z31" s="135"/>
    </row>
    <row r="32" spans="1:26" x14ac:dyDescent="0.2">
      <c r="B32" s="100"/>
      <c r="C32" s="100"/>
      <c r="D32" s="100"/>
      <c r="E32" s="105" t="s">
        <v>64</v>
      </c>
      <c r="F32" s="105"/>
      <c r="G32" s="105"/>
      <c r="H32" s="105"/>
      <c r="I32" s="105"/>
      <c r="J32" s="150"/>
      <c r="K32" s="150"/>
      <c r="L32" s="147">
        <f ca="1">IF(OR(ISBLANK($E$8),ISBLANK($E$11),$E$9&gt;64,$G$11="!"),"",ROUND($J$30/HLOOKUP($E$32,'TR Tarifák'!$C$153:$N$155,3,0)*VLOOKUP($E$9,'TR Tarifák'!$B$156:$N$255,HLOOKUP($E$32,'TR Tarifák'!$C$153:$N$155,2,0),0)*IF($S$32="Kizárás",1,1+$S$32),0))</f>
        <v>410000</v>
      </c>
      <c r="M32" s="147"/>
      <c r="N32" s="133" t="s">
        <v>730</v>
      </c>
      <c r="O32" s="133"/>
      <c r="P32" s="53" t="str">
        <f>IF(AND($N$32="Ezt kérem!",$J$3&lt;&gt;""),"!","")</f>
        <v/>
      </c>
      <c r="Q32" s="57"/>
      <c r="R32" s="73"/>
      <c r="S32" s="16">
        <f>IF(ISBLANK($B$21),0,VLOOKUP($B$21,'Foglalkozási pótdíjak'!$A$3:$K$494,4,0))</f>
        <v>0</v>
      </c>
      <c r="T32" s="73"/>
      <c r="U32" s="73"/>
      <c r="V32" s="73"/>
      <c r="W32" s="73"/>
      <c r="X32" s="73"/>
      <c r="Y32" s="135">
        <f ca="1">IF(OR(ISBLANK($E$8),ISBLANK($E$11)),"",ROUND($J$30/HLOOKUP($E$32,'TR Tarifák'!$C$260:$N$262,3,0)*VLOOKUP($E$9,'TR Tarifák'!$B$263:$N$362,HLOOKUP($E$32,'TR Tarifák'!$C$260:$N$262,2,0),0)*IF($S$32="Kizárás",1,1+$S$32),0))</f>
        <v>256300</v>
      </c>
      <c r="Z32" s="135"/>
    </row>
    <row r="33" spans="2:27" x14ac:dyDescent="0.2">
      <c r="S33" s="16"/>
    </row>
    <row r="34" spans="2:27" x14ac:dyDescent="0.2">
      <c r="B34" s="13"/>
      <c r="S34" s="16"/>
    </row>
    <row r="35" spans="2:27" x14ac:dyDescent="0.2">
      <c r="B35" s="100" t="s">
        <v>5</v>
      </c>
      <c r="C35" s="100"/>
      <c r="D35" s="100"/>
      <c r="E35" s="105" t="s">
        <v>8</v>
      </c>
      <c r="F35" s="105"/>
      <c r="G35" s="105"/>
      <c r="H35" s="105"/>
      <c r="I35" s="105"/>
      <c r="J35" s="150">
        <v>5000000</v>
      </c>
      <c r="K35" s="150"/>
      <c r="L35" s="147">
        <f ca="1">IF(OR(ISBLANK($E$8),ISBLANK($E$11),$E$9&gt;64,$G$11="!"),"",ROUND($J$35/HLOOKUP($E$35,'TR Tarifák'!$C$153:$N$155,3,0)*VLOOKUP($E$9,'TR Tarifák'!$B$156:$N$255,HLOOKUP($E$35,'TR Tarifák'!$C$153:$N$155,2,0),0)*IF($S$35="Kizárás",1,1+$S$35),0))</f>
        <v>19000</v>
      </c>
      <c r="M35" s="147"/>
      <c r="N35" s="133"/>
      <c r="O35" s="133"/>
      <c r="P35" s="52"/>
      <c r="Q35" s="57"/>
      <c r="R35" s="73"/>
      <c r="S35" s="16">
        <f>IF(ISBLANK($B$21),0,VLOOKUP($B$21,'Foglalkozási pótdíjak'!$A$3:$K$494,5,0))</f>
        <v>0</v>
      </c>
      <c r="T35" s="73"/>
      <c r="U35" s="73"/>
      <c r="V35" s="73"/>
      <c r="W35" s="73"/>
      <c r="X35" s="73"/>
      <c r="Y35" s="135">
        <f ca="1">IF(OR(ISBLANK($E$8),ISBLANK($E$11)),"",ROUND($J$35/HLOOKUP($E$35,'TR Tarifák'!$C$260:$N$262,3,0)*VLOOKUP($E$9,'TR Tarifák'!$B$263:$N$362,HLOOKUP($E$35,'TR Tarifák'!$C$260:$N$262,2,0),0)*IF($S$35="Kizárás",1,1+$S$35),0))</f>
        <v>12000</v>
      </c>
      <c r="Z35" s="135"/>
    </row>
    <row r="36" spans="2:27" x14ac:dyDescent="0.2">
      <c r="B36" s="100"/>
      <c r="C36" s="100"/>
      <c r="D36" s="100"/>
      <c r="E36" s="139" t="s">
        <v>409</v>
      </c>
      <c r="F36" s="140"/>
      <c r="G36" s="140"/>
      <c r="H36" s="140"/>
      <c r="I36" s="44">
        <f ca="1">IF(OR(ISBLANK($E$8),ISBLANK($E$11)),"",MIN($E$11,60-IF($E$9&gt;55,60,$E$9)))</f>
        <v>10</v>
      </c>
      <c r="J36" s="147">
        <f ca="1">$L$26</f>
        <v>98700</v>
      </c>
      <c r="K36" s="147"/>
      <c r="L36" s="147">
        <f ca="1">IF(OR(ISBLANK($E$8),ISBLANK($E$11),$E$9&gt;55,$G$11="!"),"",ROUND($L$26/'TR Tarifák'!$B$366*INDEX('TR Tarifák'!$C$368:$AU$467,$E$9,MAX($I$36,5)-5+1)*IF($S$36="Kizárás",1,1+$S$36),0))</f>
        <v>2468</v>
      </c>
      <c r="M36" s="147"/>
      <c r="N36" s="133"/>
      <c r="O36" s="133"/>
      <c r="P36" s="52"/>
      <c r="Q36" s="57"/>
      <c r="R36" s="73"/>
      <c r="S36" s="16">
        <f>IF(ISBLANK($B$21),0,VLOOKUP($B$21,'Foglalkozási pótdíjak'!$A$3:$K$494,5,0))</f>
        <v>0</v>
      </c>
      <c r="T36" s="73"/>
      <c r="U36" s="73"/>
      <c r="V36" s="73"/>
      <c r="W36" s="73"/>
      <c r="X36" s="73"/>
      <c r="Y36" s="135">
        <f ca="1">IF(OR(ISBLANK($E$8),ISBLANK($E$11)),"",ROUND($Y$26/'TR Tarifák'!$B$471*INDEX('TR Tarifák'!$C$473:$AU$572,$E$9,MAX($I$36,5)-5+1)*IF($S$36="Kizárás",1,1+$S$36),0))</f>
        <v>1765</v>
      </c>
      <c r="Z36" s="135"/>
    </row>
    <row r="37" spans="2:27" x14ac:dyDescent="0.2">
      <c r="S37" s="16"/>
    </row>
    <row r="38" spans="2:27" x14ac:dyDescent="0.2">
      <c r="B38" s="13"/>
      <c r="S38" s="16"/>
    </row>
    <row r="39" spans="2:27" x14ac:dyDescent="0.2">
      <c r="B39" s="100" t="s">
        <v>11</v>
      </c>
      <c r="C39" s="100"/>
      <c r="D39" s="100"/>
      <c r="E39" s="105" t="s">
        <v>12</v>
      </c>
      <c r="F39" s="105"/>
      <c r="G39" s="105"/>
      <c r="H39" s="105"/>
      <c r="I39" s="105"/>
      <c r="J39" s="153">
        <v>150000</v>
      </c>
      <c r="K39" s="154"/>
      <c r="L39" s="147">
        <f ca="1">IF(OR(ISBLANK($E$8),ISBLANK($E$11),$E$9&gt;59,$G$11="!"),"",ROUND($J$39/HLOOKUP($E$39,'TR Tarifák'!$C$153:$N$155,3,0)*VLOOKUP($E$9,'TR Tarifák'!$B$156:$N$255,HLOOKUP($E$39,'TR Tarifák'!$C$153:$N$155,2,0),0)*IF($S$39="Kizárás",1,1+$S$39),0))</f>
        <v>9150</v>
      </c>
      <c r="M39" s="147"/>
      <c r="N39" s="133"/>
      <c r="O39" s="133"/>
      <c r="P39" s="52"/>
      <c r="Q39" s="57"/>
      <c r="R39" s="73"/>
      <c r="S39" s="16">
        <f>IF(ISBLANK($B$21),0,VLOOKUP($B$21,'Foglalkozási pótdíjak'!$A$3:$K$494,8,0))</f>
        <v>0</v>
      </c>
      <c r="T39" s="73"/>
      <c r="U39" s="73"/>
      <c r="V39" s="73"/>
      <c r="W39" s="73"/>
      <c r="X39" s="73"/>
      <c r="Y39" s="135">
        <f ca="1">IF(OR(ISBLANK($E$8),ISBLANK($E$11)),"",ROUND($J$39/HLOOKUP($E$39,'TR Tarifák'!$C$260:$N$262,3,0)*VLOOKUP($E$9,'TR Tarifák'!$B$263:$N$362,HLOOKUP($E$39,'TR Tarifák'!$C$260:$N$262,2,0),0)*IF($S$39="Kizárás",1,1+$S$39),0))</f>
        <v>5715</v>
      </c>
      <c r="Z39" s="135"/>
    </row>
    <row r="40" spans="2:27" x14ac:dyDescent="0.2">
      <c r="B40" s="100"/>
      <c r="C40" s="100"/>
      <c r="D40" s="100"/>
      <c r="E40" s="105" t="s">
        <v>25</v>
      </c>
      <c r="F40" s="105"/>
      <c r="G40" s="105"/>
      <c r="H40" s="105"/>
      <c r="I40" s="105"/>
      <c r="J40" s="153">
        <v>500000</v>
      </c>
      <c r="K40" s="154"/>
      <c r="L40" s="147">
        <f ca="1">IF(OR(ISBLANK($E$8),ISBLANK($E$11),$E$9&gt;59,$G$11="!"),"",ROUND($J$40/HLOOKUP($E$40,'TR Tarifák'!$C$153:$N$155,3,0)*VLOOKUP($E$9,'TR Tarifák'!$B$156:$N$255,HLOOKUP($E$40,'TR Tarifák'!$C$153:$N$155,2,0),0)*IF($S$40="Kizárás",1,1+$S$40),0))</f>
        <v>152000</v>
      </c>
      <c r="M40" s="147"/>
      <c r="N40" s="133"/>
      <c r="O40" s="133"/>
      <c r="P40" s="52"/>
      <c r="Q40" s="57"/>
      <c r="R40" s="73"/>
      <c r="S40" s="16">
        <f>IF(ISBLANK($B$21),0,VLOOKUP($B$21,'Foglalkozási pótdíjak'!$A$3:$K$494,9,0))</f>
        <v>0</v>
      </c>
      <c r="T40" s="73"/>
      <c r="U40" s="73"/>
      <c r="V40" s="73"/>
      <c r="W40" s="73"/>
      <c r="X40" s="73"/>
      <c r="Y40" s="135">
        <f ca="1">IF(OR(ISBLANK($E$8),ISBLANK($E$11)),"",ROUND($J$39/HLOOKUP($E$40,'TR Tarifák'!$C$260:$N$262,3,0)*VLOOKUP($E$9,'TR Tarifák'!$B$263:$N$362,HLOOKUP($E$40,'TR Tarifák'!$C$260:$N$262,2,0),0)*IF($S$40="Kizárás",1,1+$S$40),0))</f>
        <v>28500</v>
      </c>
      <c r="Z40" s="135"/>
    </row>
    <row r="41" spans="2:27" x14ac:dyDescent="0.2">
      <c r="S41" s="16"/>
    </row>
    <row r="42" spans="2:27" x14ac:dyDescent="0.2">
      <c r="B42" s="13"/>
      <c r="S42" s="16"/>
    </row>
    <row r="43" spans="2:27" x14ac:dyDescent="0.2">
      <c r="B43" s="100" t="s">
        <v>13</v>
      </c>
      <c r="C43" s="100"/>
      <c r="D43" s="100"/>
      <c r="E43" s="105" t="s">
        <v>14</v>
      </c>
      <c r="F43" s="105"/>
      <c r="G43" s="105"/>
      <c r="H43" s="105"/>
      <c r="I43" s="105"/>
      <c r="J43" s="153">
        <v>5000</v>
      </c>
      <c r="K43" s="154"/>
      <c r="L43" s="147">
        <f ca="1">IF(OR(ISBLANK($E$8),ISBLANK($E$11),$E$9&gt;59,$G$11="!"),"",ROUND($J$43/HLOOKUP($E$43,'TR Tarifák'!$C$153:$N$155,3,0)*VLOOKUP($E$9,'TR Tarifák'!$B$156:$N$255,HLOOKUP($E$43,'TR Tarifák'!$C$153:$N$155,2,0),0)*IF($S$43="Kizárás",1,1+$S$43),0))</f>
        <v>12240</v>
      </c>
      <c r="M43" s="147"/>
      <c r="N43" s="133"/>
      <c r="O43" s="133"/>
      <c r="P43" s="52"/>
      <c r="Q43" s="57"/>
      <c r="R43" s="73"/>
      <c r="S43" s="16">
        <f>IF(ISBLANK($B$21),0,VLOOKUP($B$21,'Foglalkozási pótdíjak'!$A$3:$K$494,10,0))</f>
        <v>0</v>
      </c>
      <c r="T43" s="73"/>
      <c r="U43" s="73"/>
      <c r="V43" s="73"/>
      <c r="W43" s="73"/>
      <c r="X43" s="73"/>
      <c r="Y43" s="135">
        <f ca="1">IF(OR(ISBLANK($E$8),ISBLANK($E$11)),"",ROUND($J$43/HLOOKUP($E$43,'TR Tarifák'!$C$260:$N$262,3,0)*VLOOKUP($E$9,'TR Tarifák'!$B$263:$N$362,HLOOKUP($E$43,'TR Tarifák'!$C$260:$N$262,2,0),0)*IF($S$43="Kizárás",1,1+$S$43),0))</f>
        <v>7650</v>
      </c>
      <c r="Z43" s="135"/>
    </row>
    <row r="44" spans="2:27" x14ac:dyDescent="0.2">
      <c r="B44" s="100"/>
      <c r="C44" s="100"/>
      <c r="D44" s="100"/>
      <c r="E44" s="105" t="s">
        <v>16</v>
      </c>
      <c r="F44" s="105"/>
      <c r="G44" s="105"/>
      <c r="H44" s="105"/>
      <c r="I44" s="105"/>
      <c r="J44" s="153">
        <v>2500</v>
      </c>
      <c r="K44" s="154"/>
      <c r="L44" s="147">
        <f ca="1">IF(OR(ISBLANK($E$8),ISBLANK($E$11),$E$9&gt;59,$G$11="!"),"",ROUND($J$44/HLOOKUP($E$44,'TR Tarifák'!$C$153:$N$155,3,0)*VLOOKUP($E$9,'TR Tarifák'!$B$156:$N$255,HLOOKUP($E$44,'TR Tarifák'!$C$153:$N$155,2,0),0)*IF($S$44="Kizárás",1,1+$S$44),0))</f>
        <v>27680</v>
      </c>
      <c r="M44" s="147"/>
      <c r="N44" s="133"/>
      <c r="O44" s="133"/>
      <c r="P44" s="52"/>
      <c r="Q44" s="57"/>
      <c r="R44" s="73"/>
      <c r="S44" s="16">
        <f>IF(ISBLANK($B$21),0,VLOOKUP($B$21,'Foglalkozási pótdíjak'!$A$3:$K$494,11,0))</f>
        <v>0</v>
      </c>
      <c r="T44" s="73"/>
      <c r="U44" s="73"/>
      <c r="V44" s="73"/>
      <c r="W44" s="73"/>
      <c r="X44" s="73"/>
      <c r="Y44" s="135">
        <f ca="1">IF(OR(ISBLANK($E$8),ISBLANK($E$11)),"",ROUND($J$43/HLOOKUP($E$44,'TR Tarifák'!$C$260:$N$262,3,0)*VLOOKUP($E$9,'TR Tarifák'!$B$263:$N$362,HLOOKUP($E$44,'TR Tarifák'!$C$260:$N$262,2,0),0)*IF($S$44="Kizárás",1,1+$S$44),0))</f>
        <v>34600</v>
      </c>
      <c r="Z44" s="135"/>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00" t="s">
        <v>20</v>
      </c>
      <c r="C47" s="100"/>
      <c r="D47" s="100"/>
      <c r="E47" s="105" t="s">
        <v>21</v>
      </c>
      <c r="F47" s="105"/>
      <c r="G47" s="105"/>
      <c r="H47" s="105"/>
      <c r="I47" s="105"/>
      <c r="J47" s="150"/>
      <c r="K47" s="150"/>
      <c r="L47" s="147">
        <f ca="1">IF(OR(ISBLANK($E$8),ISBLANK($E$11),$E$9&gt;64,$G$11="!"),"",ROUND($J$47/HLOOKUP($E$47,'TR Tarifák'!$C$153:$N$155,3,0)*VLOOKUP($E$9,'TR Tarifák'!$B$156:$N$255,HLOOKUP($E$47,'TR Tarifák'!$C$153:$N$155,2,0),0)*IF($S$47="Kizárás",1,1+$S$47),0))</f>
        <v>0</v>
      </c>
      <c r="M47" s="147"/>
      <c r="N47" s="133"/>
      <c r="O47" s="133"/>
      <c r="P47" s="52"/>
      <c r="Q47" s="57"/>
      <c r="R47" s="73"/>
      <c r="S47" s="16">
        <f>IF(ISBLANK($B$21),0,VLOOKUP($B$21,'Foglalkozási pótdíjak'!$A$3:$K$494,7,0))</f>
        <v>0</v>
      </c>
      <c r="T47" s="73"/>
      <c r="U47" s="73"/>
      <c r="V47" s="73"/>
      <c r="W47" s="73"/>
      <c r="X47" s="73"/>
      <c r="Y47" s="135">
        <f ca="1">IF(OR(ISBLANK($E$8),ISBLANK($E$11)),"",ROUND($J$47/HLOOKUP($E$47,'TR Tarifák'!$C$260:$N$262,3,0)*VLOOKUP($E$9,'TR Tarifák'!$B$263:$N$362,HLOOKUP($E$47,'TR Tarifák'!$C$260:$N$262,2,0),0)*IF($S$47="Kizárás",1,1+$S$47),0))</f>
        <v>0</v>
      </c>
      <c r="Z47" s="135"/>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45" t="s">
        <v>22</v>
      </c>
      <c r="C50" s="145"/>
      <c r="D50" s="145"/>
      <c r="E50" s="139" t="s">
        <v>79</v>
      </c>
      <c r="F50" s="140"/>
      <c r="G50" s="140"/>
      <c r="H50" s="140"/>
      <c r="I50" s="140"/>
      <c r="J50" s="140"/>
      <c r="K50" s="141"/>
      <c r="L50" s="147">
        <f ca="1">IF(OR(ISBLANK($E$8),ISBLANK($E$11),$G$11="!"),"",ROUND(VLOOKUP($E$9,'TR Tarifák'!$B$156:$N$255,HLOOKUP($E$50,'TR Tarifák'!$C$153:$N$155,2,0),0)*IF($S$50="Kizárás",1,1+$S$50),0))</f>
        <v>9600</v>
      </c>
      <c r="M50" s="147"/>
      <c r="N50" s="133"/>
      <c r="O50" s="133"/>
      <c r="P50" s="52"/>
      <c r="Q50" s="57"/>
      <c r="R50" s="73"/>
      <c r="S50" s="50">
        <v>0</v>
      </c>
      <c r="T50" s="73"/>
      <c r="U50" s="73"/>
      <c r="V50" s="73"/>
      <c r="W50" s="73"/>
      <c r="X50" s="73"/>
      <c r="Y50" s="135">
        <f ca="1">IF(OR(ISBLANK($E$8),ISBLANK($E$11)),"",ROUND(VLOOKUP($E$9,'TR Tarifák'!$B$263:$N$362,HLOOKUP($E$50,'TR Tarifák'!$C$260:$N$262,2,0),0)*IF($S$50="Kizárás",1,1+$S$50),0))</f>
        <v>6000</v>
      </c>
      <c r="Z50" s="135"/>
      <c r="AA50" s="73"/>
    </row>
    <row r="51" spans="2:27" ht="12.75" customHeight="1" x14ac:dyDescent="0.2">
      <c r="B51" s="145"/>
      <c r="C51" s="145"/>
      <c r="D51" s="145"/>
      <c r="E51" s="139" t="s">
        <v>23</v>
      </c>
      <c r="F51" s="140"/>
      <c r="G51" s="140"/>
      <c r="H51" s="140"/>
      <c r="I51" s="140"/>
      <c r="J51" s="140"/>
      <c r="K51" s="141"/>
      <c r="L51" s="147">
        <f ca="1">IF(OR(ISBLANK($E$8),ISBLANK($E$11),$G$11="!"),"",ROUND(VLOOKUP($E$9,'TR Tarifák'!$B$156:$N$255,HLOOKUP($E$51,'TR Tarifák'!$C$153:$N$155,2,0),0)*IF($S$51="Kizárás",1,1+$S$51),0))</f>
        <v>19200</v>
      </c>
      <c r="M51" s="147"/>
      <c r="N51" s="133"/>
      <c r="O51" s="133"/>
      <c r="P51" s="52"/>
      <c r="Q51" s="57"/>
      <c r="R51" s="73"/>
      <c r="S51" s="50">
        <v>0</v>
      </c>
      <c r="T51" s="73"/>
      <c r="U51" s="73"/>
      <c r="V51" s="73"/>
      <c r="W51" s="73"/>
      <c r="X51" s="73"/>
      <c r="Y51" s="135">
        <f ca="1">IF(OR(ISBLANK($E$8),ISBLANK($E$11)),"",ROUND(VLOOKUP($E$9,'TR Tarifák'!$B$263:$N$362,HLOOKUP($E$51,'TR Tarifák'!$C$260:$N$262,2,0),0)*IF($S$51="Kizárás",1,1+$S$51),0))</f>
        <v>12000</v>
      </c>
      <c r="Z51" s="135"/>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08" t="s">
        <v>58</v>
      </c>
      <c r="C56" s="108"/>
      <c r="D56" s="108"/>
      <c r="E56" s="108"/>
      <c r="F56" s="108"/>
      <c r="G56" s="108"/>
      <c r="H56" s="108"/>
      <c r="I56" s="108"/>
      <c r="J56" s="108"/>
      <c r="K56" s="108"/>
      <c r="L56" s="108"/>
      <c r="M56" s="108"/>
      <c r="N56" s="108"/>
      <c r="O56" s="108"/>
    </row>
    <row r="57" spans="2:27" x14ac:dyDescent="0.2">
      <c r="B57" s="108"/>
      <c r="C57" s="108"/>
      <c r="D57" s="108"/>
      <c r="E57" s="108"/>
      <c r="F57" s="108"/>
      <c r="G57" s="108"/>
      <c r="H57" s="108"/>
      <c r="I57" s="108"/>
      <c r="J57" s="108"/>
      <c r="K57" s="108"/>
      <c r="L57" s="108"/>
      <c r="M57" s="108"/>
      <c r="N57" s="108"/>
      <c r="O57" s="108"/>
      <c r="P57" s="74"/>
      <c r="Q57" s="57"/>
      <c r="R57" s="74"/>
      <c r="S57" s="74"/>
      <c r="T57" s="74"/>
      <c r="U57" s="74"/>
      <c r="V57" s="74"/>
      <c r="W57" s="74"/>
      <c r="X57" s="74"/>
    </row>
    <row r="58" spans="2:27" x14ac:dyDescent="0.2">
      <c r="B58" s="108"/>
      <c r="C58" s="108"/>
      <c r="D58" s="108"/>
      <c r="E58" s="108"/>
      <c r="F58" s="108"/>
      <c r="G58" s="108"/>
      <c r="H58" s="108"/>
      <c r="I58" s="108"/>
      <c r="J58" s="108"/>
      <c r="K58" s="108"/>
      <c r="L58" s="108"/>
      <c r="M58" s="108"/>
      <c r="N58" s="108"/>
      <c r="O58" s="108"/>
    </row>
    <row r="59" spans="2:27" x14ac:dyDescent="0.2">
      <c r="B59" s="108"/>
      <c r="C59" s="108"/>
      <c r="D59" s="108"/>
      <c r="E59" s="108"/>
      <c r="F59" s="108"/>
      <c r="G59" s="108"/>
      <c r="H59" s="108"/>
      <c r="I59" s="108"/>
      <c r="J59" s="108"/>
      <c r="K59" s="108"/>
      <c r="L59" s="108"/>
      <c r="M59" s="108"/>
      <c r="N59" s="108"/>
      <c r="O59" s="108"/>
      <c r="P59" s="74"/>
      <c r="Q59" s="57"/>
      <c r="R59" s="74"/>
      <c r="S59" s="74"/>
      <c r="T59" s="74"/>
      <c r="U59" s="74"/>
      <c r="V59" s="74"/>
      <c r="W59" s="74"/>
      <c r="X59" s="74"/>
    </row>
    <row r="60" spans="2:27" x14ac:dyDescent="0.2">
      <c r="B60" s="108"/>
      <c r="C60" s="108"/>
      <c r="D60" s="108"/>
      <c r="E60" s="108"/>
      <c r="F60" s="108"/>
      <c r="G60" s="108"/>
      <c r="H60" s="108"/>
      <c r="I60" s="108"/>
      <c r="J60" s="108"/>
      <c r="K60" s="108"/>
      <c r="L60" s="108"/>
      <c r="M60" s="108"/>
      <c r="N60" s="108"/>
      <c r="O60" s="108"/>
    </row>
    <row r="61" spans="2:27" x14ac:dyDescent="0.2">
      <c r="N61" s="39"/>
      <c r="O61" s="39"/>
      <c r="P61" s="74"/>
      <c r="Q61" s="57"/>
      <c r="R61" s="74"/>
      <c r="S61" s="74"/>
      <c r="T61" s="74"/>
      <c r="U61" s="74"/>
      <c r="V61" s="74"/>
      <c r="W61" s="74"/>
      <c r="X61" s="74"/>
    </row>
  </sheetData>
  <sheetProtection password="D9D3" sheet="1" objects="1" scenarios="1"/>
  <mergeCells count="114">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74" t="s">
        <v>94</v>
      </c>
      <c r="C1" s="174"/>
      <c r="D1" s="174"/>
      <c r="E1" s="174"/>
      <c r="F1" s="174"/>
    </row>
    <row r="2" spans="2:15" x14ac:dyDescent="0.2">
      <c r="B2" s="174"/>
      <c r="C2" s="174"/>
      <c r="D2" s="174"/>
      <c r="E2" s="174"/>
      <c r="F2" s="174"/>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17" t="s">
        <v>455</v>
      </c>
      <c r="C5" s="118"/>
      <c r="D5" s="118"/>
      <c r="E5" s="118"/>
      <c r="F5" s="118"/>
      <c r="G5" s="118"/>
      <c r="H5" s="119"/>
      <c r="J5" s="76" t="str">
        <f ca="1">IF(OR(ISBLANK($F$28),ISBLANK($E$8)),"",IF($E$9&gt;60,"Csak az évente megújjuló díjas változat elérhető.",IF($E$9&gt;55,"A 10 évre garantált díjas változat már nem elérhető.","")))</f>
        <v/>
      </c>
    </row>
    <row r="6" spans="2:15" x14ac:dyDescent="0.2">
      <c r="B6" s="120"/>
      <c r="C6" s="121"/>
      <c r="D6" s="121"/>
      <c r="E6" s="121"/>
      <c r="F6" s="121"/>
      <c r="G6" s="121"/>
      <c r="H6" s="122"/>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00" t="s">
        <v>405</v>
      </c>
      <c r="C8" s="100"/>
      <c r="D8" s="100"/>
      <c r="E8" s="115">
        <v>25537</v>
      </c>
      <c r="F8" s="115"/>
      <c r="G8" s="37"/>
      <c r="H8" s="37"/>
      <c r="J8" s="101" t="s">
        <v>462</v>
      </c>
      <c r="K8" s="101"/>
      <c r="L8" s="101"/>
      <c r="M8" s="101"/>
      <c r="N8" s="171">
        <f ca="1">IF(OR(ISBLANK($E$15),ISBLANK($E$17)),"",INDEX($H$28:$O$33,VLOOKUP($E$15,Paraméterek!$W$1:$X$3,2,0),VLOOKUP($E$17,Paraméterek!$AA$1:$AB$4,2,0)))</f>
        <v>101310</v>
      </c>
      <c r="O8" s="171"/>
    </row>
    <row r="9" spans="2:15" x14ac:dyDescent="0.2">
      <c r="B9" s="100" t="s">
        <v>404</v>
      </c>
      <c r="C9" s="100"/>
      <c r="D9" s="100"/>
      <c r="E9" s="151">
        <f ca="1">IF(ISBLANK($E$8),"",IF(YEAR(TODAY())-YEAR($E$8)&lt;0,"",YEAR(TODAY())-YEAR($E$8)))</f>
        <v>51</v>
      </c>
      <c r="F9" s="151"/>
      <c r="G9" s="18" t="str">
        <f ca="1">IF(ISBLANK($E$8),"",IF($E$9&gt;55,"!",""))</f>
        <v/>
      </c>
      <c r="H9" s="37"/>
      <c r="J9" s="103"/>
      <c r="K9" s="103"/>
      <c r="L9" s="103"/>
      <c r="M9" s="103"/>
      <c r="N9" s="175"/>
      <c r="O9" s="175"/>
    </row>
    <row r="10" spans="2:15" x14ac:dyDescent="0.2">
      <c r="B10" s="37"/>
      <c r="C10" s="37"/>
      <c r="D10" s="37"/>
      <c r="E10" s="37"/>
      <c r="F10" s="37"/>
      <c r="G10" s="37"/>
      <c r="H10" s="37"/>
    </row>
    <row r="11" spans="2:15" x14ac:dyDescent="0.2">
      <c r="B11" s="100" t="s">
        <v>403</v>
      </c>
      <c r="C11" s="100"/>
      <c r="D11" s="100"/>
      <c r="E11" s="158" t="s">
        <v>28</v>
      </c>
      <c r="F11" s="158"/>
      <c r="G11" s="37"/>
      <c r="H11" s="37"/>
    </row>
    <row r="12" spans="2:15" x14ac:dyDescent="0.2">
      <c r="B12" s="37"/>
      <c r="C12" s="37"/>
      <c r="D12" s="37"/>
      <c r="E12" s="15" t="str">
        <f>IF(ISBLANK($E$11),"Éves",$E$11)</f>
        <v>Havi</v>
      </c>
      <c r="F12" s="37"/>
      <c r="G12" s="37"/>
      <c r="H12" s="37"/>
      <c r="J12" s="101" t="str">
        <f>"Fizetendő "&amp;$E$12&amp;" díj:"</f>
        <v>Fizetendő Havi díj:</v>
      </c>
      <c r="K12" s="101"/>
      <c r="L12" s="101"/>
      <c r="M12" s="101"/>
      <c r="N12" s="171">
        <f ca="1">IF(OR(ISBLANK($E$15),ISBLANK($E$17),$N$8=""),"",ROUNDUP($N$8/VLOOKUP($E$12,Paraméterek!$K$1:$M$4,3,0),0))</f>
        <v>8443</v>
      </c>
      <c r="O12" s="172"/>
    </row>
    <row r="13" spans="2:15" x14ac:dyDescent="0.2">
      <c r="B13" s="100" t="s">
        <v>402</v>
      </c>
      <c r="C13" s="100"/>
      <c r="D13" s="100"/>
      <c r="E13" s="158" t="s">
        <v>35</v>
      </c>
      <c r="F13" s="158"/>
      <c r="G13" s="37"/>
      <c r="H13" s="37"/>
      <c r="J13" s="103"/>
      <c r="K13" s="103"/>
      <c r="L13" s="103"/>
      <c r="M13" s="103"/>
      <c r="N13" s="173"/>
      <c r="O13" s="173"/>
    </row>
    <row r="14" spans="2:15" x14ac:dyDescent="0.2">
      <c r="B14" s="37"/>
      <c r="C14" s="37"/>
      <c r="D14" s="37"/>
      <c r="E14" s="37"/>
      <c r="F14" s="37"/>
      <c r="G14" s="37"/>
      <c r="H14" s="37"/>
    </row>
    <row r="15" spans="2:15" x14ac:dyDescent="0.2">
      <c r="B15" s="100" t="s">
        <v>463</v>
      </c>
      <c r="C15" s="100"/>
      <c r="D15" s="100"/>
      <c r="E15" s="158" t="s">
        <v>64</v>
      </c>
      <c r="F15" s="158"/>
      <c r="G15" s="37"/>
      <c r="H15" s="37"/>
    </row>
    <row r="16" spans="2:15" x14ac:dyDescent="0.2">
      <c r="B16" s="37"/>
      <c r="C16" s="37"/>
      <c r="D16" s="37"/>
      <c r="E16" s="15" t="str">
        <f>IF(ISBLANK($E$11),"Éves",$E$11)</f>
        <v>Havi</v>
      </c>
      <c r="F16" s="37"/>
      <c r="G16" s="37"/>
      <c r="H16" s="37"/>
    </row>
    <row r="17" spans="2:15" x14ac:dyDescent="0.2">
      <c r="B17" s="100" t="s">
        <v>464</v>
      </c>
      <c r="C17" s="100"/>
      <c r="D17" s="100"/>
      <c r="E17" s="158" t="s">
        <v>468</v>
      </c>
      <c r="F17" s="158"/>
      <c r="G17" s="37"/>
      <c r="H17" s="37"/>
    </row>
    <row r="18" spans="2:15" x14ac:dyDescent="0.2">
      <c r="B18" s="37"/>
      <c r="C18" s="37"/>
      <c r="D18" s="37"/>
      <c r="E18" s="37"/>
      <c r="F18" s="37"/>
      <c r="G18" s="37"/>
      <c r="H18" s="37"/>
    </row>
    <row r="19" spans="2:15" x14ac:dyDescent="0.2">
      <c r="B19" s="100" t="s">
        <v>401</v>
      </c>
      <c r="C19" s="100"/>
      <c r="D19" s="100"/>
      <c r="E19" s="132" t="s">
        <v>37</v>
      </c>
      <c r="F19" s="132"/>
      <c r="G19" s="37"/>
      <c r="H19" s="37"/>
      <c r="J19" s="123" t="s">
        <v>457</v>
      </c>
      <c r="K19" s="137"/>
      <c r="L19" s="137"/>
      <c r="M19" s="124"/>
      <c r="N19" s="127" t="str">
        <f>IF(ISBLANK($F$28),"---",'PÜ. limitek'!$I$16)</f>
        <v>Nem szükséges</v>
      </c>
      <c r="O19" s="128"/>
    </row>
    <row r="20" spans="2:15" ht="12.75" customHeight="1" x14ac:dyDescent="0.2">
      <c r="B20" s="12"/>
      <c r="C20" s="32"/>
      <c r="D20" s="33"/>
      <c r="E20" s="12"/>
      <c r="F20" s="13"/>
      <c r="G20" s="12"/>
      <c r="H20" s="37"/>
      <c r="J20" s="125"/>
      <c r="K20" s="138"/>
      <c r="L20" s="138"/>
      <c r="M20" s="126"/>
      <c r="N20" s="129"/>
      <c r="O20" s="130"/>
    </row>
    <row r="21" spans="2:15" ht="12.75" customHeight="1" x14ac:dyDescent="0.2">
      <c r="B21" s="12"/>
      <c r="C21" s="32"/>
      <c r="D21" s="33"/>
      <c r="E21" s="12"/>
      <c r="F21" s="13"/>
      <c r="G21" s="12"/>
      <c r="H21" s="12"/>
      <c r="J21" s="12"/>
      <c r="K21" s="12"/>
      <c r="L21" s="12"/>
      <c r="M21" s="12"/>
      <c r="N21" s="12"/>
      <c r="O21" s="12"/>
    </row>
    <row r="22" spans="2:15" x14ac:dyDescent="0.2">
      <c r="B22" s="117" t="s">
        <v>421</v>
      </c>
      <c r="C22" s="118"/>
      <c r="D22" s="118"/>
      <c r="E22" s="118"/>
      <c r="F22" s="118"/>
      <c r="G22" s="118"/>
      <c r="H22" s="119"/>
      <c r="J22" s="123" t="s">
        <v>386</v>
      </c>
      <c r="K22" s="137"/>
      <c r="L22" s="137"/>
      <c r="M22" s="124"/>
      <c r="N22" s="127" t="str">
        <f ca="1">IF(OR(ISBLANK($F$28),ISBLANK($E$8)),"---",'EÜ. limitek'!$J$19)</f>
        <v>Egyszerűsített egészségi nyilatkozat</v>
      </c>
      <c r="O22" s="128"/>
    </row>
    <row r="23" spans="2:15" x14ac:dyDescent="0.2">
      <c r="B23" s="120" t="s">
        <v>240</v>
      </c>
      <c r="C23" s="121"/>
      <c r="D23" s="121"/>
      <c r="E23" s="121"/>
      <c r="F23" s="121"/>
      <c r="G23" s="121"/>
      <c r="H23" s="122"/>
      <c r="J23" s="125"/>
      <c r="K23" s="138"/>
      <c r="L23" s="138"/>
      <c r="M23" s="126"/>
      <c r="N23" s="129"/>
      <c r="O23" s="130"/>
    </row>
    <row r="26" spans="2:15" x14ac:dyDescent="0.2">
      <c r="F26" s="169" t="s">
        <v>40</v>
      </c>
      <c r="G26" s="169"/>
      <c r="H26" s="169" t="s">
        <v>467</v>
      </c>
      <c r="I26" s="169"/>
      <c r="J26" s="169" t="s">
        <v>465</v>
      </c>
      <c r="K26" s="169"/>
      <c r="L26" s="169" t="s">
        <v>466</v>
      </c>
      <c r="M26" s="169"/>
      <c r="N26" s="169" t="s">
        <v>461</v>
      </c>
      <c r="O26" s="169"/>
    </row>
    <row r="27" spans="2:15" x14ac:dyDescent="0.2">
      <c r="F27" s="170"/>
      <c r="G27" s="170"/>
      <c r="H27" s="170"/>
      <c r="I27" s="170"/>
      <c r="J27" s="170"/>
      <c r="K27" s="170"/>
      <c r="L27" s="170"/>
      <c r="M27" s="170"/>
      <c r="N27" s="170"/>
      <c r="O27" s="170"/>
    </row>
    <row r="28" spans="2:15" x14ac:dyDescent="0.2">
      <c r="B28" s="100" t="s">
        <v>4</v>
      </c>
      <c r="C28" s="100"/>
      <c r="D28" s="148" t="s">
        <v>62</v>
      </c>
      <c r="E28" s="148"/>
      <c r="F28" s="150">
        <v>3000000</v>
      </c>
      <c r="G28" s="150"/>
      <c r="H28" s="168">
        <f ca="1">IF(ISBLANK($E$8),"",IF($H$47&lt;Paraméterek!$AH$1,"!",$H$47))</f>
        <v>52590</v>
      </c>
      <c r="I28" s="168"/>
      <c r="J28" s="168">
        <f ca="1">IF(ISBLANK($E$8),"",IF($J$47&lt;Paraméterek!$AH$1,"!",$J$47))</f>
        <v>68970</v>
      </c>
      <c r="K28" s="168"/>
      <c r="L28" s="168">
        <f ca="1">IF(ISBLANK($E$8),"",IF($L$47&lt;Paraméterek!$AH$1,"!",$L$47))</f>
        <v>80700</v>
      </c>
      <c r="M28" s="168"/>
      <c r="N28" s="168">
        <f ca="1">IF(ISBLANK($E$8),"",IF($N$47&lt;Paraméterek!$AH$1,"!",$N$47))</f>
        <v>85200</v>
      </c>
      <c r="O28" s="168"/>
    </row>
    <row r="29" spans="2:15" x14ac:dyDescent="0.2">
      <c r="B29" s="100"/>
      <c r="C29" s="100"/>
      <c r="D29" s="148"/>
      <c r="E29" s="148"/>
      <c r="F29" s="150"/>
      <c r="G29" s="150"/>
      <c r="H29" s="168"/>
      <c r="I29" s="168"/>
      <c r="J29" s="168"/>
      <c r="K29" s="168"/>
      <c r="L29" s="168"/>
      <c r="M29" s="168"/>
      <c r="N29" s="168"/>
      <c r="O29" s="168"/>
    </row>
    <row r="30" spans="2:15" x14ac:dyDescent="0.2">
      <c r="B30" s="100"/>
      <c r="C30" s="100"/>
      <c r="D30" s="148" t="s">
        <v>63</v>
      </c>
      <c r="E30" s="148"/>
      <c r="F30" s="150"/>
      <c r="G30" s="150"/>
      <c r="H30" s="168">
        <f ca="1">IF(ISBLANK($E$8),"",IF($H$49&lt;Paraméterek!$AH$1,"!",$H$49))</f>
        <v>81060</v>
      </c>
      <c r="I30" s="168"/>
      <c r="J30" s="168">
        <f ca="1">IF(ISBLANK($E$8),"",IF($J$49&lt;Paraméterek!$AH$1,"!",$J$49))</f>
        <v>108780</v>
      </c>
      <c r="K30" s="168"/>
      <c r="L30" s="168">
        <f ca="1">IF(ISBLANK($E$8),"",IF($L$49&lt;Paraméterek!$AH$1,"!",$L$49))</f>
        <v>130710</v>
      </c>
      <c r="M30" s="168"/>
      <c r="N30" s="168">
        <f ca="1">IF(ISBLANK($E$8),"",IF($N$49&lt;Paraméterek!$AH$1,"!",$N$49))</f>
        <v>139020</v>
      </c>
      <c r="O30" s="168"/>
    </row>
    <row r="31" spans="2:15" x14ac:dyDescent="0.2">
      <c r="B31" s="100"/>
      <c r="C31" s="100"/>
      <c r="D31" s="148"/>
      <c r="E31" s="148"/>
      <c r="F31" s="150"/>
      <c r="G31" s="150"/>
      <c r="H31" s="168"/>
      <c r="I31" s="168"/>
      <c r="J31" s="168"/>
      <c r="K31" s="168"/>
      <c r="L31" s="168"/>
      <c r="M31" s="168"/>
      <c r="N31" s="168"/>
      <c r="O31" s="168"/>
    </row>
    <row r="32" spans="2:15" x14ac:dyDescent="0.2">
      <c r="B32" s="100"/>
      <c r="C32" s="100"/>
      <c r="D32" s="148" t="s">
        <v>64</v>
      </c>
      <c r="E32" s="148"/>
      <c r="F32" s="150"/>
      <c r="G32" s="150"/>
      <c r="H32" s="168">
        <f ca="1">IF(ISBLANK($E$8),"",IF($H$51&lt;Paraméterek!$AH$1,"!",$H$51))</f>
        <v>101310</v>
      </c>
      <c r="I32" s="168"/>
      <c r="J32" s="168">
        <f ca="1">IF(ISBLANK($E$8),"",IF($J$51&lt;Paraméterek!$AH$1,"!",$J$51))</f>
        <v>135900</v>
      </c>
      <c r="K32" s="168"/>
      <c r="L32" s="168">
        <f ca="1">IF(ISBLANK($E$8),"",IF($L$51&lt;Paraméterek!$AH$1,"!",$L$51))</f>
        <v>162930</v>
      </c>
      <c r="M32" s="168"/>
      <c r="N32" s="168">
        <f ca="1">IF(ISBLANK($E$8),"",IF($N$51&lt;Paraméterek!$AH$1,"!",$N$51))</f>
        <v>173070</v>
      </c>
      <c r="O32" s="168"/>
    </row>
    <row r="33" spans="1:15" x14ac:dyDescent="0.2">
      <c r="B33" s="100"/>
      <c r="C33" s="100"/>
      <c r="D33" s="148"/>
      <c r="E33" s="148"/>
      <c r="F33" s="150"/>
      <c r="G33" s="150"/>
      <c r="H33" s="168"/>
      <c r="I33" s="168"/>
      <c r="J33" s="168"/>
      <c r="K33" s="168"/>
      <c r="L33" s="168"/>
      <c r="M33" s="168"/>
      <c r="N33" s="168"/>
      <c r="O33" s="168"/>
    </row>
    <row r="38" spans="1:15" x14ac:dyDescent="0.2">
      <c r="B38" s="108" t="s">
        <v>58</v>
      </c>
      <c r="C38" s="108"/>
      <c r="D38" s="108"/>
      <c r="E38" s="108"/>
      <c r="F38" s="108"/>
      <c r="G38" s="108"/>
      <c r="H38" s="108"/>
      <c r="I38" s="108"/>
      <c r="J38" s="108"/>
      <c r="K38" s="108"/>
      <c r="L38" s="108"/>
      <c r="M38" s="108"/>
      <c r="N38" s="108"/>
      <c r="O38" s="108"/>
    </row>
    <row r="39" spans="1:15" x14ac:dyDescent="0.2">
      <c r="B39" s="108"/>
      <c r="C39" s="108"/>
      <c r="D39" s="108"/>
      <c r="E39" s="108"/>
      <c r="F39" s="108"/>
      <c r="G39" s="108"/>
      <c r="H39" s="108"/>
      <c r="I39" s="108"/>
      <c r="J39" s="108"/>
      <c r="K39" s="108"/>
      <c r="L39" s="108"/>
      <c r="M39" s="108"/>
      <c r="N39" s="108"/>
      <c r="O39" s="108"/>
    </row>
    <row r="40" spans="1:15" x14ac:dyDescent="0.2">
      <c r="B40" s="108"/>
      <c r="C40" s="108"/>
      <c r="D40" s="108"/>
      <c r="E40" s="108"/>
      <c r="F40" s="108"/>
      <c r="G40" s="108"/>
      <c r="H40" s="108"/>
      <c r="I40" s="108"/>
      <c r="J40" s="108"/>
      <c r="K40" s="108"/>
      <c r="L40" s="108"/>
      <c r="M40" s="108"/>
      <c r="N40" s="108"/>
      <c r="O40" s="108"/>
    </row>
    <row r="41" spans="1:15" x14ac:dyDescent="0.2">
      <c r="B41" s="108"/>
      <c r="C41" s="108"/>
      <c r="D41" s="108"/>
      <c r="E41" s="108"/>
      <c r="F41" s="108"/>
      <c r="G41" s="108"/>
      <c r="H41" s="108"/>
      <c r="I41" s="108"/>
      <c r="J41" s="108"/>
      <c r="K41" s="108"/>
      <c r="L41" s="108"/>
      <c r="M41" s="108"/>
      <c r="N41" s="108"/>
      <c r="O41" s="108"/>
    </row>
    <row r="42" spans="1:15" x14ac:dyDescent="0.2">
      <c r="B42" s="108"/>
      <c r="C42" s="108"/>
      <c r="D42" s="108"/>
      <c r="E42" s="108"/>
      <c r="F42" s="108"/>
      <c r="G42" s="108"/>
      <c r="H42" s="108"/>
      <c r="I42" s="108"/>
      <c r="J42" s="108"/>
      <c r="K42" s="108"/>
      <c r="L42" s="108"/>
      <c r="M42" s="108"/>
      <c r="N42" s="108"/>
      <c r="O42" s="108"/>
    </row>
    <row r="47" spans="1:15" hidden="1" x14ac:dyDescent="0.2">
      <c r="A47" s="35" t="s">
        <v>406</v>
      </c>
      <c r="B47" s="35" t="s">
        <v>387</v>
      </c>
      <c r="E47" s="35">
        <f>IF(ISBLANK($B$23),0,VLOOKUP($B$23,'Foglalkozási pótdíjak'!$A$3:$K$494,4,0))</f>
        <v>0</v>
      </c>
      <c r="H47" s="168">
        <f ca="1">IF($E$9&gt;64,0,ROUND($F$28/'CC Tarifák'!$B$1*VLOOKUP(64-$E$9+1,'CC Tarifák'!$B$3:$AX$49,$E$9-18+2,0)*IF($E$47="Kizárás",1,1+$E$47),0))</f>
        <v>52590</v>
      </c>
      <c r="I47" s="168"/>
      <c r="J47" s="168">
        <f ca="1">IF($E$9&gt;60,0,ROUND($F$28/'CC Tarifák'!$B$53*VLOOKUP(64-$E$9+1,'CC Tarifák'!$B$55:$AX$101,$E$9-18+2,0)*IF($E$47="Kizárás",1,1+$E$47),0))</f>
        <v>68970</v>
      </c>
      <c r="K47" s="168"/>
      <c r="L47" s="168">
        <f ca="1">IF($E$9&gt;55,0,ROUND($F$28/'CC Tarifák'!$B$105*VLOOKUP(64-$E$9+1,'CC Tarifák'!$B$107:$AX$153,$E$9-18+2,0)*IF($E$47="Kizárás",1,1+$E$47),0))</f>
        <v>80700</v>
      </c>
      <c r="M47" s="168"/>
      <c r="N47" s="168">
        <f ca="1">IF($E$9&gt;60,0,ROUND($F$28/'CC Tarifák'!$B$157*VLOOKUP(64-$E$9+1,'CC Tarifák'!$B$159:$AX$205,$E$9-18+2,0)*IF($E$47="Kizárás",1,1+$E$47),0))</f>
        <v>85200</v>
      </c>
      <c r="O47" s="168"/>
    </row>
    <row r="48" spans="1:15" hidden="1" x14ac:dyDescent="0.2">
      <c r="A48" s="35" t="s">
        <v>406</v>
      </c>
      <c r="H48" s="168"/>
      <c r="I48" s="168"/>
      <c r="J48" s="168"/>
      <c r="K48" s="168"/>
      <c r="L48" s="168"/>
      <c r="M48" s="168"/>
      <c r="N48" s="168"/>
      <c r="O48" s="168"/>
    </row>
    <row r="49" spans="1:26" hidden="1" x14ac:dyDescent="0.2">
      <c r="A49" s="35" t="s">
        <v>406</v>
      </c>
      <c r="H49" s="168">
        <f ca="1">IF($E$9&gt;64,0,ROUND($F$28/'CC Tarifák'!$B$209*VLOOKUP(64-$E$9+1,'CC Tarifák'!$B$211:$AX$257,$E$9-18+2,0)*IF($E$47="Kizárás",1,1+$E$47),0))</f>
        <v>81060</v>
      </c>
      <c r="I49" s="168"/>
      <c r="J49" s="168">
        <f ca="1">IF($E$9&gt;60,0,ROUND($F$28/'CC Tarifák'!$B$261*VLOOKUP(64-$E$9+1,'CC Tarifák'!$B$263:$AX$309,$E$9-18+2,0)*IF($E$47="Kizárás",1,1+$E$47),0))</f>
        <v>108780</v>
      </c>
      <c r="K49" s="168"/>
      <c r="L49" s="168">
        <f ca="1">IF($E$9&gt;55,0,ROUND($F$28/'CC Tarifák'!$B$313*VLOOKUP(64-$E$9+1,'CC Tarifák'!$B$315:$AX$361,$E$9-18+2,0)*IF($E$47="Kizárás",1,1+$E$47),0))</f>
        <v>130710</v>
      </c>
      <c r="M49" s="168"/>
      <c r="N49" s="168">
        <f ca="1">IF($E$9&gt;60,0,ROUND($F$28/'CC Tarifák'!$B$365*VLOOKUP(64-$E$9+1,'CC Tarifák'!$B$367:$AX$413,$E$9-18+2,0)*IF($E$47="Kizárás",1,1+$E$47),0))</f>
        <v>139020</v>
      </c>
      <c r="O49" s="168"/>
    </row>
    <row r="50" spans="1:26" hidden="1" x14ac:dyDescent="0.2">
      <c r="A50" s="35" t="s">
        <v>406</v>
      </c>
      <c r="H50" s="168"/>
      <c r="I50" s="168"/>
      <c r="J50" s="168"/>
      <c r="K50" s="168"/>
      <c r="L50" s="168"/>
      <c r="M50" s="168"/>
      <c r="N50" s="168"/>
      <c r="O50" s="168"/>
    </row>
    <row r="51" spans="1:26" hidden="1" x14ac:dyDescent="0.2">
      <c r="A51" s="35" t="s">
        <v>406</v>
      </c>
      <c r="H51" s="168">
        <f ca="1">IF($E$9&gt;64,0,ROUND($F$28/'CC Tarifák'!$B$417*VLOOKUP(64-$E$9+1,'CC Tarifák'!$B$419:$AX$465,$E$9-18+2,0)*IF($E$47="Kizárás",1,1+$E$47),0))</f>
        <v>101310</v>
      </c>
      <c r="I51" s="168"/>
      <c r="J51" s="168">
        <f ca="1">IF($E$9&gt;60,0,ROUND($F$28/'CC Tarifák'!$B$469*VLOOKUP(64-$E$9+1,'CC Tarifák'!$B$471:$AX$517,$E$9-18+2,0)*IF($E$47="Kizárás",1,1+$E$47),0))</f>
        <v>135900</v>
      </c>
      <c r="K51" s="168"/>
      <c r="L51" s="168">
        <f ca="1">IF($E$9&gt;55,0,ROUND($F$28/'CC Tarifák'!$B$521*VLOOKUP(64-$E$9+1,'CC Tarifák'!$B$523:$AX$569,$E$9-18+2,0)*IF($E$47="Kizárás",1,1+$E$47),0))</f>
        <v>162930</v>
      </c>
      <c r="M51" s="168"/>
      <c r="N51" s="168">
        <f ca="1">IF($E$9&gt;60,0,ROUND($F$28/'CC Tarifák'!$B$573*VLOOKUP(64-$E$9+1,'CC Tarifák'!$B$575:$AX$621,$E$9-18+2,0)*IF($E$47="Kizárás",1,1+$E$47),0))</f>
        <v>173070</v>
      </c>
      <c r="O51" s="168"/>
    </row>
    <row r="52" spans="1:26" hidden="1" x14ac:dyDescent="0.2">
      <c r="A52" s="35" t="s">
        <v>406</v>
      </c>
      <c r="H52" s="168"/>
      <c r="I52" s="168"/>
      <c r="J52" s="168"/>
      <c r="K52" s="168"/>
      <c r="L52" s="168"/>
      <c r="M52" s="168"/>
      <c r="N52" s="168"/>
      <c r="O52" s="168"/>
    </row>
    <row r="56" spans="1:26" x14ac:dyDescent="0.2">
      <c r="B56" s="161"/>
      <c r="C56" s="164" t="s">
        <v>62</v>
      </c>
      <c r="D56" s="164"/>
      <c r="E56" s="164"/>
      <c r="F56" s="164"/>
      <c r="G56" s="164"/>
      <c r="H56" s="164"/>
      <c r="I56" s="164"/>
      <c r="J56" s="164"/>
      <c r="K56" s="164" t="s">
        <v>63</v>
      </c>
      <c r="L56" s="164"/>
      <c r="M56" s="164"/>
      <c r="N56" s="164"/>
      <c r="O56" s="164"/>
      <c r="P56" s="164"/>
      <c r="Q56" s="164"/>
      <c r="R56" s="164"/>
      <c r="S56" s="164" t="s">
        <v>64</v>
      </c>
      <c r="T56" s="164"/>
      <c r="U56" s="164"/>
      <c r="V56" s="164"/>
      <c r="W56" s="164"/>
      <c r="X56" s="164"/>
      <c r="Y56" s="164"/>
      <c r="Z56" s="164"/>
    </row>
    <row r="57" spans="1:26" x14ac:dyDescent="0.2">
      <c r="B57" s="162"/>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row>
    <row r="58" spans="1:26" x14ac:dyDescent="0.2">
      <c r="B58" s="162"/>
      <c r="C58" s="166" t="s">
        <v>467</v>
      </c>
      <c r="D58" s="166"/>
      <c r="E58" s="166" t="s">
        <v>465</v>
      </c>
      <c r="F58" s="166"/>
      <c r="G58" s="166" t="s">
        <v>466</v>
      </c>
      <c r="H58" s="166"/>
      <c r="I58" s="166" t="s">
        <v>461</v>
      </c>
      <c r="J58" s="166"/>
      <c r="K58" s="166" t="s">
        <v>467</v>
      </c>
      <c r="L58" s="166"/>
      <c r="M58" s="166" t="s">
        <v>465</v>
      </c>
      <c r="N58" s="166"/>
      <c r="O58" s="166" t="s">
        <v>466</v>
      </c>
      <c r="P58" s="166"/>
      <c r="Q58" s="166" t="s">
        <v>461</v>
      </c>
      <c r="R58" s="166"/>
      <c r="S58" s="166" t="s">
        <v>467</v>
      </c>
      <c r="T58" s="166"/>
      <c r="U58" s="166" t="s">
        <v>465</v>
      </c>
      <c r="V58" s="166"/>
      <c r="W58" s="166" t="s">
        <v>466</v>
      </c>
      <c r="X58" s="166"/>
      <c r="Y58" s="166" t="s">
        <v>461</v>
      </c>
      <c r="Z58" s="166"/>
    </row>
    <row r="59" spans="1:26" x14ac:dyDescent="0.2">
      <c r="B59" s="163"/>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row>
    <row r="60" spans="1:26" x14ac:dyDescent="0.2">
      <c r="B60" s="77">
        <v>1</v>
      </c>
      <c r="C60" s="159">
        <f ca="1">IF(OR(ISBLANK($F$28),ISBLANK($E$8)),0,IF($E$9&gt;64,0,IF($B60="","",IF($H$28="!",0,1)*ROUND($F$28/'CC Tarifák'!$B$1*VLOOKUP(64-$E$9+1-$B60+1,'CC Tarifák'!$B$3:$AX$49,$E$9+$B60-1-18+2,0)*IF($E$47="Kizárás",1,1+$E$47),0))))</f>
        <v>52590</v>
      </c>
      <c r="D60" s="159"/>
      <c r="E60" s="159">
        <f ca="1">IF(OR(ISBLANK($F$28),ISBLANK($E$8)),0,IF($E$9&gt;60,0,IF($B60="","",IF(MOD($B60,5)=1,IF($J$28="!",0,1)*ROUND($F$28/'CC Tarifák'!$B$53*VLOOKUP(64-$E$9+1-$B60+1,'CC Tarifák'!$B$55:$AX$101,$E$9+$B60-1-18+2,0)*IF($E$47="Kizárás",1,1+$E$47),0),$E59))))</f>
        <v>68970</v>
      </c>
      <c r="F60" s="159"/>
      <c r="G60" s="159">
        <f ca="1">IF(OR(ISBLANK($F$28),ISBLANK($E$8)),0,IF($E$9&gt;55,0,IF($B60="","",IF(MOD($B60,10)=1,IF($L$28="!",0,1)*ROUND($F$28/'CC Tarifák'!$B$105*VLOOKUP(64-$E$9+1-$B60+1,'CC Tarifák'!$B$107:$AX$153,$E$9+$B60-1-18+2,0)*IF($E$47="Kizárás",1,1+$E$47),0),$G59))))</f>
        <v>80700</v>
      </c>
      <c r="H60" s="159"/>
      <c r="I60" s="159">
        <f ca="1">IF(OR(ISBLANK($F$28),ISBLANK($E$8)),0,IF($B60="","",IF($N$28="!",0,$N$28)))</f>
        <v>85200</v>
      </c>
      <c r="J60" s="159"/>
      <c r="K60" s="160">
        <f ca="1">IF(OR(ISBLANK($F$28),ISBLANK($E$8)),0,IF($E$9&gt;64,0,IF($B60="","",IF($H$30="!",0,1)*ROUND($F$28/'CC Tarifák'!$B$209*VLOOKUP(64-$E$9+1-$B60+1,'CC Tarifák'!$B$211:$AX$257,$E$9+$B60-1-18+2,0)*IF($E$47="Kizárás",1,1+$E$47),0))))</f>
        <v>81060</v>
      </c>
      <c r="L60" s="160"/>
      <c r="M60" s="160">
        <f ca="1">IF(OR(ISBLANK($F$28),ISBLANK($E$8)),0,IF($E$9&gt;60,0,IF($B60="","",IF(MOD($B60,5)=1,IF($J$30="!",0,1)*ROUND($F$28/'CC Tarifák'!$B$261*VLOOKUP(64-$E$9+1-$B60+1,'CC Tarifák'!$B$263:$AX$309,$E$9+$B60-1-18+2,0)*IF($E$47="Kizárás",1,1+$E$47),0),$M59))))</f>
        <v>108780</v>
      </c>
      <c r="N60" s="160"/>
      <c r="O60" s="160">
        <f ca="1">IF(OR(ISBLANK($F$28),ISBLANK($E$8)),0,IF($E$9&gt;55,0,IF($B60="","",IF(MOD($B60,10)=1,IF($L$30="!",0,1)*ROUND($F$28/'CC Tarifák'!$B$313*VLOOKUP(64-$E$9+1-$B60+1,'CC Tarifák'!$B$315:$AX$361,$E$9+$B60-1-18+2,0)*IF($E$47="Kizárás",1,1+$E$47),0),$O59))))</f>
        <v>130710</v>
      </c>
      <c r="P60" s="160"/>
      <c r="Q60" s="160">
        <f ca="1">IF(OR(ISBLANK($F$28),ISBLANK($E$8)),0,IF($B60="","",IF($N$30="!",0,$N$30)))</f>
        <v>139020</v>
      </c>
      <c r="R60" s="160"/>
      <c r="S60" s="159">
        <f ca="1">IF(OR(ISBLANK($F$28),ISBLANK($E$8)),0,IF($E$9&gt;64,0,IF($B60="","",IF($H$32="!",0,1)*ROUND($F$28/'CC Tarifák'!$B$417*VLOOKUP(64-$E$9+1-$B60+1,'CC Tarifák'!$B$419:$AX$465,$E$9+$B60-1-18+2,0)*IF($E$47="Kizárás",1,1+$E$47),0))))</f>
        <v>101310</v>
      </c>
      <c r="T60" s="159"/>
      <c r="U60" s="159">
        <f ca="1">IF(OR(ISBLANK($F$28),ISBLANK($E$8)),0,IF($E$9&gt;60,0,IF($B60="","",IF(MOD($B60,5)=1,IF($J$32="!",0,1)*ROUND($F$28/'CC Tarifák'!$B$469*VLOOKUP(64-$E$9+1-$B60+1,'CC Tarifák'!$B$471:$AX$517,$E$9+$B60-1-18+2,0)*IF($E$47="Kizárás",1,1+$E$47),0),$U59))))</f>
        <v>135900</v>
      </c>
      <c r="V60" s="159"/>
      <c r="W60" s="159">
        <f ca="1">IF(OR(ISBLANK($F$28),ISBLANK($E$8)),0,IF($E$9&gt;55,0,IF($B60="","",IF(MOD($B60,10)=1,IF($L$32="!",0,1)*ROUND($F$28/'CC Tarifák'!$B$521*VLOOKUP(64-$E$9+1-$B60+1,'CC Tarifák'!$B$523:$AX$569,$E$9+$B60-1-18+2,0)*IF($E$47="Kizárás",1,1+$E$47),0),$W59))))</f>
        <v>162930</v>
      </c>
      <c r="X60" s="159"/>
      <c r="Y60" s="159">
        <f ca="1">IF(OR(ISBLANK($F$28),ISBLANK($E$8)),0,IF($B60="","",IF($N$32="!",0,$N$32)))</f>
        <v>173070</v>
      </c>
      <c r="Z60" s="159"/>
    </row>
    <row r="61" spans="1:26" x14ac:dyDescent="0.2">
      <c r="B61" s="78">
        <f ca="1">IF(OR(ISBLANK($F$28),ISBLANK($E$8)),"",IF($B60="","",IF($B60+1&lt;=64-$E$9,$B60+1,"")))</f>
        <v>2</v>
      </c>
      <c r="C61" s="159">
        <f ca="1">IF(OR(ISBLANK($F$28),ISBLANK($E$8)),0,IF($E$9&gt;64,0,IF($B61="","",IF($H$28="!",0,1)*ROUND($F$28/'CC Tarifák'!$B$1*VLOOKUP(64-$E$9+1-$B61+1,'CC Tarifák'!$B$3:$AX$49,$E$9+$B61-1-18+2,0)*IF($E$47="Kizárás",1,1+$E$47),0))))</f>
        <v>56580</v>
      </c>
      <c r="D61" s="159"/>
      <c r="E61" s="159">
        <f ca="1">IF(OR(ISBLANK($F$28),ISBLANK($E$8)),0,IF($E$9&gt;60,0,IF($B61="","",IF(MOD($B61,5)=1,IF($J$28="!",0,1)*ROUND($F$28/'CC Tarifák'!$B$53*VLOOKUP(64-$E$9+1-$B61+1,'CC Tarifák'!$B$55:$AX$101,$E$9+$B61-1-18+2,0)*IF($E$47="Kizárás",1,1+$E$47),0),$E60))))</f>
        <v>68970</v>
      </c>
      <c r="F61" s="159"/>
      <c r="G61" s="159">
        <f ca="1">IF(OR(ISBLANK($F$28),ISBLANK($E$8)),0,IF($E$9&gt;55,0,IF($B61="","",IF(MOD($B61,10)=1,IF($L$28="!",0,1)*ROUND($F$28/'CC Tarifák'!$B$105*VLOOKUP(64-$E$9+1-$B61+1,'CC Tarifák'!$B$107:$AX$153,$E$9+$B61-1-18+2,0)*IF($E$47="Kizárás",1,1+$E$47),0),$G60))))</f>
        <v>80700</v>
      </c>
      <c r="H61" s="159"/>
      <c r="I61" s="159">
        <f t="shared" ref="I61:I105" ca="1" si="0">IF(OR(ISBLANK($F$28),ISBLANK($E$8)),0,IF($B61="","",IF($N$28="!",0,$N$28)))</f>
        <v>85200</v>
      </c>
      <c r="J61" s="159"/>
      <c r="K61" s="160">
        <f ca="1">IF(OR(ISBLANK($F$28),ISBLANK($E$8)),0,IF($E$9&gt;64,0,IF($B61="","",IF($H$30="!",0,1)*ROUND($F$28/'CC Tarifák'!$B$209*VLOOKUP(64-$E$9+1-$B61+1,'CC Tarifák'!$B$211:$AX$257,$E$9+$B61-1-18+2,0)*IF($E$47="Kizárás",1,1+$E$47),0))))</f>
        <v>87300</v>
      </c>
      <c r="L61" s="160"/>
      <c r="M61" s="160">
        <f ca="1">IF(OR(ISBLANK($F$28),ISBLANK($E$8)),0,IF($E$9&gt;60,0,IF($B61="","",IF(MOD($B61,5)=1,IF($J$30="!",0,1)*ROUND($F$28/'CC Tarifák'!$B$261*VLOOKUP(64-$E$9+1-$B61+1,'CC Tarifák'!$B$263:$AX$309,$E$9+$B61-1-18+2,0)*IF($E$47="Kizárás",1,1+$E$47),0),$M60))))</f>
        <v>108780</v>
      </c>
      <c r="N61" s="160"/>
      <c r="O61" s="160">
        <f ca="1">IF(OR(ISBLANK($F$28),ISBLANK($E$8)),0,IF($E$9&gt;55,0,IF($B61="","",IF(MOD($B61,10)=1,IF($L$30="!",0,1)*ROUND($F$28/'CC Tarifák'!$B$313*VLOOKUP(64-$E$9+1-$B61+1,'CC Tarifák'!$B$315:$AX$361,$E$9+$B61-1-18+2,0)*IF($E$47="Kizárás",1,1+$E$47),0),$O60))))</f>
        <v>130710</v>
      </c>
      <c r="P61" s="160"/>
      <c r="Q61" s="160">
        <f t="shared" ref="Q61:Q105" ca="1" si="1">IF(OR(ISBLANK($F$28),ISBLANK($E$8)),0,IF($B61="","",IF($N$30="!",0,$N$30)))</f>
        <v>139020</v>
      </c>
      <c r="R61" s="160"/>
      <c r="S61" s="159">
        <f ca="1">IF(OR(ISBLANK($F$28),ISBLANK($E$8)),0,IF($E$9&gt;64,0,IF($B61="","",IF($H$32="!",0,1)*ROUND($F$28/'CC Tarifák'!$B$417*VLOOKUP(64-$E$9+1-$B61+1,'CC Tarifák'!$B$419:$AX$465,$E$9+$B61-1-18+2,0)*IF($E$47="Kizárás",1,1+$E$47),0))))</f>
        <v>109110</v>
      </c>
      <c r="T61" s="159"/>
      <c r="U61" s="159">
        <f ca="1">IF(OR(ISBLANK($F$28),ISBLANK($E$8)),0,IF($E$9&gt;60,0,IF($B61="","",IF(MOD($B61,5)=1,IF($J$32="!",0,1)*ROUND($F$28/'CC Tarifák'!$B$469*VLOOKUP(64-$E$9+1-$B61+1,'CC Tarifák'!$B$471:$AX$517,$E$9+$B61-1-18+2,0)*IF($E$47="Kizárás",1,1+$E$47),0),$U60))))</f>
        <v>135900</v>
      </c>
      <c r="V61" s="159"/>
      <c r="W61" s="159">
        <f ca="1">IF(OR(ISBLANK($F$28),ISBLANK($E$8)),0,IF($E$9&gt;55,0,IF($B61="","",IF(MOD($B61,10)=1,IF($L$32="!",0,1)*ROUND($F$28/'CC Tarifák'!$B$521*VLOOKUP(64-$E$9+1-$B61+1,'CC Tarifák'!$B$523:$AX$569,$E$9+$B61-1-18+2,0)*IF($E$47="Kizárás",1,1+$E$47),0),$W60))))</f>
        <v>162930</v>
      </c>
      <c r="X61" s="159"/>
      <c r="Y61" s="159">
        <f t="shared" ref="Y61:Y105" ca="1" si="2">IF(OR(ISBLANK($F$28),ISBLANK($E$8)),0,IF($B61="","",IF($N$32="!",0,$N$32)))</f>
        <v>173070</v>
      </c>
      <c r="Z61" s="159"/>
    </row>
    <row r="62" spans="1:26" x14ac:dyDescent="0.2">
      <c r="B62" s="78">
        <f t="shared" ref="B62:B105" ca="1" si="3">IF($B61="","",IF($B61+1&lt;=64-$E$9,$B61+1,""))</f>
        <v>3</v>
      </c>
      <c r="C62" s="159">
        <f ca="1">IF(OR(ISBLANK($F$28),ISBLANK($E$8)),0,IF($E$9&gt;64,0,IF($B62="","",IF($H$28="!",0,1)*ROUND($F$28/'CC Tarifák'!$B$1*VLOOKUP(64-$E$9+1-$B62+1,'CC Tarifák'!$B$3:$AX$49,$E$9+$B62-1-18+2,0)*IF($E$47="Kizárás",1,1+$E$47),0))))</f>
        <v>60540</v>
      </c>
      <c r="D62" s="159"/>
      <c r="E62" s="159">
        <f ca="1">IF(OR(ISBLANK($F$28),ISBLANK($E$8)),0,IF($E$9&gt;60,0,IF($B62="","",IF(MOD($B62,5)=1,IF($J$28="!",0,1)*ROUND($F$28/'CC Tarifák'!$B$53*VLOOKUP(64-$E$9+1-$B62+1,'CC Tarifák'!$B$55:$AX$101,$E$9+$B62-1-18+2,0)*IF($E$47="Kizárás",1,1+$E$47),0),$E61))))</f>
        <v>68970</v>
      </c>
      <c r="F62" s="159"/>
      <c r="G62" s="159">
        <f ca="1">IF(OR(ISBLANK($F$28),ISBLANK($E$8)),0,IF($E$9&gt;55,0,IF($B62="","",IF(MOD($B62,10)=1,IF($L$28="!",0,1)*ROUND($F$28/'CC Tarifák'!$B$105*VLOOKUP(64-$E$9+1-$B62+1,'CC Tarifák'!$B$107:$AX$153,$E$9+$B62-1-18+2,0)*IF($E$47="Kizárás",1,1+$E$47),0),$G61))))</f>
        <v>80700</v>
      </c>
      <c r="H62" s="159"/>
      <c r="I62" s="159">
        <f t="shared" ca="1" si="0"/>
        <v>85200</v>
      </c>
      <c r="J62" s="159"/>
      <c r="K62" s="160">
        <f ca="1">IF(OR(ISBLANK($F$28),ISBLANK($E$8)),0,IF($E$9&gt;64,0,IF($B62="","",IF($H$30="!",0,1)*ROUND($F$28/'CC Tarifák'!$B$209*VLOOKUP(64-$E$9+1-$B62+1,'CC Tarifák'!$B$211:$AX$257,$E$9+$B62-1-18+2,0)*IF($E$47="Kizárás",1,1+$E$47),0))))</f>
        <v>93510</v>
      </c>
      <c r="L62" s="160"/>
      <c r="M62" s="160">
        <f ca="1">IF(OR(ISBLANK($F$28),ISBLANK($E$8)),0,IF($E$9&gt;60,0,IF($B62="","",IF(MOD($B62,5)=1,IF($J$30="!",0,1)*ROUND($F$28/'CC Tarifák'!$B$261*VLOOKUP(64-$E$9+1-$B62+1,'CC Tarifák'!$B$263:$AX$309,$E$9+$B62-1-18+2,0)*IF($E$47="Kizárás",1,1+$E$47),0),$M61))))</f>
        <v>108780</v>
      </c>
      <c r="N62" s="160"/>
      <c r="O62" s="160">
        <f ca="1">IF(OR(ISBLANK($F$28),ISBLANK($E$8)),0,IF($E$9&gt;55,0,IF($B62="","",IF(MOD($B62,10)=1,IF($L$30="!",0,1)*ROUND($F$28/'CC Tarifák'!$B$313*VLOOKUP(64-$E$9+1-$B62+1,'CC Tarifák'!$B$315:$AX$361,$E$9+$B62-1-18+2,0)*IF($E$47="Kizárás",1,1+$E$47),0),$O61))))</f>
        <v>130710</v>
      </c>
      <c r="P62" s="160"/>
      <c r="Q62" s="160">
        <f t="shared" ca="1" si="1"/>
        <v>139020</v>
      </c>
      <c r="R62" s="160"/>
      <c r="S62" s="159">
        <f ca="1">IF(OR(ISBLANK($F$28),ISBLANK($E$8)),0,IF($E$9&gt;64,0,IF($B62="","",IF($H$32="!",0,1)*ROUND($F$28/'CC Tarifák'!$B$417*VLOOKUP(64-$E$9+1-$B62+1,'CC Tarifák'!$B$419:$AX$465,$E$9+$B62-1-18+2,0)*IF($E$47="Kizárás",1,1+$E$47),0))))</f>
        <v>116910</v>
      </c>
      <c r="T62" s="159"/>
      <c r="U62" s="159">
        <f ca="1">IF(OR(ISBLANK($F$28),ISBLANK($E$8)),0,IF($E$9&gt;60,0,IF($B62="","",IF(MOD($B62,5)=1,IF($J$32="!",0,1)*ROUND($F$28/'CC Tarifák'!$B$469*VLOOKUP(64-$E$9+1-$B62+1,'CC Tarifák'!$B$471:$AX$517,$E$9+$B62-1-18+2,0)*IF($E$47="Kizárás",1,1+$E$47),0),$U61))))</f>
        <v>135900</v>
      </c>
      <c r="V62" s="159"/>
      <c r="W62" s="159">
        <f ca="1">IF(OR(ISBLANK($F$28),ISBLANK($E$8)),0,IF($E$9&gt;55,0,IF($B62="","",IF(MOD($B62,10)=1,IF($L$32="!",0,1)*ROUND($F$28/'CC Tarifák'!$B$521*VLOOKUP(64-$E$9+1-$B62+1,'CC Tarifák'!$B$523:$AX$569,$E$9+$B62-1-18+2,0)*IF($E$47="Kizárás",1,1+$E$47),0),$W61))))</f>
        <v>162930</v>
      </c>
      <c r="X62" s="159"/>
      <c r="Y62" s="159">
        <f t="shared" ca="1" si="2"/>
        <v>173070</v>
      </c>
      <c r="Z62" s="159"/>
    </row>
    <row r="63" spans="1:26" x14ac:dyDescent="0.2">
      <c r="B63" s="78">
        <f t="shared" ca="1" si="3"/>
        <v>4</v>
      </c>
      <c r="C63" s="159">
        <f ca="1">IF(OR(ISBLANK($F$28),ISBLANK($E$8)),0,IF($E$9&gt;64,0,IF($B63="","",IF($H$28="!",0,1)*ROUND($F$28/'CC Tarifák'!$B$1*VLOOKUP(64-$E$9+1-$B63+1,'CC Tarifák'!$B$3:$AX$49,$E$9+$B63-1-18+2,0)*IF($E$47="Kizárás",1,1+$E$47),0))))</f>
        <v>64530</v>
      </c>
      <c r="D63" s="159"/>
      <c r="E63" s="159">
        <f ca="1">IF(OR(ISBLANK($F$28),ISBLANK($E$8)),0,IF($E$9&gt;60,0,IF($B63="","",IF(MOD($B63,5)=1,IF($J$28="!",0,1)*ROUND($F$28/'CC Tarifák'!$B$53*VLOOKUP(64-$E$9+1-$B63+1,'CC Tarifák'!$B$55:$AX$101,$E$9+$B63-1-18+2,0)*IF($E$47="Kizárás",1,1+$E$47),0),$E62))))</f>
        <v>68970</v>
      </c>
      <c r="F63" s="159"/>
      <c r="G63" s="159">
        <f ca="1">IF(OR(ISBLANK($F$28),ISBLANK($E$8)),0,IF($E$9&gt;55,0,IF($B63="","",IF(MOD($B63,10)=1,IF($L$28="!",0,1)*ROUND($F$28/'CC Tarifák'!$B$105*VLOOKUP(64-$E$9+1-$B63+1,'CC Tarifák'!$B$107:$AX$153,$E$9+$B63-1-18+2,0)*IF($E$47="Kizárás",1,1+$E$47),0),$G62))))</f>
        <v>80700</v>
      </c>
      <c r="H63" s="159"/>
      <c r="I63" s="159">
        <f t="shared" ca="1" si="0"/>
        <v>85200</v>
      </c>
      <c r="J63" s="159"/>
      <c r="K63" s="160">
        <f ca="1">IF(OR(ISBLANK($F$28),ISBLANK($E$8)),0,IF($E$9&gt;64,0,IF($B63="","",IF($H$30="!",0,1)*ROUND($F$28/'CC Tarifák'!$B$209*VLOOKUP(64-$E$9+1-$B63+1,'CC Tarifák'!$B$211:$AX$257,$E$9+$B63-1-18+2,0)*IF($E$47="Kizárás",1,1+$E$47),0))))</f>
        <v>99780</v>
      </c>
      <c r="L63" s="160"/>
      <c r="M63" s="160">
        <f ca="1">IF(OR(ISBLANK($F$28),ISBLANK($E$8)),0,IF($E$9&gt;60,0,IF($B63="","",IF(MOD($B63,5)=1,IF($J$30="!",0,1)*ROUND($F$28/'CC Tarifák'!$B$261*VLOOKUP(64-$E$9+1-$B63+1,'CC Tarifák'!$B$263:$AX$309,$E$9+$B63-1-18+2,0)*IF($E$47="Kizárás",1,1+$E$47),0),$M62))))</f>
        <v>108780</v>
      </c>
      <c r="N63" s="160"/>
      <c r="O63" s="160">
        <f ca="1">IF(OR(ISBLANK($F$28),ISBLANK($E$8)),0,IF($E$9&gt;55,0,IF($B63="","",IF(MOD($B63,10)=1,IF($L$30="!",0,1)*ROUND($F$28/'CC Tarifák'!$B$313*VLOOKUP(64-$E$9+1-$B63+1,'CC Tarifák'!$B$315:$AX$361,$E$9+$B63-1-18+2,0)*IF($E$47="Kizárás",1,1+$E$47),0),$O62))))</f>
        <v>130710</v>
      </c>
      <c r="P63" s="160"/>
      <c r="Q63" s="160">
        <f t="shared" ca="1" si="1"/>
        <v>139020</v>
      </c>
      <c r="R63" s="160"/>
      <c r="S63" s="159">
        <f ca="1">IF(OR(ISBLANK($F$28),ISBLANK($E$8)),0,IF($E$9&gt;64,0,IF($B63="","",IF($H$32="!",0,1)*ROUND($F$28/'CC Tarifák'!$B$417*VLOOKUP(64-$E$9+1-$B63+1,'CC Tarifák'!$B$419:$AX$465,$E$9+$B63-1-18+2,0)*IF($E$47="Kizárás",1,1+$E$47),0))))</f>
        <v>124710</v>
      </c>
      <c r="T63" s="159"/>
      <c r="U63" s="159">
        <f ca="1">IF(OR(ISBLANK($F$28),ISBLANK($E$8)),0,IF($E$9&gt;60,0,IF($B63="","",IF(MOD($B63,5)=1,IF($J$32="!",0,1)*ROUND($F$28/'CC Tarifák'!$B$469*VLOOKUP(64-$E$9+1-$B63+1,'CC Tarifák'!$B$471:$AX$517,$E$9+$B63-1-18+2,0)*IF($E$47="Kizárás",1,1+$E$47),0),$U62))))</f>
        <v>135900</v>
      </c>
      <c r="V63" s="159"/>
      <c r="W63" s="159">
        <f ca="1">IF(OR(ISBLANK($F$28),ISBLANK($E$8)),0,IF($E$9&gt;55,0,IF($B63="","",IF(MOD($B63,10)=1,IF($L$32="!",0,1)*ROUND($F$28/'CC Tarifák'!$B$521*VLOOKUP(64-$E$9+1-$B63+1,'CC Tarifák'!$B$523:$AX$569,$E$9+$B63-1-18+2,0)*IF($E$47="Kizárás",1,1+$E$47),0),$W62))))</f>
        <v>162930</v>
      </c>
      <c r="X63" s="159"/>
      <c r="Y63" s="159">
        <f t="shared" ca="1" si="2"/>
        <v>173070</v>
      </c>
      <c r="Z63" s="159"/>
    </row>
    <row r="64" spans="1:26" x14ac:dyDescent="0.2">
      <c r="B64" s="78">
        <f t="shared" ca="1" si="3"/>
        <v>5</v>
      </c>
      <c r="C64" s="159">
        <f ca="1">IF(OR(ISBLANK($F$28),ISBLANK($E$8)),0,IF($E$9&gt;64,0,IF($B64="","",IF($H$28="!",0,1)*ROUND($F$28/'CC Tarifák'!$B$1*VLOOKUP(64-$E$9+1-$B64+1,'CC Tarifák'!$B$3:$AX$49,$E$9+$B64-1-18+2,0)*IF($E$47="Kizárás",1,1+$E$47),0))))</f>
        <v>68490</v>
      </c>
      <c r="D64" s="159"/>
      <c r="E64" s="159">
        <f ca="1">IF(OR(ISBLANK($F$28),ISBLANK($E$8)),0,IF($E$9&gt;60,0,IF($B64="","",IF(MOD($B64,5)=1,IF($J$28="!",0,1)*ROUND($F$28/'CC Tarifák'!$B$53*VLOOKUP(64-$E$9+1-$B64+1,'CC Tarifák'!$B$55:$AX$101,$E$9+$B64-1-18+2,0)*IF($E$47="Kizárás",1,1+$E$47),0),$E63))))</f>
        <v>68970</v>
      </c>
      <c r="F64" s="159"/>
      <c r="G64" s="159">
        <f ca="1">IF(OR(ISBLANK($F$28),ISBLANK($E$8)),0,IF($E$9&gt;55,0,IF($B64="","",IF(MOD($B64,10)=1,IF($L$28="!",0,1)*ROUND($F$28/'CC Tarifák'!$B$105*VLOOKUP(64-$E$9+1-$B64+1,'CC Tarifák'!$B$107:$AX$153,$E$9+$B64-1-18+2,0)*IF($E$47="Kizárás",1,1+$E$47),0),$G63))))</f>
        <v>80700</v>
      </c>
      <c r="H64" s="159"/>
      <c r="I64" s="159">
        <f t="shared" ca="1" si="0"/>
        <v>85200</v>
      </c>
      <c r="J64" s="159"/>
      <c r="K64" s="160">
        <f ca="1">IF(OR(ISBLANK($F$28),ISBLANK($E$8)),0,IF($E$9&gt;64,0,IF($B64="","",IF($H$30="!",0,1)*ROUND($F$28/'CC Tarifák'!$B$209*VLOOKUP(64-$E$9+1-$B64+1,'CC Tarifák'!$B$211:$AX$257,$E$9+$B64-1-18+2,0)*IF($E$47="Kizárás",1,1+$E$47),0))))</f>
        <v>109500</v>
      </c>
      <c r="L64" s="160"/>
      <c r="M64" s="160">
        <f ca="1">IF(OR(ISBLANK($F$28),ISBLANK($E$8)),0,IF($E$9&gt;60,0,IF($B64="","",IF(MOD($B64,5)=1,IF($J$30="!",0,1)*ROUND($F$28/'CC Tarifák'!$B$261*VLOOKUP(64-$E$9+1-$B64+1,'CC Tarifák'!$B$263:$AX$309,$E$9+$B64-1-18+2,0)*IF($E$47="Kizárás",1,1+$E$47),0),$M63))))</f>
        <v>108780</v>
      </c>
      <c r="N64" s="160"/>
      <c r="O64" s="160">
        <f ca="1">IF(OR(ISBLANK($F$28),ISBLANK($E$8)),0,IF($E$9&gt;55,0,IF($B64="","",IF(MOD($B64,10)=1,IF($L$30="!",0,1)*ROUND($F$28/'CC Tarifák'!$B$313*VLOOKUP(64-$E$9+1-$B64+1,'CC Tarifák'!$B$315:$AX$361,$E$9+$B64-1-18+2,0)*IF($E$47="Kizárás",1,1+$E$47),0),$O63))))</f>
        <v>130710</v>
      </c>
      <c r="P64" s="160"/>
      <c r="Q64" s="160">
        <f t="shared" ca="1" si="1"/>
        <v>139020</v>
      </c>
      <c r="R64" s="160"/>
      <c r="S64" s="159">
        <f ca="1">IF(OR(ISBLANK($F$28),ISBLANK($E$8)),0,IF($E$9&gt;64,0,IF($B64="","",IF($H$32="!",0,1)*ROUND($F$28/'CC Tarifák'!$B$417*VLOOKUP(64-$E$9+1-$B64+1,'CC Tarifák'!$B$419:$AX$465,$E$9+$B64-1-18+2,0)*IF($E$47="Kizárás",1,1+$E$47),0))))</f>
        <v>136890</v>
      </c>
      <c r="T64" s="159"/>
      <c r="U64" s="159">
        <f ca="1">IF(OR(ISBLANK($F$28),ISBLANK($E$8)),0,IF($E$9&gt;60,0,IF($B64="","",IF(MOD($B64,5)=1,IF($J$32="!",0,1)*ROUND($F$28/'CC Tarifák'!$B$469*VLOOKUP(64-$E$9+1-$B64+1,'CC Tarifák'!$B$471:$AX$517,$E$9+$B64-1-18+2,0)*IF($E$47="Kizárás",1,1+$E$47),0),$U63))))</f>
        <v>135900</v>
      </c>
      <c r="V64" s="159"/>
      <c r="W64" s="159">
        <f ca="1">IF(OR(ISBLANK($F$28),ISBLANK($E$8)),0,IF($E$9&gt;55,0,IF($B64="","",IF(MOD($B64,10)=1,IF($L$32="!",0,1)*ROUND($F$28/'CC Tarifák'!$B$521*VLOOKUP(64-$E$9+1-$B64+1,'CC Tarifák'!$B$523:$AX$569,$E$9+$B64-1-18+2,0)*IF($E$47="Kizárás",1,1+$E$47),0),$W63))))</f>
        <v>162930</v>
      </c>
      <c r="X64" s="159"/>
      <c r="Y64" s="159">
        <f t="shared" ca="1" si="2"/>
        <v>173070</v>
      </c>
      <c r="Z64" s="159"/>
    </row>
    <row r="65" spans="2:26" x14ac:dyDescent="0.2">
      <c r="B65" s="78">
        <f t="shared" ca="1" si="3"/>
        <v>6</v>
      </c>
      <c r="C65" s="159">
        <f ca="1">IF(OR(ISBLANK($F$28),ISBLANK($E$8)),0,IF($E$9&gt;64,0,IF($B65="","",IF($H$28="!",0,1)*ROUND($F$28/'CC Tarifák'!$B$1*VLOOKUP(64-$E$9+1-$B65+1,'CC Tarifák'!$B$3:$AX$49,$E$9+$B65-1-18+2,0)*IF($E$47="Kizárás",1,1+$E$47),0))))</f>
        <v>74130</v>
      </c>
      <c r="D65" s="159"/>
      <c r="E65" s="159">
        <f ca="1">IF(OR(ISBLANK($F$28),ISBLANK($E$8)),0,IF($E$9&gt;60,0,IF($B65="","",IF(MOD($B65,5)=1,IF($J$28="!",0,1)*ROUND($F$28/'CC Tarifák'!$B$53*VLOOKUP(64-$E$9+1-$B65+1,'CC Tarifák'!$B$55:$AX$101,$E$9+$B65-1-18+2,0)*IF($E$47="Kizárás",1,1+$E$47),0),$E64))))</f>
        <v>96240</v>
      </c>
      <c r="F65" s="159"/>
      <c r="G65" s="159">
        <f ca="1">IF(OR(ISBLANK($F$28),ISBLANK($E$8)),0,IF($E$9&gt;55,0,IF($B65="","",IF(MOD($B65,10)=1,IF($L$28="!",0,1)*ROUND($F$28/'CC Tarifák'!$B$105*VLOOKUP(64-$E$9+1-$B65+1,'CC Tarifák'!$B$107:$AX$153,$E$9+$B65-1-18+2,0)*IF($E$47="Kizárás",1,1+$E$47),0),$G64))))</f>
        <v>80700</v>
      </c>
      <c r="H65" s="159"/>
      <c r="I65" s="159">
        <f t="shared" ca="1" si="0"/>
        <v>85200</v>
      </c>
      <c r="J65" s="159"/>
      <c r="K65" s="160">
        <f ca="1">IF(OR(ISBLANK($F$28),ISBLANK($E$8)),0,IF($E$9&gt;64,0,IF($B65="","",IF($H$30="!",0,1)*ROUND($F$28/'CC Tarifák'!$B$209*VLOOKUP(64-$E$9+1-$B65+1,'CC Tarifák'!$B$211:$AX$257,$E$9+$B65-1-18+2,0)*IF($E$47="Kizárás",1,1+$E$47),0))))</f>
        <v>118560</v>
      </c>
      <c r="L65" s="160"/>
      <c r="M65" s="160">
        <f ca="1">IF(OR(ISBLANK($F$28),ISBLANK($E$8)),0,IF($E$9&gt;60,0,IF($B65="","",IF(MOD($B65,5)=1,IF($J$30="!",0,1)*ROUND($F$28/'CC Tarifák'!$B$261*VLOOKUP(64-$E$9+1-$B65+1,'CC Tarifák'!$B$263:$AX$309,$E$9+$B65-1-18+2,0)*IF($E$47="Kizárás",1,1+$E$47),0),$M64))))</f>
        <v>160590</v>
      </c>
      <c r="N65" s="160"/>
      <c r="O65" s="160">
        <f ca="1">IF(OR(ISBLANK($F$28),ISBLANK($E$8)),0,IF($E$9&gt;55,0,IF($B65="","",IF(MOD($B65,10)=1,IF($L$30="!",0,1)*ROUND($F$28/'CC Tarifák'!$B$313*VLOOKUP(64-$E$9+1-$B65+1,'CC Tarifák'!$B$315:$AX$361,$E$9+$B65-1-18+2,0)*IF($E$47="Kizárás",1,1+$E$47),0),$O64))))</f>
        <v>130710</v>
      </c>
      <c r="P65" s="160"/>
      <c r="Q65" s="160">
        <f t="shared" ca="1" si="1"/>
        <v>139020</v>
      </c>
      <c r="R65" s="160"/>
      <c r="S65" s="159">
        <f ca="1">IF(OR(ISBLANK($F$28),ISBLANK($E$8)),0,IF($E$9&gt;64,0,IF($B65="","",IF($H$32="!",0,1)*ROUND($F$28/'CC Tarifák'!$B$417*VLOOKUP(64-$E$9+1-$B65+1,'CC Tarifák'!$B$419:$AX$465,$E$9+$B65-1-18+2,0)*IF($E$47="Kizárás",1,1+$E$47),0))))</f>
        <v>148200</v>
      </c>
      <c r="T65" s="159"/>
      <c r="U65" s="159">
        <f ca="1">IF(OR(ISBLANK($F$28),ISBLANK($E$8)),0,IF($E$9&gt;60,0,IF($B65="","",IF(MOD($B65,5)=1,IF($J$32="!",0,1)*ROUND($F$28/'CC Tarifák'!$B$469*VLOOKUP(64-$E$9+1-$B65+1,'CC Tarifák'!$B$471:$AX$517,$E$9+$B65-1-18+2,0)*IF($E$47="Kizárás",1,1+$E$47),0),$U64))))</f>
        <v>200580</v>
      </c>
      <c r="V65" s="159"/>
      <c r="W65" s="159">
        <f ca="1">IF(OR(ISBLANK($F$28),ISBLANK($E$8)),0,IF($E$9&gt;55,0,IF($B65="","",IF(MOD($B65,10)=1,IF($L$32="!",0,1)*ROUND($F$28/'CC Tarifák'!$B$521*VLOOKUP(64-$E$9+1-$B65+1,'CC Tarifák'!$B$523:$AX$569,$E$9+$B65-1-18+2,0)*IF($E$47="Kizárás",1,1+$E$47),0),$W64))))</f>
        <v>162930</v>
      </c>
      <c r="X65" s="159"/>
      <c r="Y65" s="159">
        <f t="shared" ca="1" si="2"/>
        <v>173070</v>
      </c>
      <c r="Z65" s="159"/>
    </row>
    <row r="66" spans="2:26" x14ac:dyDescent="0.2">
      <c r="B66" s="78">
        <f t="shared" ca="1" si="3"/>
        <v>7</v>
      </c>
      <c r="C66" s="159">
        <f ca="1">IF(OR(ISBLANK($F$28),ISBLANK($E$8)),0,IF($E$9&gt;64,0,IF($B66="","",IF($H$28="!",0,1)*ROUND($F$28/'CC Tarifák'!$B$1*VLOOKUP(64-$E$9+1-$B66+1,'CC Tarifák'!$B$3:$AX$49,$E$9+$B66-1-18+2,0)*IF($E$47="Kizárás",1,1+$E$47),0))))</f>
        <v>79740</v>
      </c>
      <c r="D66" s="159"/>
      <c r="E66" s="159">
        <f ca="1">IF(OR(ISBLANK($F$28),ISBLANK($E$8)),0,IF($E$9&gt;60,0,IF($B66="","",IF(MOD($B66,5)=1,IF($J$28="!",0,1)*ROUND($F$28/'CC Tarifák'!$B$53*VLOOKUP(64-$E$9+1-$B66+1,'CC Tarifák'!$B$55:$AX$101,$E$9+$B66-1-18+2,0)*IF($E$47="Kizárás",1,1+$E$47),0),$E65))))</f>
        <v>96240</v>
      </c>
      <c r="F66" s="159"/>
      <c r="G66" s="159">
        <f ca="1">IF(OR(ISBLANK($F$28),ISBLANK($E$8)),0,IF($E$9&gt;55,0,IF($B66="","",IF(MOD($B66,10)=1,IF($L$28="!",0,1)*ROUND($F$28/'CC Tarifák'!$B$105*VLOOKUP(64-$E$9+1-$B66+1,'CC Tarifák'!$B$107:$AX$153,$E$9+$B66-1-18+2,0)*IF($E$47="Kizárás",1,1+$E$47),0),$G65))))</f>
        <v>80700</v>
      </c>
      <c r="H66" s="159"/>
      <c r="I66" s="159">
        <f t="shared" ca="1" si="0"/>
        <v>85200</v>
      </c>
      <c r="J66" s="159"/>
      <c r="K66" s="160">
        <f ca="1">IF(OR(ISBLANK($F$28),ISBLANK($E$8)),0,IF($E$9&gt;64,0,IF($B66="","",IF($H$30="!",0,1)*ROUND($F$28/'CC Tarifák'!$B$209*VLOOKUP(64-$E$9+1-$B66+1,'CC Tarifák'!$B$211:$AX$257,$E$9+$B66-1-18+2,0)*IF($E$47="Kizárás",1,1+$E$47),0))))</f>
        <v>127620</v>
      </c>
      <c r="L66" s="160"/>
      <c r="M66" s="160">
        <f ca="1">IF(OR(ISBLANK($F$28),ISBLANK($E$8)),0,IF($E$9&gt;60,0,IF($B66="","",IF(MOD($B66,5)=1,IF($J$30="!",0,1)*ROUND($F$28/'CC Tarifák'!$B$261*VLOOKUP(64-$E$9+1-$B66+1,'CC Tarifák'!$B$263:$AX$309,$E$9+$B66-1-18+2,0)*IF($E$47="Kizárás",1,1+$E$47),0),$M65))))</f>
        <v>160590</v>
      </c>
      <c r="N66" s="160"/>
      <c r="O66" s="160">
        <f ca="1">IF(OR(ISBLANK($F$28),ISBLANK($E$8)),0,IF($E$9&gt;55,0,IF($B66="","",IF(MOD($B66,10)=1,IF($L$30="!",0,1)*ROUND($F$28/'CC Tarifák'!$B$313*VLOOKUP(64-$E$9+1-$B66+1,'CC Tarifák'!$B$315:$AX$361,$E$9+$B66-1-18+2,0)*IF($E$47="Kizárás",1,1+$E$47),0),$O65))))</f>
        <v>130710</v>
      </c>
      <c r="P66" s="160"/>
      <c r="Q66" s="160">
        <f t="shared" ca="1" si="1"/>
        <v>139020</v>
      </c>
      <c r="R66" s="160"/>
      <c r="S66" s="159">
        <f ca="1">IF(OR(ISBLANK($F$28),ISBLANK($E$8)),0,IF($E$9&gt;64,0,IF($B66="","",IF($H$32="!",0,1)*ROUND($F$28/'CC Tarifák'!$B$417*VLOOKUP(64-$E$9+1-$B66+1,'CC Tarifák'!$B$419:$AX$465,$E$9+$B66-1-18+2,0)*IF($E$47="Kizárás",1,1+$E$47),0))))</f>
        <v>159510</v>
      </c>
      <c r="T66" s="159"/>
      <c r="U66" s="159">
        <f ca="1">IF(OR(ISBLANK($F$28),ISBLANK($E$8)),0,IF($E$9&gt;60,0,IF($B66="","",IF(MOD($B66,5)=1,IF($J$32="!",0,1)*ROUND($F$28/'CC Tarifák'!$B$469*VLOOKUP(64-$E$9+1-$B66+1,'CC Tarifák'!$B$471:$AX$517,$E$9+$B66-1-18+2,0)*IF($E$47="Kizárás",1,1+$E$47),0),$U65))))</f>
        <v>200580</v>
      </c>
      <c r="V66" s="159"/>
      <c r="W66" s="159">
        <f ca="1">IF(OR(ISBLANK($F$28),ISBLANK($E$8)),0,IF($E$9&gt;55,0,IF($B66="","",IF(MOD($B66,10)=1,IF($L$32="!",0,1)*ROUND($F$28/'CC Tarifák'!$B$521*VLOOKUP(64-$E$9+1-$B66+1,'CC Tarifák'!$B$523:$AX$569,$E$9+$B66-1-18+2,0)*IF($E$47="Kizárás",1,1+$E$47),0),$W65))))</f>
        <v>162930</v>
      </c>
      <c r="X66" s="159"/>
      <c r="Y66" s="159">
        <f t="shared" ca="1" si="2"/>
        <v>173070</v>
      </c>
      <c r="Z66" s="159"/>
    </row>
    <row r="67" spans="2:26" x14ac:dyDescent="0.2">
      <c r="B67" s="78">
        <f t="shared" ca="1" si="3"/>
        <v>8</v>
      </c>
      <c r="C67" s="159">
        <f ca="1">IF(OR(ISBLANK($F$28),ISBLANK($E$8)),0,IF($E$9&gt;64,0,IF($B67="","",IF($H$28="!",0,1)*ROUND($F$28/'CC Tarifák'!$B$1*VLOOKUP(64-$E$9+1-$B67+1,'CC Tarifák'!$B$3:$AX$49,$E$9+$B67-1-18+2,0)*IF($E$47="Kizárás",1,1+$E$47),0))))</f>
        <v>85380</v>
      </c>
      <c r="D67" s="159"/>
      <c r="E67" s="159">
        <f ca="1">IF(OR(ISBLANK($F$28),ISBLANK($E$8)),0,IF($E$9&gt;60,0,IF($B67="","",IF(MOD($B67,5)=1,IF($J$28="!",0,1)*ROUND($F$28/'CC Tarifák'!$B$53*VLOOKUP(64-$E$9+1-$B67+1,'CC Tarifák'!$B$55:$AX$101,$E$9+$B67-1-18+2,0)*IF($E$47="Kizárás",1,1+$E$47),0),$E66))))</f>
        <v>96240</v>
      </c>
      <c r="F67" s="159"/>
      <c r="G67" s="159">
        <f ca="1">IF(OR(ISBLANK($F$28),ISBLANK($E$8)),0,IF($E$9&gt;55,0,IF($B67="","",IF(MOD($B67,10)=1,IF($L$28="!",0,1)*ROUND($F$28/'CC Tarifák'!$B$105*VLOOKUP(64-$E$9+1-$B67+1,'CC Tarifák'!$B$107:$AX$153,$E$9+$B67-1-18+2,0)*IF($E$47="Kizárás",1,1+$E$47),0),$G66))))</f>
        <v>80700</v>
      </c>
      <c r="H67" s="159"/>
      <c r="I67" s="159">
        <f t="shared" ca="1" si="0"/>
        <v>85200</v>
      </c>
      <c r="J67" s="159"/>
      <c r="K67" s="160">
        <f ca="1">IF(OR(ISBLANK($F$28),ISBLANK($E$8)),0,IF($E$9&gt;64,0,IF($B67="","",IF($H$30="!",0,1)*ROUND($F$28/'CC Tarifák'!$B$209*VLOOKUP(64-$E$9+1-$B67+1,'CC Tarifák'!$B$211:$AX$257,$E$9+$B67-1-18+2,0)*IF($E$47="Kizárás",1,1+$E$47),0))))</f>
        <v>136680</v>
      </c>
      <c r="L67" s="160"/>
      <c r="M67" s="160">
        <f ca="1">IF(OR(ISBLANK($F$28),ISBLANK($E$8)),0,IF($E$9&gt;60,0,IF($B67="","",IF(MOD($B67,5)=1,IF($J$30="!",0,1)*ROUND($F$28/'CC Tarifák'!$B$261*VLOOKUP(64-$E$9+1-$B67+1,'CC Tarifák'!$B$263:$AX$309,$E$9+$B67-1-18+2,0)*IF($E$47="Kizárás",1,1+$E$47),0),$M66))))</f>
        <v>160590</v>
      </c>
      <c r="N67" s="160"/>
      <c r="O67" s="160">
        <f ca="1">IF(OR(ISBLANK($F$28),ISBLANK($E$8)),0,IF($E$9&gt;55,0,IF($B67="","",IF(MOD($B67,10)=1,IF($L$30="!",0,1)*ROUND($F$28/'CC Tarifák'!$B$313*VLOOKUP(64-$E$9+1-$B67+1,'CC Tarifák'!$B$315:$AX$361,$E$9+$B67-1-18+2,0)*IF($E$47="Kizárás",1,1+$E$47),0),$O66))))</f>
        <v>130710</v>
      </c>
      <c r="P67" s="160"/>
      <c r="Q67" s="160">
        <f t="shared" ca="1" si="1"/>
        <v>139020</v>
      </c>
      <c r="R67" s="160"/>
      <c r="S67" s="159">
        <f ca="1">IF(OR(ISBLANK($F$28),ISBLANK($E$8)),0,IF($E$9&gt;64,0,IF($B67="","",IF($H$32="!",0,1)*ROUND($F$28/'CC Tarifák'!$B$417*VLOOKUP(64-$E$9+1-$B67+1,'CC Tarifák'!$B$419:$AX$465,$E$9+$B67-1-18+2,0)*IF($E$47="Kizárás",1,1+$E$47),0))))</f>
        <v>170850</v>
      </c>
      <c r="T67" s="159"/>
      <c r="U67" s="159">
        <f ca="1">IF(OR(ISBLANK($F$28),ISBLANK($E$8)),0,IF($E$9&gt;60,0,IF($B67="","",IF(MOD($B67,5)=1,IF($J$32="!",0,1)*ROUND($F$28/'CC Tarifák'!$B$469*VLOOKUP(64-$E$9+1-$B67+1,'CC Tarifák'!$B$471:$AX$517,$E$9+$B67-1-18+2,0)*IF($E$47="Kizárás",1,1+$E$47),0),$U66))))</f>
        <v>200580</v>
      </c>
      <c r="V67" s="159"/>
      <c r="W67" s="159">
        <f ca="1">IF(OR(ISBLANK($F$28),ISBLANK($E$8)),0,IF($E$9&gt;55,0,IF($B67="","",IF(MOD($B67,10)=1,IF($L$32="!",0,1)*ROUND($F$28/'CC Tarifák'!$B$521*VLOOKUP(64-$E$9+1-$B67+1,'CC Tarifák'!$B$523:$AX$569,$E$9+$B67-1-18+2,0)*IF($E$47="Kizárás",1,1+$E$47),0),$W66))))</f>
        <v>162930</v>
      </c>
      <c r="X67" s="159"/>
      <c r="Y67" s="159">
        <f t="shared" ca="1" si="2"/>
        <v>173070</v>
      </c>
      <c r="Z67" s="159"/>
    </row>
    <row r="68" spans="2:26" x14ac:dyDescent="0.2">
      <c r="B68" s="78">
        <f t="shared" ca="1" si="3"/>
        <v>9</v>
      </c>
      <c r="C68" s="159">
        <f ca="1">IF(OR(ISBLANK($F$28),ISBLANK($E$8)),0,IF($E$9&gt;64,0,IF($B68="","",IF($H$28="!",0,1)*ROUND($F$28/'CC Tarifák'!$B$1*VLOOKUP(64-$E$9+1-$B68+1,'CC Tarifák'!$B$3:$AX$49,$E$9+$B68-1-18+2,0)*IF($E$47="Kizárás",1,1+$E$47),0))))</f>
        <v>90990</v>
      </c>
      <c r="D68" s="159"/>
      <c r="E68" s="159">
        <f ca="1">IF(OR(ISBLANK($F$28),ISBLANK($E$8)),0,IF($E$9&gt;60,0,IF($B68="","",IF(MOD($B68,5)=1,IF($J$28="!",0,1)*ROUND($F$28/'CC Tarifák'!$B$53*VLOOKUP(64-$E$9+1-$B68+1,'CC Tarifák'!$B$55:$AX$101,$E$9+$B68-1-18+2,0)*IF($E$47="Kizárás",1,1+$E$47),0),$E67))))</f>
        <v>96240</v>
      </c>
      <c r="F68" s="159"/>
      <c r="G68" s="159">
        <f ca="1">IF(OR(ISBLANK($F$28),ISBLANK($E$8)),0,IF($E$9&gt;55,0,IF($B68="","",IF(MOD($B68,10)=1,IF($L$28="!",0,1)*ROUND($F$28/'CC Tarifák'!$B$105*VLOOKUP(64-$E$9+1-$B68+1,'CC Tarifák'!$B$107:$AX$153,$E$9+$B68-1-18+2,0)*IF($E$47="Kizárás",1,1+$E$47),0),$G67))))</f>
        <v>80700</v>
      </c>
      <c r="H68" s="159"/>
      <c r="I68" s="159">
        <f t="shared" ca="1" si="0"/>
        <v>85200</v>
      </c>
      <c r="J68" s="159"/>
      <c r="K68" s="160">
        <f ca="1">IF(OR(ISBLANK($F$28),ISBLANK($E$8)),0,IF($E$9&gt;64,0,IF($B68="","",IF($H$30="!",0,1)*ROUND($F$28/'CC Tarifák'!$B$209*VLOOKUP(64-$E$9+1-$B68+1,'CC Tarifák'!$B$211:$AX$257,$E$9+$B68-1-18+2,0)*IF($E$47="Kizárás",1,1+$E$47),0))))</f>
        <v>145710</v>
      </c>
      <c r="L68" s="160"/>
      <c r="M68" s="160">
        <f ca="1">IF(OR(ISBLANK($F$28),ISBLANK($E$8)),0,IF($E$9&gt;60,0,IF($B68="","",IF(MOD($B68,5)=1,IF($J$30="!",0,1)*ROUND($F$28/'CC Tarifák'!$B$261*VLOOKUP(64-$E$9+1-$B68+1,'CC Tarifák'!$B$263:$AX$309,$E$9+$B68-1-18+2,0)*IF($E$47="Kizárás",1,1+$E$47),0),$M67))))</f>
        <v>160590</v>
      </c>
      <c r="N68" s="160"/>
      <c r="O68" s="160">
        <f ca="1">IF(OR(ISBLANK($F$28),ISBLANK($E$8)),0,IF($E$9&gt;55,0,IF($B68="","",IF(MOD($B68,10)=1,IF($L$30="!",0,1)*ROUND($F$28/'CC Tarifák'!$B$313*VLOOKUP(64-$E$9+1-$B68+1,'CC Tarifák'!$B$315:$AX$361,$E$9+$B68-1-18+2,0)*IF($E$47="Kizárás",1,1+$E$47),0),$O67))))</f>
        <v>130710</v>
      </c>
      <c r="P68" s="160"/>
      <c r="Q68" s="160">
        <f t="shared" ca="1" si="1"/>
        <v>139020</v>
      </c>
      <c r="R68" s="160"/>
      <c r="S68" s="159">
        <f ca="1">IF(OR(ISBLANK($F$28),ISBLANK($E$8)),0,IF($E$9&gt;64,0,IF($B68="","",IF($H$32="!",0,1)*ROUND($F$28/'CC Tarifák'!$B$417*VLOOKUP(64-$E$9+1-$B68+1,'CC Tarifák'!$B$419:$AX$465,$E$9+$B68-1-18+2,0)*IF($E$47="Kizárás",1,1+$E$47),0))))</f>
        <v>182160</v>
      </c>
      <c r="T68" s="159"/>
      <c r="U68" s="159">
        <f ca="1">IF(OR(ISBLANK($F$28),ISBLANK($E$8)),0,IF($E$9&gt;60,0,IF($B68="","",IF(MOD($B68,5)=1,IF($J$32="!",0,1)*ROUND($F$28/'CC Tarifák'!$B$469*VLOOKUP(64-$E$9+1-$B68+1,'CC Tarifák'!$B$471:$AX$517,$E$9+$B68-1-18+2,0)*IF($E$47="Kizárás",1,1+$E$47),0),$U67))))</f>
        <v>200580</v>
      </c>
      <c r="V68" s="159"/>
      <c r="W68" s="159">
        <f ca="1">IF(OR(ISBLANK($F$28),ISBLANK($E$8)),0,IF($E$9&gt;55,0,IF($B68="","",IF(MOD($B68,10)=1,IF($L$32="!",0,1)*ROUND($F$28/'CC Tarifák'!$B$521*VLOOKUP(64-$E$9+1-$B68+1,'CC Tarifák'!$B$523:$AX$569,$E$9+$B68-1-18+2,0)*IF($E$47="Kizárás",1,1+$E$47),0),$W67))))</f>
        <v>162930</v>
      </c>
      <c r="X68" s="159"/>
      <c r="Y68" s="159">
        <f t="shared" ca="1" si="2"/>
        <v>173070</v>
      </c>
      <c r="Z68" s="159"/>
    </row>
    <row r="69" spans="2:26" x14ac:dyDescent="0.2">
      <c r="B69" s="78">
        <f t="shared" ca="1" si="3"/>
        <v>10</v>
      </c>
      <c r="C69" s="159">
        <f ca="1">IF(OR(ISBLANK($F$28),ISBLANK($E$8)),0,IF($E$9&gt;64,0,IF($B69="","",IF($H$28="!",0,1)*ROUND($F$28/'CC Tarifák'!$B$1*VLOOKUP(64-$E$9+1-$B69+1,'CC Tarifák'!$B$3:$AX$49,$E$9+$B69-1-18+2,0)*IF($E$47="Kizárás",1,1+$E$47),0))))</f>
        <v>96630</v>
      </c>
      <c r="D69" s="159"/>
      <c r="E69" s="159">
        <f ca="1">IF(OR(ISBLANK($F$28),ISBLANK($E$8)),0,IF($E$9&gt;60,0,IF($B69="","",IF(MOD($B69,5)=1,IF($J$28="!",0,1)*ROUND($F$28/'CC Tarifák'!$B$53*VLOOKUP(64-$E$9+1-$B69+1,'CC Tarifák'!$B$55:$AX$101,$E$9+$B69-1-18+2,0)*IF($E$47="Kizárás",1,1+$E$47),0),$E68))))</f>
        <v>96240</v>
      </c>
      <c r="F69" s="159"/>
      <c r="G69" s="159">
        <f ca="1">IF(OR(ISBLANK($F$28),ISBLANK($E$8)),0,IF($E$9&gt;55,0,IF($B69="","",IF(MOD($B69,10)=1,IF($L$28="!",0,1)*ROUND($F$28/'CC Tarifák'!$B$105*VLOOKUP(64-$E$9+1-$B69+1,'CC Tarifák'!$B$107:$AX$153,$E$9+$B69-1-18+2,0)*IF($E$47="Kizárás",1,1+$E$47),0),$G68))))</f>
        <v>80700</v>
      </c>
      <c r="H69" s="159"/>
      <c r="I69" s="159">
        <f t="shared" ca="1" si="0"/>
        <v>85200</v>
      </c>
      <c r="J69" s="159"/>
      <c r="K69" s="160">
        <f ca="1">IF(OR(ISBLANK($F$28),ISBLANK($E$8)),0,IF($E$9&gt;64,0,IF($B69="","",IF($H$30="!",0,1)*ROUND($F$28/'CC Tarifák'!$B$209*VLOOKUP(64-$E$9+1-$B69+1,'CC Tarifák'!$B$211:$AX$257,$E$9+$B69-1-18+2,0)*IF($E$47="Kizárás",1,1+$E$47),0))))</f>
        <v>165930</v>
      </c>
      <c r="L69" s="160"/>
      <c r="M69" s="160">
        <f ca="1">IF(OR(ISBLANK($F$28),ISBLANK($E$8)),0,IF($E$9&gt;60,0,IF($B69="","",IF(MOD($B69,5)=1,IF($J$30="!",0,1)*ROUND($F$28/'CC Tarifák'!$B$261*VLOOKUP(64-$E$9+1-$B69+1,'CC Tarifák'!$B$263:$AX$309,$E$9+$B69-1-18+2,0)*IF($E$47="Kizárás",1,1+$E$47),0),$M68))))</f>
        <v>160590</v>
      </c>
      <c r="N69" s="160"/>
      <c r="O69" s="160">
        <f ca="1">IF(OR(ISBLANK($F$28),ISBLANK($E$8)),0,IF($E$9&gt;55,0,IF($B69="","",IF(MOD($B69,10)=1,IF($L$30="!",0,1)*ROUND($F$28/'CC Tarifák'!$B$313*VLOOKUP(64-$E$9+1-$B69+1,'CC Tarifák'!$B$315:$AX$361,$E$9+$B69-1-18+2,0)*IF($E$47="Kizárás",1,1+$E$47),0),$O68))))</f>
        <v>130710</v>
      </c>
      <c r="P69" s="160"/>
      <c r="Q69" s="160">
        <f t="shared" ca="1" si="1"/>
        <v>139020</v>
      </c>
      <c r="R69" s="160"/>
      <c r="S69" s="159">
        <f ca="1">IF(OR(ISBLANK($F$28),ISBLANK($E$8)),0,IF($E$9&gt;64,0,IF($B69="","",IF($H$32="!",0,1)*ROUND($F$28/'CC Tarifák'!$B$417*VLOOKUP(64-$E$9+1-$B69+1,'CC Tarifák'!$B$419:$AX$465,$E$9+$B69-1-18+2,0)*IF($E$47="Kizárás",1,1+$E$47),0))))</f>
        <v>207390</v>
      </c>
      <c r="T69" s="159"/>
      <c r="U69" s="159">
        <f ca="1">IF(OR(ISBLANK($F$28),ISBLANK($E$8)),0,IF($E$9&gt;60,0,IF($B69="","",IF(MOD($B69,5)=1,IF($J$32="!",0,1)*ROUND($F$28/'CC Tarifák'!$B$469*VLOOKUP(64-$E$9+1-$B69+1,'CC Tarifák'!$B$471:$AX$517,$E$9+$B69-1-18+2,0)*IF($E$47="Kizárás",1,1+$E$47),0),$U68))))</f>
        <v>200580</v>
      </c>
      <c r="V69" s="159"/>
      <c r="W69" s="159">
        <f ca="1">IF(OR(ISBLANK($F$28),ISBLANK($E$8)),0,IF($E$9&gt;55,0,IF($B69="","",IF(MOD($B69,10)=1,IF($L$32="!",0,1)*ROUND($F$28/'CC Tarifák'!$B$521*VLOOKUP(64-$E$9+1-$B69+1,'CC Tarifák'!$B$523:$AX$569,$E$9+$B69-1-18+2,0)*IF($E$47="Kizárás",1,1+$E$47),0),$W68))))</f>
        <v>162930</v>
      </c>
      <c r="X69" s="159"/>
      <c r="Y69" s="159">
        <f t="shared" ca="1" si="2"/>
        <v>173070</v>
      </c>
      <c r="Z69" s="159"/>
    </row>
    <row r="70" spans="2:26" x14ac:dyDescent="0.2">
      <c r="B70" s="78">
        <f t="shared" ca="1" si="3"/>
        <v>11</v>
      </c>
      <c r="C70" s="159">
        <f ca="1">IF(OR(ISBLANK($F$28),ISBLANK($E$8)),0,IF($E$9&gt;64,0,IF($B70="","",IF($H$28="!",0,1)*ROUND($F$28/'CC Tarifák'!$B$1*VLOOKUP(64-$E$9+1-$B70+1,'CC Tarifák'!$B$3:$AX$49,$E$9+$B70-1-18+2,0)*IF($E$47="Kizárás",1,1+$E$47),0))))</f>
        <v>102810</v>
      </c>
      <c r="D70" s="159"/>
      <c r="E70" s="159">
        <f ca="1">IF(OR(ISBLANK($F$28),ISBLANK($E$8)),0,IF($E$9&gt;60,0,IF($B70="","",IF(MOD($B70,5)=1,IF($J$28="!",0,1)*ROUND($F$28/'CC Tarifák'!$B$53*VLOOKUP(64-$E$9+1-$B70+1,'CC Tarifák'!$B$55:$AX$101,$E$9+$B70-1-18+2,0)*IF($E$47="Kizárás",1,1+$E$47),0),$E69))))</f>
        <v>120510</v>
      </c>
      <c r="F70" s="159"/>
      <c r="G70" s="159">
        <f ca="1">IF(OR(ISBLANK($F$28),ISBLANK($E$8)),0,IF($E$9&gt;55,0,IF($B70="","",IF(MOD($B70,10)=1,IF($L$28="!",0,1)*ROUND($F$28/'CC Tarifák'!$B$105*VLOOKUP(64-$E$9+1-$B70+1,'CC Tarifák'!$B$107:$AX$153,$E$9+$B70-1-18+2,0)*IF($E$47="Kizárás",1,1+$E$47),0),$G69))))</f>
        <v>128370</v>
      </c>
      <c r="H70" s="159"/>
      <c r="I70" s="159">
        <f t="shared" ca="1" si="0"/>
        <v>85200</v>
      </c>
      <c r="J70" s="159"/>
      <c r="K70" s="160">
        <f ca="1">IF(OR(ISBLANK($F$28),ISBLANK($E$8)),0,IF($E$9&gt;64,0,IF($B70="","",IF($H$30="!",0,1)*ROUND($F$28/'CC Tarifák'!$B$209*VLOOKUP(64-$E$9+1-$B70+1,'CC Tarifák'!$B$211:$AX$257,$E$9+$B70-1-18+2,0)*IF($E$47="Kizárás",1,1+$E$47),0))))</f>
        <v>176520</v>
      </c>
      <c r="L70" s="160"/>
      <c r="M70" s="160">
        <f ca="1">IF(OR(ISBLANK($F$28),ISBLANK($E$8)),0,IF($E$9&gt;60,0,IF($B70="","",IF(MOD($B70,5)=1,IF($J$30="!",0,1)*ROUND($F$28/'CC Tarifák'!$B$261*VLOOKUP(64-$E$9+1-$B70+1,'CC Tarifák'!$B$263:$AX$309,$E$9+$B70-1-18+2,0)*IF($E$47="Kizárás",1,1+$E$47),0),$M69))))</f>
        <v>212310</v>
      </c>
      <c r="N70" s="160"/>
      <c r="O70" s="160">
        <f ca="1">IF(OR(ISBLANK($F$28),ISBLANK($E$8)),0,IF($E$9&gt;55,0,IF($B70="","",IF(MOD($B70,10)=1,IF($L$30="!",0,1)*ROUND($F$28/'CC Tarifák'!$B$313*VLOOKUP(64-$E$9+1-$B70+1,'CC Tarifák'!$B$315:$AX$361,$E$9+$B70-1-18+2,0)*IF($E$47="Kizárás",1,1+$E$47),0),$O69))))</f>
        <v>221340</v>
      </c>
      <c r="P70" s="160"/>
      <c r="Q70" s="160">
        <f t="shared" ca="1" si="1"/>
        <v>139020</v>
      </c>
      <c r="R70" s="160"/>
      <c r="S70" s="159">
        <f ca="1">IF(OR(ISBLANK($F$28),ISBLANK($E$8)),0,IF($E$9&gt;64,0,IF($B70="","",IF($H$32="!",0,1)*ROUND($F$28/'CC Tarifák'!$B$417*VLOOKUP(64-$E$9+1-$B70+1,'CC Tarifák'!$B$419:$AX$465,$E$9+$B70-1-18+2,0)*IF($E$47="Kizárás",1,1+$E$47),0))))</f>
        <v>220650</v>
      </c>
      <c r="T70" s="159"/>
      <c r="U70" s="159">
        <f ca="1">IF(OR(ISBLANK($F$28),ISBLANK($E$8)),0,IF($E$9&gt;60,0,IF($B70="","",IF(MOD($B70,5)=1,IF($J$32="!",0,1)*ROUND($F$28/'CC Tarifák'!$B$469*VLOOKUP(64-$E$9+1-$B70+1,'CC Tarifák'!$B$471:$AX$517,$E$9+$B70-1-18+2,0)*IF($E$47="Kizárás",1,1+$E$47),0),$U69))))</f>
        <v>265140</v>
      </c>
      <c r="V70" s="159"/>
      <c r="W70" s="159">
        <f ca="1">IF(OR(ISBLANK($F$28),ISBLANK($E$8)),0,IF($E$9&gt;55,0,IF($B70="","",IF(MOD($B70,10)=1,IF($L$32="!",0,1)*ROUND($F$28/'CC Tarifák'!$B$521*VLOOKUP(64-$E$9+1-$B70+1,'CC Tarifák'!$B$523:$AX$569,$E$9+$B70-1-18+2,0)*IF($E$47="Kizárás",1,1+$E$47),0),$W69))))</f>
        <v>274020</v>
      </c>
      <c r="X70" s="159"/>
      <c r="Y70" s="159">
        <f t="shared" ca="1" si="2"/>
        <v>173070</v>
      </c>
      <c r="Z70" s="159"/>
    </row>
    <row r="71" spans="2:26" x14ac:dyDescent="0.2">
      <c r="B71" s="78">
        <f t="shared" ca="1" si="3"/>
        <v>12</v>
      </c>
      <c r="C71" s="159">
        <f ca="1">IF(OR(ISBLANK($F$28),ISBLANK($E$8)),0,IF($E$9&gt;64,0,IF($B71="","",IF($H$28="!",0,1)*ROUND($F$28/'CC Tarifák'!$B$1*VLOOKUP(64-$E$9+1-$B71+1,'CC Tarifák'!$B$3:$AX$49,$E$9+$B71-1-18+2,0)*IF($E$47="Kizárás",1,1+$E$47),0))))</f>
        <v>109020</v>
      </c>
      <c r="D71" s="159"/>
      <c r="E71" s="159">
        <f ca="1">IF(OR(ISBLANK($F$28),ISBLANK($E$8)),0,IF($E$9&gt;60,0,IF($B71="","",IF(MOD($B71,5)=1,IF($J$28="!",0,1)*ROUND($F$28/'CC Tarifák'!$B$53*VLOOKUP(64-$E$9+1-$B71+1,'CC Tarifák'!$B$55:$AX$101,$E$9+$B71-1-18+2,0)*IF($E$47="Kizárás",1,1+$E$47),0),$E70))))</f>
        <v>120510</v>
      </c>
      <c r="F71" s="159"/>
      <c r="G71" s="159">
        <f ca="1">IF(OR(ISBLANK($F$28),ISBLANK($E$8)),0,IF($E$9&gt;55,0,IF($B71="","",IF(MOD($B71,10)=1,IF($L$28="!",0,1)*ROUND($F$28/'CC Tarifák'!$B$105*VLOOKUP(64-$E$9+1-$B71+1,'CC Tarifák'!$B$107:$AX$153,$E$9+$B71-1-18+2,0)*IF($E$47="Kizárás",1,1+$E$47),0),$G70))))</f>
        <v>128370</v>
      </c>
      <c r="H71" s="159"/>
      <c r="I71" s="159">
        <f t="shared" ca="1" si="0"/>
        <v>85200</v>
      </c>
      <c r="J71" s="159"/>
      <c r="K71" s="160">
        <f ca="1">IF(OR(ISBLANK($F$28),ISBLANK($E$8)),0,IF($E$9&gt;64,0,IF($B71="","",IF($H$30="!",0,1)*ROUND($F$28/'CC Tarifák'!$B$209*VLOOKUP(64-$E$9+1-$B71+1,'CC Tarifák'!$B$211:$AX$257,$E$9+$B71-1-18+2,0)*IF($E$47="Kizárás",1,1+$E$47),0))))</f>
        <v>187110</v>
      </c>
      <c r="L71" s="160"/>
      <c r="M71" s="160">
        <f ca="1">IF(OR(ISBLANK($F$28),ISBLANK($E$8)),0,IF($E$9&gt;60,0,IF($B71="","",IF(MOD($B71,5)=1,IF($J$30="!",0,1)*ROUND($F$28/'CC Tarifák'!$B$261*VLOOKUP(64-$E$9+1-$B71+1,'CC Tarifák'!$B$263:$AX$309,$E$9+$B71-1-18+2,0)*IF($E$47="Kizárás",1,1+$E$47),0),$M70))))</f>
        <v>212310</v>
      </c>
      <c r="N71" s="160"/>
      <c r="O71" s="160">
        <f ca="1">IF(OR(ISBLANK($F$28),ISBLANK($E$8)),0,IF($E$9&gt;55,0,IF($B71="","",IF(MOD($B71,10)=1,IF($L$30="!",0,1)*ROUND($F$28/'CC Tarifák'!$B$313*VLOOKUP(64-$E$9+1-$B71+1,'CC Tarifák'!$B$315:$AX$361,$E$9+$B71-1-18+2,0)*IF($E$47="Kizárás",1,1+$E$47),0),$O70))))</f>
        <v>221340</v>
      </c>
      <c r="P71" s="160"/>
      <c r="Q71" s="160">
        <f t="shared" ca="1" si="1"/>
        <v>139020</v>
      </c>
      <c r="R71" s="160"/>
      <c r="S71" s="159">
        <f ca="1">IF(OR(ISBLANK($F$28),ISBLANK($E$8)),0,IF($E$9&gt;64,0,IF($B71="","",IF($H$32="!",0,1)*ROUND($F$28/'CC Tarifák'!$B$417*VLOOKUP(64-$E$9+1-$B71+1,'CC Tarifák'!$B$419:$AX$465,$E$9+$B71-1-18+2,0)*IF($E$47="Kizárás",1,1+$E$47),0))))</f>
        <v>233880</v>
      </c>
      <c r="T71" s="159"/>
      <c r="U71" s="159">
        <f ca="1">IF(OR(ISBLANK($F$28),ISBLANK($E$8)),0,IF($E$9&gt;60,0,IF($B71="","",IF(MOD($B71,5)=1,IF($J$32="!",0,1)*ROUND($F$28/'CC Tarifák'!$B$469*VLOOKUP(64-$E$9+1-$B71+1,'CC Tarifák'!$B$471:$AX$517,$E$9+$B71-1-18+2,0)*IF($E$47="Kizárás",1,1+$E$47),0),$U70))))</f>
        <v>265140</v>
      </c>
      <c r="V71" s="159"/>
      <c r="W71" s="159">
        <f ca="1">IF(OR(ISBLANK($F$28),ISBLANK($E$8)),0,IF($E$9&gt;55,0,IF($B71="","",IF(MOD($B71,10)=1,IF($L$32="!",0,1)*ROUND($F$28/'CC Tarifák'!$B$521*VLOOKUP(64-$E$9+1-$B71+1,'CC Tarifák'!$B$523:$AX$569,$E$9+$B71-1-18+2,0)*IF($E$47="Kizárás",1,1+$E$47),0),$W70))))</f>
        <v>274020</v>
      </c>
      <c r="X71" s="159"/>
      <c r="Y71" s="159">
        <f t="shared" ca="1" si="2"/>
        <v>173070</v>
      </c>
      <c r="Z71" s="159"/>
    </row>
    <row r="72" spans="2:26" x14ac:dyDescent="0.2">
      <c r="B72" s="78">
        <f t="shared" ca="1" si="3"/>
        <v>13</v>
      </c>
      <c r="C72" s="159">
        <f ca="1">IF(OR(ISBLANK($F$28),ISBLANK($E$8)),0,IF($E$9&gt;64,0,IF($B72="","",IF($H$28="!",0,1)*ROUND($F$28/'CC Tarifák'!$B$1*VLOOKUP(64-$E$9+1-$B72+1,'CC Tarifák'!$B$3:$AX$49,$E$9+$B72-1-18+2,0)*IF($E$47="Kizárás",1,1+$E$47),0))))</f>
        <v>115230</v>
      </c>
      <c r="D72" s="159"/>
      <c r="E72" s="159">
        <f ca="1">IF(OR(ISBLANK($F$28),ISBLANK($E$8)),0,IF($E$9&gt;60,0,IF($B72="","",IF(MOD($B72,5)=1,IF($J$28="!",0,1)*ROUND($F$28/'CC Tarifák'!$B$53*VLOOKUP(64-$E$9+1-$B72+1,'CC Tarifák'!$B$55:$AX$101,$E$9+$B72-1-18+2,0)*IF($E$47="Kizárás",1,1+$E$47),0),$E71))))</f>
        <v>120510</v>
      </c>
      <c r="F72" s="159"/>
      <c r="G72" s="159">
        <f ca="1">IF(OR(ISBLANK($F$28),ISBLANK($E$8)),0,IF($E$9&gt;55,0,IF($B72="","",IF(MOD($B72,10)=1,IF($L$28="!",0,1)*ROUND($F$28/'CC Tarifák'!$B$105*VLOOKUP(64-$E$9+1-$B72+1,'CC Tarifák'!$B$107:$AX$153,$E$9+$B72-1-18+2,0)*IF($E$47="Kizárás",1,1+$E$47),0),$G71))))</f>
        <v>128370</v>
      </c>
      <c r="H72" s="159"/>
      <c r="I72" s="159">
        <f t="shared" ca="1" si="0"/>
        <v>85200</v>
      </c>
      <c r="J72" s="159"/>
      <c r="K72" s="160">
        <f ca="1">IF(OR(ISBLANK($F$28),ISBLANK($E$8)),0,IF($E$9&gt;64,0,IF($B72="","",IF($H$30="!",0,1)*ROUND($F$28/'CC Tarifák'!$B$209*VLOOKUP(64-$E$9+1-$B72+1,'CC Tarifák'!$B$211:$AX$257,$E$9+$B72-1-18+2,0)*IF($E$47="Kizárás",1,1+$E$47),0))))</f>
        <v>197700</v>
      </c>
      <c r="L72" s="160"/>
      <c r="M72" s="160">
        <f ca="1">IF(OR(ISBLANK($F$28),ISBLANK($E$8)),0,IF($E$9&gt;60,0,IF($B72="","",IF(MOD($B72,5)=1,IF($J$30="!",0,1)*ROUND($F$28/'CC Tarifák'!$B$261*VLOOKUP(64-$E$9+1-$B72+1,'CC Tarifák'!$B$263:$AX$309,$E$9+$B72-1-18+2,0)*IF($E$47="Kizárás",1,1+$E$47),0),$M71))))</f>
        <v>212310</v>
      </c>
      <c r="N72" s="160"/>
      <c r="O72" s="160">
        <f ca="1">IF(OR(ISBLANK($F$28),ISBLANK($E$8)),0,IF($E$9&gt;55,0,IF($B72="","",IF(MOD($B72,10)=1,IF($L$30="!",0,1)*ROUND($F$28/'CC Tarifák'!$B$313*VLOOKUP(64-$E$9+1-$B72+1,'CC Tarifák'!$B$315:$AX$361,$E$9+$B72-1-18+2,0)*IF($E$47="Kizárás",1,1+$E$47),0),$O71))))</f>
        <v>221340</v>
      </c>
      <c r="P72" s="160"/>
      <c r="Q72" s="160">
        <f t="shared" ca="1" si="1"/>
        <v>139020</v>
      </c>
      <c r="R72" s="160"/>
      <c r="S72" s="159">
        <f ca="1">IF(OR(ISBLANK($F$28),ISBLANK($E$8)),0,IF($E$9&gt;64,0,IF($B72="","",IF($H$32="!",0,1)*ROUND($F$28/'CC Tarifák'!$B$417*VLOOKUP(64-$E$9+1-$B72+1,'CC Tarifák'!$B$419:$AX$465,$E$9+$B72-1-18+2,0)*IF($E$47="Kizárás",1,1+$E$47),0))))</f>
        <v>247110</v>
      </c>
      <c r="T72" s="159"/>
      <c r="U72" s="159">
        <f ca="1">IF(OR(ISBLANK($F$28),ISBLANK($E$8)),0,IF($E$9&gt;60,0,IF($B72="","",IF(MOD($B72,5)=1,IF($J$32="!",0,1)*ROUND($F$28/'CC Tarifák'!$B$469*VLOOKUP(64-$E$9+1-$B72+1,'CC Tarifák'!$B$471:$AX$517,$E$9+$B72-1-18+2,0)*IF($E$47="Kizárás",1,1+$E$47),0),$U71))))</f>
        <v>265140</v>
      </c>
      <c r="V72" s="159"/>
      <c r="W72" s="159">
        <f ca="1">IF(OR(ISBLANK($F$28),ISBLANK($E$8)),0,IF($E$9&gt;55,0,IF($B72="","",IF(MOD($B72,10)=1,IF($L$32="!",0,1)*ROUND($F$28/'CC Tarifák'!$B$521*VLOOKUP(64-$E$9+1-$B72+1,'CC Tarifák'!$B$523:$AX$569,$E$9+$B72-1-18+2,0)*IF($E$47="Kizárás",1,1+$E$47),0),$W71))))</f>
        <v>274020</v>
      </c>
      <c r="X72" s="159"/>
      <c r="Y72" s="159">
        <f t="shared" ca="1" si="2"/>
        <v>173070</v>
      </c>
      <c r="Z72" s="159"/>
    </row>
    <row r="73" spans="2:26" x14ac:dyDescent="0.2">
      <c r="B73" s="78" t="str">
        <f t="shared" ca="1" si="3"/>
        <v/>
      </c>
      <c r="C73" s="159" t="str">
        <f ca="1">IF(OR(ISBLANK($F$28),ISBLANK($E$8)),0,IF($E$9&gt;64,0,IF($B73="","",IF($H$28="!",0,1)*ROUND($F$28/'CC Tarifák'!$B$1*VLOOKUP(64-$E$9+1-$B73+1,'CC Tarifák'!$B$3:$AX$49,$E$9+$B73-1-18+2,0)*IF($E$47="Kizárás",1,1+$E$47),0))))</f>
        <v/>
      </c>
      <c r="D73" s="159"/>
      <c r="E73" s="159" t="str">
        <f ca="1">IF(OR(ISBLANK($F$28),ISBLANK($E$8)),0,IF($E$9&gt;60,0,IF($B73="","",IF(MOD($B73,5)=1,IF($J$28="!",0,1)*ROUND($F$28/'CC Tarifák'!$B$53*VLOOKUP(64-$E$9+1-$B73+1,'CC Tarifák'!$B$55:$AX$101,$E$9+$B73-1-18+2,0)*IF($E$47="Kizárás",1,1+$E$47),0),$E72))))</f>
        <v/>
      </c>
      <c r="F73" s="159"/>
      <c r="G73" s="159" t="str">
        <f ca="1">IF(OR(ISBLANK($F$28),ISBLANK($E$8)),0,IF($E$9&gt;55,0,IF($B73="","",IF(MOD($B73,10)=1,IF($L$28="!",0,1)*ROUND($F$28/'CC Tarifák'!$B$105*VLOOKUP(64-$E$9+1-$B73+1,'CC Tarifák'!$B$107:$AX$153,$E$9+$B73-1-18+2,0)*IF($E$47="Kizárás",1,1+$E$47),0),$G72))))</f>
        <v/>
      </c>
      <c r="H73" s="159"/>
      <c r="I73" s="159" t="str">
        <f t="shared" ca="1" si="0"/>
        <v/>
      </c>
      <c r="J73" s="159"/>
      <c r="K73" s="160" t="str">
        <f ca="1">IF(OR(ISBLANK($F$28),ISBLANK($E$8)),0,IF($E$9&gt;64,0,IF($B73="","",IF($H$30="!",0,1)*ROUND($F$28/'CC Tarifák'!$B$209*VLOOKUP(64-$E$9+1-$B73+1,'CC Tarifák'!$B$211:$AX$257,$E$9+$B73-1-18+2,0)*IF($E$47="Kizárás",1,1+$E$47),0))))</f>
        <v/>
      </c>
      <c r="L73" s="160"/>
      <c r="M73" s="160" t="str">
        <f ca="1">IF(OR(ISBLANK($F$28),ISBLANK($E$8)),0,IF($E$9&gt;60,0,IF($B73="","",IF(MOD($B73,5)=1,IF($J$30="!",0,1)*ROUND($F$28/'CC Tarifák'!$B$261*VLOOKUP(64-$E$9+1-$B73+1,'CC Tarifák'!$B$263:$AX$309,$E$9+$B73-1-18+2,0)*IF($E$47="Kizárás",1,1+$E$47),0),$M72))))</f>
        <v/>
      </c>
      <c r="N73" s="160"/>
      <c r="O73" s="160" t="str">
        <f ca="1">IF(OR(ISBLANK($F$28),ISBLANK($E$8)),0,IF($E$9&gt;55,0,IF($B73="","",IF(MOD($B73,10)=1,IF($L$30="!",0,1)*ROUND($F$28/'CC Tarifák'!$B$313*VLOOKUP(64-$E$9+1-$B73+1,'CC Tarifák'!$B$315:$AX$361,$E$9+$B73-1-18+2,0)*IF($E$47="Kizárás",1,1+$E$47),0),$O72))))</f>
        <v/>
      </c>
      <c r="P73" s="160"/>
      <c r="Q73" s="160" t="str">
        <f t="shared" ca="1" si="1"/>
        <v/>
      </c>
      <c r="R73" s="160"/>
      <c r="S73" s="159" t="str">
        <f ca="1">IF(OR(ISBLANK($F$28),ISBLANK($E$8)),0,IF($E$9&gt;64,0,IF($B73="","",IF($H$32="!",0,1)*ROUND($F$28/'CC Tarifák'!$B$417*VLOOKUP(64-$E$9+1-$B73+1,'CC Tarifák'!$B$419:$AX$465,$E$9+$B73-1-18+2,0)*IF($E$47="Kizárás",1,1+$E$47),0))))</f>
        <v/>
      </c>
      <c r="T73" s="159"/>
      <c r="U73" s="159" t="str">
        <f ca="1">IF(OR(ISBLANK($F$28),ISBLANK($E$8)),0,IF($E$9&gt;60,0,IF($B73="","",IF(MOD($B73,5)=1,IF($J$32="!",0,1)*ROUND($F$28/'CC Tarifák'!$B$469*VLOOKUP(64-$E$9+1-$B73+1,'CC Tarifák'!$B$471:$AX$517,$E$9+$B73-1-18+2,0)*IF($E$47="Kizárás",1,1+$E$47),0),$U72))))</f>
        <v/>
      </c>
      <c r="V73" s="159"/>
      <c r="W73" s="159" t="str">
        <f ca="1">IF(OR(ISBLANK($F$28),ISBLANK($E$8)),0,IF($E$9&gt;55,0,IF($B73="","",IF(MOD($B73,10)=1,IF($L$32="!",0,1)*ROUND($F$28/'CC Tarifák'!$B$521*VLOOKUP(64-$E$9+1-$B73+1,'CC Tarifák'!$B$523:$AX$569,$E$9+$B73-1-18+2,0)*IF($E$47="Kizárás",1,1+$E$47),0),$W72))))</f>
        <v/>
      </c>
      <c r="X73" s="159"/>
      <c r="Y73" s="159" t="str">
        <f t="shared" ca="1" si="2"/>
        <v/>
      </c>
      <c r="Z73" s="159"/>
    </row>
    <row r="74" spans="2:26" x14ac:dyDescent="0.2">
      <c r="B74" s="78" t="str">
        <f t="shared" ca="1" si="3"/>
        <v/>
      </c>
      <c r="C74" s="159" t="str">
        <f ca="1">IF(OR(ISBLANK($F$28),ISBLANK($E$8)),0,IF($E$9&gt;64,0,IF($B74="","",IF($H$28="!",0,1)*ROUND($F$28/'CC Tarifák'!$B$1*VLOOKUP(64-$E$9+1-$B74+1,'CC Tarifák'!$B$3:$AX$49,$E$9+$B74-1-18+2,0)*IF($E$47="Kizárás",1,1+$E$47),0))))</f>
        <v/>
      </c>
      <c r="D74" s="159"/>
      <c r="E74" s="159" t="str">
        <f ca="1">IF(OR(ISBLANK($F$28),ISBLANK($E$8)),0,IF($E$9&gt;60,0,IF($B74="","",IF(MOD($B74,5)=1,IF($J$28="!",0,1)*ROUND($F$28/'CC Tarifák'!$B$53*VLOOKUP(64-$E$9+1-$B74+1,'CC Tarifák'!$B$55:$AX$101,$E$9+$B74-1-18+2,0)*IF($E$47="Kizárás",1,1+$E$47),0),$E73))))</f>
        <v/>
      </c>
      <c r="F74" s="159"/>
      <c r="G74" s="159" t="str">
        <f ca="1">IF(OR(ISBLANK($F$28),ISBLANK($E$8)),0,IF($E$9&gt;55,0,IF($B74="","",IF(MOD($B74,10)=1,IF($L$28="!",0,1)*ROUND($F$28/'CC Tarifák'!$B$105*VLOOKUP(64-$E$9+1-$B74+1,'CC Tarifák'!$B$107:$AX$153,$E$9+$B74-1-18+2,0)*IF($E$47="Kizárás",1,1+$E$47),0),$G73))))</f>
        <v/>
      </c>
      <c r="H74" s="159"/>
      <c r="I74" s="159" t="str">
        <f t="shared" ca="1" si="0"/>
        <v/>
      </c>
      <c r="J74" s="159"/>
      <c r="K74" s="160" t="str">
        <f ca="1">IF(OR(ISBLANK($F$28),ISBLANK($E$8)),0,IF($E$9&gt;64,0,IF($B74="","",IF($H$30="!",0,1)*ROUND($F$28/'CC Tarifák'!$B$209*VLOOKUP(64-$E$9+1-$B74+1,'CC Tarifák'!$B$211:$AX$257,$E$9+$B74-1-18+2,0)*IF($E$47="Kizárás",1,1+$E$47),0))))</f>
        <v/>
      </c>
      <c r="L74" s="160"/>
      <c r="M74" s="160" t="str">
        <f ca="1">IF(OR(ISBLANK($F$28),ISBLANK($E$8)),0,IF($E$9&gt;60,0,IF($B74="","",IF(MOD($B74,5)=1,IF($J$30="!",0,1)*ROUND($F$28/'CC Tarifák'!$B$261*VLOOKUP(64-$E$9+1-$B74+1,'CC Tarifák'!$B$263:$AX$309,$E$9+$B74-1-18+2,0)*IF($E$47="Kizárás",1,1+$E$47),0),$M73))))</f>
        <v/>
      </c>
      <c r="N74" s="160"/>
      <c r="O74" s="160" t="str">
        <f ca="1">IF(OR(ISBLANK($F$28),ISBLANK($E$8)),0,IF($E$9&gt;55,0,IF($B74="","",IF(MOD($B74,10)=1,IF($L$30="!",0,1)*ROUND($F$28/'CC Tarifák'!$B$313*VLOOKUP(64-$E$9+1-$B74+1,'CC Tarifák'!$B$315:$AX$361,$E$9+$B74-1-18+2,0)*IF($E$47="Kizárás",1,1+$E$47),0),$O73))))</f>
        <v/>
      </c>
      <c r="P74" s="160"/>
      <c r="Q74" s="160" t="str">
        <f t="shared" ca="1" si="1"/>
        <v/>
      </c>
      <c r="R74" s="160"/>
      <c r="S74" s="159" t="str">
        <f ca="1">IF(OR(ISBLANK($F$28),ISBLANK($E$8)),0,IF($E$9&gt;64,0,IF($B74="","",IF($H$32="!",0,1)*ROUND($F$28/'CC Tarifák'!$B$417*VLOOKUP(64-$E$9+1-$B74+1,'CC Tarifák'!$B$419:$AX$465,$E$9+$B74-1-18+2,0)*IF($E$47="Kizárás",1,1+$E$47),0))))</f>
        <v/>
      </c>
      <c r="T74" s="159"/>
      <c r="U74" s="159" t="str">
        <f ca="1">IF(OR(ISBLANK($F$28),ISBLANK($E$8)),0,IF($E$9&gt;60,0,IF($B74="","",IF(MOD($B74,5)=1,IF($J$32="!",0,1)*ROUND($F$28/'CC Tarifák'!$B$469*VLOOKUP(64-$E$9+1-$B74+1,'CC Tarifák'!$B$471:$AX$517,$E$9+$B74-1-18+2,0)*IF($E$47="Kizárás",1,1+$E$47),0),$U73))))</f>
        <v/>
      </c>
      <c r="V74" s="159"/>
      <c r="W74" s="159" t="str">
        <f ca="1">IF(OR(ISBLANK($F$28),ISBLANK($E$8)),0,IF($E$9&gt;55,0,IF($B74="","",IF(MOD($B74,10)=1,IF($L$32="!",0,1)*ROUND($F$28/'CC Tarifák'!$B$521*VLOOKUP(64-$E$9+1-$B74+1,'CC Tarifák'!$B$523:$AX$569,$E$9+$B74-1-18+2,0)*IF($E$47="Kizárás",1,1+$E$47),0),$W73))))</f>
        <v/>
      </c>
      <c r="X74" s="159"/>
      <c r="Y74" s="159" t="str">
        <f t="shared" ca="1" si="2"/>
        <v/>
      </c>
      <c r="Z74" s="159"/>
    </row>
    <row r="75" spans="2:26" x14ac:dyDescent="0.2">
      <c r="B75" s="78" t="str">
        <f t="shared" ca="1" si="3"/>
        <v/>
      </c>
      <c r="C75" s="159" t="str">
        <f ca="1">IF(OR(ISBLANK($F$28),ISBLANK($E$8)),0,IF($E$9&gt;64,0,IF($B75="","",IF($H$28="!",0,1)*ROUND($F$28/'CC Tarifák'!$B$1*VLOOKUP(64-$E$9+1-$B75+1,'CC Tarifák'!$B$3:$AX$49,$E$9+$B75-1-18+2,0)*IF($E$47="Kizárás",1,1+$E$47),0))))</f>
        <v/>
      </c>
      <c r="D75" s="159"/>
      <c r="E75" s="159" t="str">
        <f ca="1">IF(OR(ISBLANK($F$28),ISBLANK($E$8)),0,IF($E$9&gt;60,0,IF($B75="","",IF(MOD($B75,5)=1,IF($J$28="!",0,1)*ROUND($F$28/'CC Tarifák'!$B$53*VLOOKUP(64-$E$9+1-$B75+1,'CC Tarifák'!$B$55:$AX$101,$E$9+$B75-1-18+2,0)*IF($E$47="Kizárás",1,1+$E$47),0),$E74))))</f>
        <v/>
      </c>
      <c r="F75" s="159"/>
      <c r="G75" s="159" t="str">
        <f ca="1">IF(OR(ISBLANK($F$28),ISBLANK($E$8)),0,IF($E$9&gt;55,0,IF($B75="","",IF(MOD($B75,10)=1,IF($L$28="!",0,1)*ROUND($F$28/'CC Tarifák'!$B$105*VLOOKUP(64-$E$9+1-$B75+1,'CC Tarifák'!$B$107:$AX$153,$E$9+$B75-1-18+2,0)*IF($E$47="Kizárás",1,1+$E$47),0),$G74))))</f>
        <v/>
      </c>
      <c r="H75" s="159"/>
      <c r="I75" s="159" t="str">
        <f t="shared" ca="1" si="0"/>
        <v/>
      </c>
      <c r="J75" s="159"/>
      <c r="K75" s="160" t="str">
        <f ca="1">IF(OR(ISBLANK($F$28),ISBLANK($E$8)),0,IF($E$9&gt;64,0,IF($B75="","",IF($H$30="!",0,1)*ROUND($F$28/'CC Tarifák'!$B$209*VLOOKUP(64-$E$9+1-$B75+1,'CC Tarifák'!$B$211:$AX$257,$E$9+$B75-1-18+2,0)*IF($E$47="Kizárás",1,1+$E$47),0))))</f>
        <v/>
      </c>
      <c r="L75" s="160"/>
      <c r="M75" s="160" t="str">
        <f ca="1">IF(OR(ISBLANK($F$28),ISBLANK($E$8)),0,IF($E$9&gt;60,0,IF($B75="","",IF(MOD($B75,5)=1,IF($J$30="!",0,1)*ROUND($F$28/'CC Tarifák'!$B$261*VLOOKUP(64-$E$9+1-$B75+1,'CC Tarifák'!$B$263:$AX$309,$E$9+$B75-1-18+2,0)*IF($E$47="Kizárás",1,1+$E$47),0),$M74))))</f>
        <v/>
      </c>
      <c r="N75" s="160"/>
      <c r="O75" s="160" t="str">
        <f ca="1">IF(OR(ISBLANK($F$28),ISBLANK($E$8)),0,IF($E$9&gt;55,0,IF($B75="","",IF(MOD($B75,10)=1,IF($L$30="!",0,1)*ROUND($F$28/'CC Tarifák'!$B$313*VLOOKUP(64-$E$9+1-$B75+1,'CC Tarifák'!$B$315:$AX$361,$E$9+$B75-1-18+2,0)*IF($E$47="Kizárás",1,1+$E$47),0),$O74))))</f>
        <v/>
      </c>
      <c r="P75" s="160"/>
      <c r="Q75" s="160" t="str">
        <f t="shared" ca="1" si="1"/>
        <v/>
      </c>
      <c r="R75" s="160"/>
      <c r="S75" s="159" t="str">
        <f ca="1">IF(OR(ISBLANK($F$28),ISBLANK($E$8)),0,IF($E$9&gt;64,0,IF($B75="","",IF($H$32="!",0,1)*ROUND($F$28/'CC Tarifák'!$B$417*VLOOKUP(64-$E$9+1-$B75+1,'CC Tarifák'!$B$419:$AX$465,$E$9+$B75-1-18+2,0)*IF($E$47="Kizárás",1,1+$E$47),0))))</f>
        <v/>
      </c>
      <c r="T75" s="159"/>
      <c r="U75" s="159" t="str">
        <f ca="1">IF(OR(ISBLANK($F$28),ISBLANK($E$8)),0,IF($E$9&gt;60,0,IF($B75="","",IF(MOD($B75,5)=1,IF($J$32="!",0,1)*ROUND($F$28/'CC Tarifák'!$B$469*VLOOKUP(64-$E$9+1-$B75+1,'CC Tarifák'!$B$471:$AX$517,$E$9+$B75-1-18+2,0)*IF($E$47="Kizárás",1,1+$E$47),0),$U74))))</f>
        <v/>
      </c>
      <c r="V75" s="159"/>
      <c r="W75" s="159" t="str">
        <f ca="1">IF(OR(ISBLANK($F$28),ISBLANK($E$8)),0,IF($E$9&gt;55,0,IF($B75="","",IF(MOD($B75,10)=1,IF($L$32="!",0,1)*ROUND($F$28/'CC Tarifák'!$B$521*VLOOKUP(64-$E$9+1-$B75+1,'CC Tarifák'!$B$523:$AX$569,$E$9+$B75-1-18+2,0)*IF($E$47="Kizárás",1,1+$E$47),0),$W74))))</f>
        <v/>
      </c>
      <c r="X75" s="159"/>
      <c r="Y75" s="159" t="str">
        <f t="shared" ca="1" si="2"/>
        <v/>
      </c>
      <c r="Z75" s="159"/>
    </row>
    <row r="76" spans="2:26" x14ac:dyDescent="0.2">
      <c r="B76" s="78" t="str">
        <f t="shared" ca="1" si="3"/>
        <v/>
      </c>
      <c r="C76" s="159" t="str">
        <f ca="1">IF(OR(ISBLANK($F$28),ISBLANK($E$8)),0,IF($E$9&gt;64,0,IF($B76="","",IF($H$28="!",0,1)*ROUND($F$28/'CC Tarifák'!$B$1*VLOOKUP(64-$E$9+1-$B76+1,'CC Tarifák'!$B$3:$AX$49,$E$9+$B76-1-18+2,0)*IF($E$47="Kizárás",1,1+$E$47),0))))</f>
        <v/>
      </c>
      <c r="D76" s="159"/>
      <c r="E76" s="159" t="str">
        <f ca="1">IF(OR(ISBLANK($F$28),ISBLANK($E$8)),0,IF($E$9&gt;60,0,IF($B76="","",IF(MOD($B76,5)=1,IF($J$28="!",0,1)*ROUND($F$28/'CC Tarifák'!$B$53*VLOOKUP(64-$E$9+1-$B76+1,'CC Tarifák'!$B$55:$AX$101,$E$9+$B76-1-18+2,0)*IF($E$47="Kizárás",1,1+$E$47),0),$E75))))</f>
        <v/>
      </c>
      <c r="F76" s="159"/>
      <c r="G76" s="159" t="str">
        <f ca="1">IF(OR(ISBLANK($F$28),ISBLANK($E$8)),0,IF($E$9&gt;55,0,IF($B76="","",IF(MOD($B76,10)=1,IF($L$28="!",0,1)*ROUND($F$28/'CC Tarifák'!$B$105*VLOOKUP(64-$E$9+1-$B76+1,'CC Tarifák'!$B$107:$AX$153,$E$9+$B76-1-18+2,0)*IF($E$47="Kizárás",1,1+$E$47),0),$G75))))</f>
        <v/>
      </c>
      <c r="H76" s="159"/>
      <c r="I76" s="159" t="str">
        <f t="shared" ca="1" si="0"/>
        <v/>
      </c>
      <c r="J76" s="159"/>
      <c r="K76" s="160" t="str">
        <f ca="1">IF(OR(ISBLANK($F$28),ISBLANK($E$8)),0,IF($E$9&gt;64,0,IF($B76="","",IF($H$30="!",0,1)*ROUND($F$28/'CC Tarifák'!$B$209*VLOOKUP(64-$E$9+1-$B76+1,'CC Tarifák'!$B$211:$AX$257,$E$9+$B76-1-18+2,0)*IF($E$47="Kizárás",1,1+$E$47),0))))</f>
        <v/>
      </c>
      <c r="L76" s="160"/>
      <c r="M76" s="160" t="str">
        <f ca="1">IF(OR(ISBLANK($F$28),ISBLANK($E$8)),0,IF($E$9&gt;60,0,IF($B76="","",IF(MOD($B76,5)=1,IF($J$30="!",0,1)*ROUND($F$28/'CC Tarifák'!$B$261*VLOOKUP(64-$E$9+1-$B76+1,'CC Tarifák'!$B$263:$AX$309,$E$9+$B76-1-18+2,0)*IF($E$47="Kizárás",1,1+$E$47),0),$M75))))</f>
        <v/>
      </c>
      <c r="N76" s="160"/>
      <c r="O76" s="160" t="str">
        <f ca="1">IF(OR(ISBLANK($F$28),ISBLANK($E$8)),0,IF($E$9&gt;55,0,IF($B76="","",IF(MOD($B76,10)=1,IF($L$30="!",0,1)*ROUND($F$28/'CC Tarifák'!$B$313*VLOOKUP(64-$E$9+1-$B76+1,'CC Tarifák'!$B$315:$AX$361,$E$9+$B76-1-18+2,0)*IF($E$47="Kizárás",1,1+$E$47),0),$O75))))</f>
        <v/>
      </c>
      <c r="P76" s="160"/>
      <c r="Q76" s="160" t="str">
        <f t="shared" ca="1" si="1"/>
        <v/>
      </c>
      <c r="R76" s="160"/>
      <c r="S76" s="159" t="str">
        <f ca="1">IF(OR(ISBLANK($F$28),ISBLANK($E$8)),0,IF($E$9&gt;64,0,IF($B76="","",IF($H$32="!",0,1)*ROUND($F$28/'CC Tarifák'!$B$417*VLOOKUP(64-$E$9+1-$B76+1,'CC Tarifák'!$B$419:$AX$465,$E$9+$B76-1-18+2,0)*IF($E$47="Kizárás",1,1+$E$47),0))))</f>
        <v/>
      </c>
      <c r="T76" s="159"/>
      <c r="U76" s="159" t="str">
        <f ca="1">IF(OR(ISBLANK($F$28),ISBLANK($E$8)),0,IF($E$9&gt;60,0,IF($B76="","",IF(MOD($B76,5)=1,IF($J$32="!",0,1)*ROUND($F$28/'CC Tarifák'!$B$469*VLOOKUP(64-$E$9+1-$B76+1,'CC Tarifák'!$B$471:$AX$517,$E$9+$B76-1-18+2,0)*IF($E$47="Kizárás",1,1+$E$47),0),$U75))))</f>
        <v/>
      </c>
      <c r="V76" s="159"/>
      <c r="W76" s="159" t="str">
        <f ca="1">IF(OR(ISBLANK($F$28),ISBLANK($E$8)),0,IF($E$9&gt;55,0,IF($B76="","",IF(MOD($B76,10)=1,IF($L$32="!",0,1)*ROUND($F$28/'CC Tarifák'!$B$521*VLOOKUP(64-$E$9+1-$B76+1,'CC Tarifák'!$B$523:$AX$569,$E$9+$B76-1-18+2,0)*IF($E$47="Kizárás",1,1+$E$47),0),$W75))))</f>
        <v/>
      </c>
      <c r="X76" s="159"/>
      <c r="Y76" s="159" t="str">
        <f t="shared" ca="1" si="2"/>
        <v/>
      </c>
      <c r="Z76" s="159"/>
    </row>
    <row r="77" spans="2:26" x14ac:dyDescent="0.2">
      <c r="B77" s="78" t="str">
        <f t="shared" ca="1" si="3"/>
        <v/>
      </c>
      <c r="C77" s="159" t="str">
        <f ca="1">IF(OR(ISBLANK($F$28),ISBLANK($E$8)),0,IF($E$9&gt;64,0,IF($B77="","",IF($H$28="!",0,1)*ROUND($F$28/'CC Tarifák'!$B$1*VLOOKUP(64-$E$9+1-$B77+1,'CC Tarifák'!$B$3:$AX$49,$E$9+$B77-1-18+2,0)*IF($E$47="Kizárás",1,1+$E$47),0))))</f>
        <v/>
      </c>
      <c r="D77" s="159"/>
      <c r="E77" s="159" t="str">
        <f ca="1">IF(OR(ISBLANK($F$28),ISBLANK($E$8)),0,IF($E$9&gt;60,0,IF($B77="","",IF(MOD($B77,5)=1,IF($J$28="!",0,1)*ROUND($F$28/'CC Tarifák'!$B$53*VLOOKUP(64-$E$9+1-$B77+1,'CC Tarifák'!$B$55:$AX$101,$E$9+$B77-1-18+2,0)*IF($E$47="Kizárás",1,1+$E$47),0),$E76))))</f>
        <v/>
      </c>
      <c r="F77" s="159"/>
      <c r="G77" s="159" t="str">
        <f ca="1">IF(OR(ISBLANK($F$28),ISBLANK($E$8)),0,IF($E$9&gt;55,0,IF($B77="","",IF(MOD($B77,10)=1,IF($L$28="!",0,1)*ROUND($F$28/'CC Tarifák'!$B$105*VLOOKUP(64-$E$9+1-$B77+1,'CC Tarifák'!$B$107:$AX$153,$E$9+$B77-1-18+2,0)*IF($E$47="Kizárás",1,1+$E$47),0),$G76))))</f>
        <v/>
      </c>
      <c r="H77" s="159"/>
      <c r="I77" s="159" t="str">
        <f t="shared" ca="1" si="0"/>
        <v/>
      </c>
      <c r="J77" s="159"/>
      <c r="K77" s="160" t="str">
        <f ca="1">IF(OR(ISBLANK($F$28),ISBLANK($E$8)),0,IF($E$9&gt;64,0,IF($B77="","",IF($H$30="!",0,1)*ROUND($F$28/'CC Tarifák'!$B$209*VLOOKUP(64-$E$9+1-$B77+1,'CC Tarifák'!$B$211:$AX$257,$E$9+$B77-1-18+2,0)*IF($E$47="Kizárás",1,1+$E$47),0))))</f>
        <v/>
      </c>
      <c r="L77" s="160"/>
      <c r="M77" s="160" t="str">
        <f ca="1">IF(OR(ISBLANK($F$28),ISBLANK($E$8)),0,IF($E$9&gt;60,0,IF($B77="","",IF(MOD($B77,5)=1,IF($J$30="!",0,1)*ROUND($F$28/'CC Tarifák'!$B$261*VLOOKUP(64-$E$9+1-$B77+1,'CC Tarifák'!$B$263:$AX$309,$E$9+$B77-1-18+2,0)*IF($E$47="Kizárás",1,1+$E$47),0),$M76))))</f>
        <v/>
      </c>
      <c r="N77" s="160"/>
      <c r="O77" s="160" t="str">
        <f ca="1">IF(OR(ISBLANK($F$28),ISBLANK($E$8)),0,IF($E$9&gt;55,0,IF($B77="","",IF(MOD($B77,10)=1,IF($L$30="!",0,1)*ROUND($F$28/'CC Tarifák'!$B$313*VLOOKUP(64-$E$9+1-$B77+1,'CC Tarifák'!$B$315:$AX$361,$E$9+$B77-1-18+2,0)*IF($E$47="Kizárás",1,1+$E$47),0),$O76))))</f>
        <v/>
      </c>
      <c r="P77" s="160"/>
      <c r="Q77" s="160" t="str">
        <f t="shared" ca="1" si="1"/>
        <v/>
      </c>
      <c r="R77" s="160"/>
      <c r="S77" s="159" t="str">
        <f ca="1">IF(OR(ISBLANK($F$28),ISBLANK($E$8)),0,IF($E$9&gt;64,0,IF($B77="","",IF($H$32="!",0,1)*ROUND($F$28/'CC Tarifák'!$B$417*VLOOKUP(64-$E$9+1-$B77+1,'CC Tarifák'!$B$419:$AX$465,$E$9+$B77-1-18+2,0)*IF($E$47="Kizárás",1,1+$E$47),0))))</f>
        <v/>
      </c>
      <c r="T77" s="159"/>
      <c r="U77" s="159" t="str">
        <f ca="1">IF(OR(ISBLANK($F$28),ISBLANK($E$8)),0,IF($E$9&gt;60,0,IF($B77="","",IF(MOD($B77,5)=1,IF($J$32="!",0,1)*ROUND($F$28/'CC Tarifák'!$B$469*VLOOKUP(64-$E$9+1-$B77+1,'CC Tarifák'!$B$471:$AX$517,$E$9+$B77-1-18+2,0)*IF($E$47="Kizárás",1,1+$E$47),0),$U76))))</f>
        <v/>
      </c>
      <c r="V77" s="159"/>
      <c r="W77" s="159" t="str">
        <f ca="1">IF(OR(ISBLANK($F$28),ISBLANK($E$8)),0,IF($E$9&gt;55,0,IF($B77="","",IF(MOD($B77,10)=1,IF($L$32="!",0,1)*ROUND($F$28/'CC Tarifák'!$B$521*VLOOKUP(64-$E$9+1-$B77+1,'CC Tarifák'!$B$523:$AX$569,$E$9+$B77-1-18+2,0)*IF($E$47="Kizárás",1,1+$E$47),0),$W76))))</f>
        <v/>
      </c>
      <c r="X77" s="159"/>
      <c r="Y77" s="159" t="str">
        <f t="shared" ca="1" si="2"/>
        <v/>
      </c>
      <c r="Z77" s="159"/>
    </row>
    <row r="78" spans="2:26" x14ac:dyDescent="0.2">
      <c r="B78" s="78" t="str">
        <f t="shared" ca="1" si="3"/>
        <v/>
      </c>
      <c r="C78" s="159" t="str">
        <f ca="1">IF(OR(ISBLANK($F$28),ISBLANK($E$8)),0,IF($E$9&gt;64,0,IF($B78="","",IF($H$28="!",0,1)*ROUND($F$28/'CC Tarifák'!$B$1*VLOOKUP(64-$E$9+1-$B78+1,'CC Tarifák'!$B$3:$AX$49,$E$9+$B78-1-18+2,0)*IF($E$47="Kizárás",1,1+$E$47),0))))</f>
        <v/>
      </c>
      <c r="D78" s="159"/>
      <c r="E78" s="159" t="str">
        <f ca="1">IF(OR(ISBLANK($F$28),ISBLANK($E$8)),0,IF($E$9&gt;60,0,IF($B78="","",IF(MOD($B78,5)=1,IF($J$28="!",0,1)*ROUND($F$28/'CC Tarifák'!$B$53*VLOOKUP(64-$E$9+1-$B78+1,'CC Tarifák'!$B$55:$AX$101,$E$9+$B78-1-18+2,0)*IF($E$47="Kizárás",1,1+$E$47),0),$E77))))</f>
        <v/>
      </c>
      <c r="F78" s="159"/>
      <c r="G78" s="159" t="str">
        <f ca="1">IF(OR(ISBLANK($F$28),ISBLANK($E$8)),0,IF($E$9&gt;55,0,IF($B78="","",IF(MOD($B78,10)=1,IF($L$28="!",0,1)*ROUND($F$28/'CC Tarifák'!$B$105*VLOOKUP(64-$E$9+1-$B78+1,'CC Tarifák'!$B$107:$AX$153,$E$9+$B78-1-18+2,0)*IF($E$47="Kizárás",1,1+$E$47),0),$G77))))</f>
        <v/>
      </c>
      <c r="H78" s="159"/>
      <c r="I78" s="159" t="str">
        <f t="shared" ca="1" si="0"/>
        <v/>
      </c>
      <c r="J78" s="159"/>
      <c r="K78" s="160" t="str">
        <f ca="1">IF(OR(ISBLANK($F$28),ISBLANK($E$8)),0,IF($E$9&gt;64,0,IF($B78="","",IF($H$30="!",0,1)*ROUND($F$28/'CC Tarifák'!$B$209*VLOOKUP(64-$E$9+1-$B78+1,'CC Tarifák'!$B$211:$AX$257,$E$9+$B78-1-18+2,0)*IF($E$47="Kizárás",1,1+$E$47),0))))</f>
        <v/>
      </c>
      <c r="L78" s="160"/>
      <c r="M78" s="160" t="str">
        <f ca="1">IF(OR(ISBLANK($F$28),ISBLANK($E$8)),0,IF($E$9&gt;60,0,IF($B78="","",IF(MOD($B78,5)=1,IF($J$30="!",0,1)*ROUND($F$28/'CC Tarifák'!$B$261*VLOOKUP(64-$E$9+1-$B78+1,'CC Tarifák'!$B$263:$AX$309,$E$9+$B78-1-18+2,0)*IF($E$47="Kizárás",1,1+$E$47),0),$M77))))</f>
        <v/>
      </c>
      <c r="N78" s="160"/>
      <c r="O78" s="160" t="str">
        <f ca="1">IF(OR(ISBLANK($F$28),ISBLANK($E$8)),0,IF($E$9&gt;55,0,IF($B78="","",IF(MOD($B78,10)=1,IF($L$30="!",0,1)*ROUND($F$28/'CC Tarifák'!$B$313*VLOOKUP(64-$E$9+1-$B78+1,'CC Tarifák'!$B$315:$AX$361,$E$9+$B78-1-18+2,0)*IF($E$47="Kizárás",1,1+$E$47),0),$O77))))</f>
        <v/>
      </c>
      <c r="P78" s="160"/>
      <c r="Q78" s="160" t="str">
        <f t="shared" ca="1" si="1"/>
        <v/>
      </c>
      <c r="R78" s="160"/>
      <c r="S78" s="159" t="str">
        <f ca="1">IF(OR(ISBLANK($F$28),ISBLANK($E$8)),0,IF($E$9&gt;64,0,IF($B78="","",IF($H$32="!",0,1)*ROUND($F$28/'CC Tarifák'!$B$417*VLOOKUP(64-$E$9+1-$B78+1,'CC Tarifák'!$B$419:$AX$465,$E$9+$B78-1-18+2,0)*IF($E$47="Kizárás",1,1+$E$47),0))))</f>
        <v/>
      </c>
      <c r="T78" s="159"/>
      <c r="U78" s="159" t="str">
        <f ca="1">IF(OR(ISBLANK($F$28),ISBLANK($E$8)),0,IF($E$9&gt;60,0,IF($B78="","",IF(MOD($B78,5)=1,IF($J$32="!",0,1)*ROUND($F$28/'CC Tarifák'!$B$469*VLOOKUP(64-$E$9+1-$B78+1,'CC Tarifák'!$B$471:$AX$517,$E$9+$B78-1-18+2,0)*IF($E$47="Kizárás",1,1+$E$47),0),$U77))))</f>
        <v/>
      </c>
      <c r="V78" s="159"/>
      <c r="W78" s="159" t="str">
        <f ca="1">IF(OR(ISBLANK($F$28),ISBLANK($E$8)),0,IF($E$9&gt;55,0,IF($B78="","",IF(MOD($B78,10)=1,IF($L$32="!",0,1)*ROUND($F$28/'CC Tarifák'!$B$521*VLOOKUP(64-$E$9+1-$B78+1,'CC Tarifák'!$B$523:$AX$569,$E$9+$B78-1-18+2,0)*IF($E$47="Kizárás",1,1+$E$47),0),$W77))))</f>
        <v/>
      </c>
      <c r="X78" s="159"/>
      <c r="Y78" s="159" t="str">
        <f t="shared" ca="1" si="2"/>
        <v/>
      </c>
      <c r="Z78" s="159"/>
    </row>
    <row r="79" spans="2:26" x14ac:dyDescent="0.2">
      <c r="B79" s="78" t="str">
        <f t="shared" ca="1" si="3"/>
        <v/>
      </c>
      <c r="C79" s="159" t="str">
        <f ca="1">IF(OR(ISBLANK($F$28),ISBLANK($E$8)),0,IF($E$9&gt;64,0,IF($B79="","",IF($H$28="!",0,1)*ROUND($F$28/'CC Tarifák'!$B$1*VLOOKUP(64-$E$9+1-$B79+1,'CC Tarifák'!$B$3:$AX$49,$E$9+$B79-1-18+2,0)*IF($E$47="Kizárás",1,1+$E$47),0))))</f>
        <v/>
      </c>
      <c r="D79" s="159"/>
      <c r="E79" s="159" t="str">
        <f ca="1">IF(OR(ISBLANK($F$28),ISBLANK($E$8)),0,IF($E$9&gt;60,0,IF($B79="","",IF(MOD($B79,5)=1,IF($J$28="!",0,1)*ROUND($F$28/'CC Tarifák'!$B$53*VLOOKUP(64-$E$9+1-$B79+1,'CC Tarifák'!$B$55:$AX$101,$E$9+$B79-1-18+2,0)*IF($E$47="Kizárás",1,1+$E$47),0),$E78))))</f>
        <v/>
      </c>
      <c r="F79" s="159"/>
      <c r="G79" s="159" t="str">
        <f ca="1">IF(OR(ISBLANK($F$28),ISBLANK($E$8)),0,IF($E$9&gt;55,0,IF($B79="","",IF(MOD($B79,10)=1,IF($L$28="!",0,1)*ROUND($F$28/'CC Tarifák'!$B$105*VLOOKUP(64-$E$9+1-$B79+1,'CC Tarifák'!$B$107:$AX$153,$E$9+$B79-1-18+2,0)*IF($E$47="Kizárás",1,1+$E$47),0),$G78))))</f>
        <v/>
      </c>
      <c r="H79" s="159"/>
      <c r="I79" s="159" t="str">
        <f t="shared" ca="1" si="0"/>
        <v/>
      </c>
      <c r="J79" s="159"/>
      <c r="K79" s="160" t="str">
        <f ca="1">IF(OR(ISBLANK($F$28),ISBLANK($E$8)),0,IF($E$9&gt;64,0,IF($B79="","",IF($H$30="!",0,1)*ROUND($F$28/'CC Tarifák'!$B$209*VLOOKUP(64-$E$9+1-$B79+1,'CC Tarifák'!$B$211:$AX$257,$E$9+$B79-1-18+2,0)*IF($E$47="Kizárás",1,1+$E$47),0))))</f>
        <v/>
      </c>
      <c r="L79" s="160"/>
      <c r="M79" s="160" t="str">
        <f ca="1">IF(OR(ISBLANK($F$28),ISBLANK($E$8)),0,IF($E$9&gt;60,0,IF($B79="","",IF(MOD($B79,5)=1,IF($J$30="!",0,1)*ROUND($F$28/'CC Tarifák'!$B$261*VLOOKUP(64-$E$9+1-$B79+1,'CC Tarifák'!$B$263:$AX$309,$E$9+$B79-1-18+2,0)*IF($E$47="Kizárás",1,1+$E$47),0),$M78))))</f>
        <v/>
      </c>
      <c r="N79" s="160"/>
      <c r="O79" s="160" t="str">
        <f ca="1">IF(OR(ISBLANK($F$28),ISBLANK($E$8)),0,IF($E$9&gt;55,0,IF($B79="","",IF(MOD($B79,10)=1,IF($L$30="!",0,1)*ROUND($F$28/'CC Tarifák'!$B$313*VLOOKUP(64-$E$9+1-$B79+1,'CC Tarifák'!$B$315:$AX$361,$E$9+$B79-1-18+2,0)*IF($E$47="Kizárás",1,1+$E$47),0),$O78))))</f>
        <v/>
      </c>
      <c r="P79" s="160"/>
      <c r="Q79" s="160" t="str">
        <f t="shared" ca="1" si="1"/>
        <v/>
      </c>
      <c r="R79" s="160"/>
      <c r="S79" s="159" t="str">
        <f ca="1">IF(OR(ISBLANK($F$28),ISBLANK($E$8)),0,IF($E$9&gt;64,0,IF($B79="","",IF($H$32="!",0,1)*ROUND($F$28/'CC Tarifák'!$B$417*VLOOKUP(64-$E$9+1-$B79+1,'CC Tarifák'!$B$419:$AX$465,$E$9+$B79-1-18+2,0)*IF($E$47="Kizárás",1,1+$E$47),0))))</f>
        <v/>
      </c>
      <c r="T79" s="159"/>
      <c r="U79" s="159" t="str">
        <f ca="1">IF(OR(ISBLANK($F$28),ISBLANK($E$8)),0,IF($E$9&gt;60,0,IF($B79="","",IF(MOD($B79,5)=1,IF($J$32="!",0,1)*ROUND($F$28/'CC Tarifák'!$B$469*VLOOKUP(64-$E$9+1-$B79+1,'CC Tarifák'!$B$471:$AX$517,$E$9+$B79-1-18+2,0)*IF($E$47="Kizárás",1,1+$E$47),0),$U78))))</f>
        <v/>
      </c>
      <c r="V79" s="159"/>
      <c r="W79" s="159" t="str">
        <f ca="1">IF(OR(ISBLANK($F$28),ISBLANK($E$8)),0,IF($E$9&gt;55,0,IF($B79="","",IF(MOD($B79,10)=1,IF($L$32="!",0,1)*ROUND($F$28/'CC Tarifák'!$B$521*VLOOKUP(64-$E$9+1-$B79+1,'CC Tarifák'!$B$523:$AX$569,$E$9+$B79-1-18+2,0)*IF($E$47="Kizárás",1,1+$E$47),0),$W78))))</f>
        <v/>
      </c>
      <c r="X79" s="159"/>
      <c r="Y79" s="159" t="str">
        <f t="shared" ca="1" si="2"/>
        <v/>
      </c>
      <c r="Z79" s="159"/>
    </row>
    <row r="80" spans="2:26" x14ac:dyDescent="0.2">
      <c r="B80" s="78" t="str">
        <f t="shared" ca="1" si="3"/>
        <v/>
      </c>
      <c r="C80" s="159" t="str">
        <f ca="1">IF(OR(ISBLANK($F$28),ISBLANK($E$8)),0,IF($E$9&gt;64,0,IF($B80="","",IF($H$28="!",0,1)*ROUND($F$28/'CC Tarifák'!$B$1*VLOOKUP(64-$E$9+1-$B80+1,'CC Tarifák'!$B$3:$AX$49,$E$9+$B80-1-18+2,0)*IF($E$47="Kizárás",1,1+$E$47),0))))</f>
        <v/>
      </c>
      <c r="D80" s="159"/>
      <c r="E80" s="159" t="str">
        <f ca="1">IF(OR(ISBLANK($F$28),ISBLANK($E$8)),0,IF($E$9&gt;60,0,IF($B80="","",IF(MOD($B80,5)=1,IF($J$28="!",0,1)*ROUND($F$28/'CC Tarifák'!$B$53*VLOOKUP(64-$E$9+1-$B80+1,'CC Tarifák'!$B$55:$AX$101,$E$9+$B80-1-18+2,0)*IF($E$47="Kizárás",1,1+$E$47),0),$E79))))</f>
        <v/>
      </c>
      <c r="F80" s="159"/>
      <c r="G80" s="159" t="str">
        <f ca="1">IF(OR(ISBLANK($F$28),ISBLANK($E$8)),0,IF($E$9&gt;55,0,IF($B80="","",IF(MOD($B80,10)=1,IF($L$28="!",0,1)*ROUND($F$28/'CC Tarifák'!$B$105*VLOOKUP(64-$E$9+1-$B80+1,'CC Tarifák'!$B$107:$AX$153,$E$9+$B80-1-18+2,0)*IF($E$47="Kizárás",1,1+$E$47),0),$G79))))</f>
        <v/>
      </c>
      <c r="H80" s="159"/>
      <c r="I80" s="159" t="str">
        <f t="shared" ca="1" si="0"/>
        <v/>
      </c>
      <c r="J80" s="159"/>
      <c r="K80" s="160" t="str">
        <f ca="1">IF(OR(ISBLANK($F$28),ISBLANK($E$8)),0,IF($E$9&gt;64,0,IF($B80="","",IF($H$30="!",0,1)*ROUND($F$28/'CC Tarifák'!$B$209*VLOOKUP(64-$E$9+1-$B80+1,'CC Tarifák'!$B$211:$AX$257,$E$9+$B80-1-18+2,0)*IF($E$47="Kizárás",1,1+$E$47),0))))</f>
        <v/>
      </c>
      <c r="L80" s="160"/>
      <c r="M80" s="160" t="str">
        <f ca="1">IF(OR(ISBLANK($F$28),ISBLANK($E$8)),0,IF($E$9&gt;60,0,IF($B80="","",IF(MOD($B80,5)=1,IF($J$30="!",0,1)*ROUND($F$28/'CC Tarifák'!$B$261*VLOOKUP(64-$E$9+1-$B80+1,'CC Tarifák'!$B$263:$AX$309,$E$9+$B80-1-18+2,0)*IF($E$47="Kizárás",1,1+$E$47),0),$M79))))</f>
        <v/>
      </c>
      <c r="N80" s="160"/>
      <c r="O80" s="160" t="str">
        <f ca="1">IF(OR(ISBLANK($F$28),ISBLANK($E$8)),0,IF($E$9&gt;55,0,IF($B80="","",IF(MOD($B80,10)=1,IF($L$30="!",0,1)*ROUND($F$28/'CC Tarifák'!$B$313*VLOOKUP(64-$E$9+1-$B80+1,'CC Tarifák'!$B$315:$AX$361,$E$9+$B80-1-18+2,0)*IF($E$47="Kizárás",1,1+$E$47),0),$O79))))</f>
        <v/>
      </c>
      <c r="P80" s="160"/>
      <c r="Q80" s="160" t="str">
        <f t="shared" ca="1" si="1"/>
        <v/>
      </c>
      <c r="R80" s="160"/>
      <c r="S80" s="159" t="str">
        <f ca="1">IF(OR(ISBLANK($F$28),ISBLANK($E$8)),0,IF($E$9&gt;64,0,IF($B80="","",IF($H$32="!",0,1)*ROUND($F$28/'CC Tarifák'!$B$417*VLOOKUP(64-$E$9+1-$B80+1,'CC Tarifák'!$B$419:$AX$465,$E$9+$B80-1-18+2,0)*IF($E$47="Kizárás",1,1+$E$47),0))))</f>
        <v/>
      </c>
      <c r="T80" s="159"/>
      <c r="U80" s="159" t="str">
        <f ca="1">IF(OR(ISBLANK($F$28),ISBLANK($E$8)),0,IF($E$9&gt;60,0,IF($B80="","",IF(MOD($B80,5)=1,IF($J$32="!",0,1)*ROUND($F$28/'CC Tarifák'!$B$469*VLOOKUP(64-$E$9+1-$B80+1,'CC Tarifák'!$B$471:$AX$517,$E$9+$B80-1-18+2,0)*IF($E$47="Kizárás",1,1+$E$47),0),$U79))))</f>
        <v/>
      </c>
      <c r="V80" s="159"/>
      <c r="W80" s="159" t="str">
        <f ca="1">IF(OR(ISBLANK($F$28),ISBLANK($E$8)),0,IF($E$9&gt;55,0,IF($B80="","",IF(MOD($B80,10)=1,IF($L$32="!",0,1)*ROUND($F$28/'CC Tarifák'!$B$521*VLOOKUP(64-$E$9+1-$B80+1,'CC Tarifák'!$B$523:$AX$569,$E$9+$B80-1-18+2,0)*IF($E$47="Kizárás",1,1+$E$47),0),$W79))))</f>
        <v/>
      </c>
      <c r="X80" s="159"/>
      <c r="Y80" s="159" t="str">
        <f t="shared" ca="1" si="2"/>
        <v/>
      </c>
      <c r="Z80" s="159"/>
    </row>
    <row r="81" spans="2:26" x14ac:dyDescent="0.2">
      <c r="B81" s="78" t="str">
        <f t="shared" ca="1" si="3"/>
        <v/>
      </c>
      <c r="C81" s="159" t="str">
        <f ca="1">IF(OR(ISBLANK($F$28),ISBLANK($E$8)),0,IF($E$9&gt;64,0,IF($B81="","",IF($H$28="!",0,1)*ROUND($F$28/'CC Tarifák'!$B$1*VLOOKUP(64-$E$9+1-$B81+1,'CC Tarifák'!$B$3:$AX$49,$E$9+$B81-1-18+2,0)*IF($E$47="Kizárás",1,1+$E$47),0))))</f>
        <v/>
      </c>
      <c r="D81" s="159"/>
      <c r="E81" s="159" t="str">
        <f ca="1">IF(OR(ISBLANK($F$28),ISBLANK($E$8)),0,IF($E$9&gt;60,0,IF($B81="","",IF(MOD($B81,5)=1,IF($J$28="!",0,1)*ROUND($F$28/'CC Tarifák'!$B$53*VLOOKUP(64-$E$9+1-$B81+1,'CC Tarifák'!$B$55:$AX$101,$E$9+$B81-1-18+2,0)*IF($E$47="Kizárás",1,1+$E$47),0),$E80))))</f>
        <v/>
      </c>
      <c r="F81" s="159"/>
      <c r="G81" s="159" t="str">
        <f ca="1">IF(OR(ISBLANK($F$28),ISBLANK($E$8)),0,IF($E$9&gt;55,0,IF($B81="","",IF(MOD($B81,10)=1,IF($L$28="!",0,1)*ROUND($F$28/'CC Tarifák'!$B$105*VLOOKUP(64-$E$9+1-$B81+1,'CC Tarifák'!$B$107:$AX$153,$E$9+$B81-1-18+2,0)*IF($E$47="Kizárás",1,1+$E$47),0),$G80))))</f>
        <v/>
      </c>
      <c r="H81" s="159"/>
      <c r="I81" s="159" t="str">
        <f t="shared" ca="1" si="0"/>
        <v/>
      </c>
      <c r="J81" s="159"/>
      <c r="K81" s="160" t="str">
        <f ca="1">IF(OR(ISBLANK($F$28),ISBLANK($E$8)),0,IF($E$9&gt;64,0,IF($B81="","",IF($H$30="!",0,1)*ROUND($F$28/'CC Tarifák'!$B$209*VLOOKUP(64-$E$9+1-$B81+1,'CC Tarifák'!$B$211:$AX$257,$E$9+$B81-1-18+2,0)*IF($E$47="Kizárás",1,1+$E$47),0))))</f>
        <v/>
      </c>
      <c r="L81" s="160"/>
      <c r="M81" s="160" t="str">
        <f ca="1">IF(OR(ISBLANK($F$28),ISBLANK($E$8)),0,IF($E$9&gt;60,0,IF($B81="","",IF(MOD($B81,5)=1,IF($J$30="!",0,1)*ROUND($F$28/'CC Tarifák'!$B$261*VLOOKUP(64-$E$9+1-$B81+1,'CC Tarifák'!$B$263:$AX$309,$E$9+$B81-1-18+2,0)*IF($E$47="Kizárás",1,1+$E$47),0),$M80))))</f>
        <v/>
      </c>
      <c r="N81" s="160"/>
      <c r="O81" s="160" t="str">
        <f ca="1">IF(OR(ISBLANK($F$28),ISBLANK($E$8)),0,IF($E$9&gt;55,0,IF($B81="","",IF(MOD($B81,10)=1,IF($L$30="!",0,1)*ROUND($F$28/'CC Tarifák'!$B$313*VLOOKUP(64-$E$9+1-$B81+1,'CC Tarifák'!$B$315:$AX$361,$E$9+$B81-1-18+2,0)*IF($E$47="Kizárás",1,1+$E$47),0),$O80))))</f>
        <v/>
      </c>
      <c r="P81" s="160"/>
      <c r="Q81" s="160" t="str">
        <f t="shared" ca="1" si="1"/>
        <v/>
      </c>
      <c r="R81" s="160"/>
      <c r="S81" s="159" t="str">
        <f ca="1">IF(OR(ISBLANK($F$28),ISBLANK($E$8)),0,IF($E$9&gt;64,0,IF($B81="","",IF($H$32="!",0,1)*ROUND($F$28/'CC Tarifák'!$B$417*VLOOKUP(64-$E$9+1-$B81+1,'CC Tarifák'!$B$419:$AX$465,$E$9+$B81-1-18+2,0)*IF($E$47="Kizárás",1,1+$E$47),0))))</f>
        <v/>
      </c>
      <c r="T81" s="159"/>
      <c r="U81" s="159" t="str">
        <f ca="1">IF(OR(ISBLANK($F$28),ISBLANK($E$8)),0,IF($E$9&gt;60,0,IF($B81="","",IF(MOD($B81,5)=1,IF($J$32="!",0,1)*ROUND($F$28/'CC Tarifák'!$B$469*VLOOKUP(64-$E$9+1-$B81+1,'CC Tarifák'!$B$471:$AX$517,$E$9+$B81-1-18+2,0)*IF($E$47="Kizárás",1,1+$E$47),0),$U80))))</f>
        <v/>
      </c>
      <c r="V81" s="159"/>
      <c r="W81" s="159" t="str">
        <f ca="1">IF(OR(ISBLANK($F$28),ISBLANK($E$8)),0,IF($E$9&gt;55,0,IF($B81="","",IF(MOD($B81,10)=1,IF($L$32="!",0,1)*ROUND($F$28/'CC Tarifák'!$B$521*VLOOKUP(64-$E$9+1-$B81+1,'CC Tarifák'!$B$523:$AX$569,$E$9+$B81-1-18+2,0)*IF($E$47="Kizárás",1,1+$E$47),0),$W80))))</f>
        <v/>
      </c>
      <c r="X81" s="159"/>
      <c r="Y81" s="159" t="str">
        <f t="shared" ca="1" si="2"/>
        <v/>
      </c>
      <c r="Z81" s="159"/>
    </row>
    <row r="82" spans="2:26" x14ac:dyDescent="0.2">
      <c r="B82" s="78" t="str">
        <f t="shared" ca="1" si="3"/>
        <v/>
      </c>
      <c r="C82" s="159" t="str">
        <f ca="1">IF(OR(ISBLANK($F$28),ISBLANK($E$8)),0,IF($E$9&gt;64,0,IF($B82="","",IF($H$28="!",0,1)*ROUND($F$28/'CC Tarifák'!$B$1*VLOOKUP(64-$E$9+1-$B82+1,'CC Tarifák'!$B$3:$AX$49,$E$9+$B82-1-18+2,0)*IF($E$47="Kizárás",1,1+$E$47),0))))</f>
        <v/>
      </c>
      <c r="D82" s="159"/>
      <c r="E82" s="159" t="str">
        <f ca="1">IF(OR(ISBLANK($F$28),ISBLANK($E$8)),0,IF($E$9&gt;60,0,IF($B82="","",IF(MOD($B82,5)=1,IF($J$28="!",0,1)*ROUND($F$28/'CC Tarifák'!$B$53*VLOOKUP(64-$E$9+1-$B82+1,'CC Tarifák'!$B$55:$AX$101,$E$9+$B82-1-18+2,0)*IF($E$47="Kizárás",1,1+$E$47),0),$E81))))</f>
        <v/>
      </c>
      <c r="F82" s="159"/>
      <c r="G82" s="159" t="str">
        <f ca="1">IF(OR(ISBLANK($F$28),ISBLANK($E$8)),0,IF($E$9&gt;55,0,IF($B82="","",IF(MOD($B82,10)=1,IF($L$28="!",0,1)*ROUND($F$28/'CC Tarifák'!$B$105*VLOOKUP(64-$E$9+1-$B82+1,'CC Tarifák'!$B$107:$AX$153,$E$9+$B82-1-18+2,0)*IF($E$47="Kizárás",1,1+$E$47),0),$G81))))</f>
        <v/>
      </c>
      <c r="H82" s="159"/>
      <c r="I82" s="159" t="str">
        <f t="shared" ca="1" si="0"/>
        <v/>
      </c>
      <c r="J82" s="159"/>
      <c r="K82" s="160" t="str">
        <f ca="1">IF(OR(ISBLANK($F$28),ISBLANK($E$8)),0,IF($E$9&gt;64,0,IF($B82="","",IF($H$30="!",0,1)*ROUND($F$28/'CC Tarifák'!$B$209*VLOOKUP(64-$E$9+1-$B82+1,'CC Tarifák'!$B$211:$AX$257,$E$9+$B82-1-18+2,0)*IF($E$47="Kizárás",1,1+$E$47),0))))</f>
        <v/>
      </c>
      <c r="L82" s="160"/>
      <c r="M82" s="160" t="str">
        <f ca="1">IF(OR(ISBLANK($F$28),ISBLANK($E$8)),0,IF($E$9&gt;60,0,IF($B82="","",IF(MOD($B82,5)=1,IF($J$30="!",0,1)*ROUND($F$28/'CC Tarifák'!$B$261*VLOOKUP(64-$E$9+1-$B82+1,'CC Tarifák'!$B$263:$AX$309,$E$9+$B82-1-18+2,0)*IF($E$47="Kizárás",1,1+$E$47),0),$M81))))</f>
        <v/>
      </c>
      <c r="N82" s="160"/>
      <c r="O82" s="160" t="str">
        <f ca="1">IF(OR(ISBLANK($F$28),ISBLANK($E$8)),0,IF($E$9&gt;55,0,IF($B82="","",IF(MOD($B82,10)=1,IF($L$30="!",0,1)*ROUND($F$28/'CC Tarifák'!$B$313*VLOOKUP(64-$E$9+1-$B82+1,'CC Tarifák'!$B$315:$AX$361,$E$9+$B82-1-18+2,0)*IF($E$47="Kizárás",1,1+$E$47),0),$O81))))</f>
        <v/>
      </c>
      <c r="P82" s="160"/>
      <c r="Q82" s="160" t="str">
        <f t="shared" ca="1" si="1"/>
        <v/>
      </c>
      <c r="R82" s="160"/>
      <c r="S82" s="159" t="str">
        <f ca="1">IF(OR(ISBLANK($F$28),ISBLANK($E$8)),0,IF($E$9&gt;64,0,IF($B82="","",IF($H$32="!",0,1)*ROUND($F$28/'CC Tarifák'!$B$417*VLOOKUP(64-$E$9+1-$B82+1,'CC Tarifák'!$B$419:$AX$465,$E$9+$B82-1-18+2,0)*IF($E$47="Kizárás",1,1+$E$47),0))))</f>
        <v/>
      </c>
      <c r="T82" s="159"/>
      <c r="U82" s="159" t="str">
        <f ca="1">IF(OR(ISBLANK($F$28),ISBLANK($E$8)),0,IF($E$9&gt;60,0,IF($B82="","",IF(MOD($B82,5)=1,IF($J$32="!",0,1)*ROUND($F$28/'CC Tarifák'!$B$469*VLOOKUP(64-$E$9+1-$B82+1,'CC Tarifák'!$B$471:$AX$517,$E$9+$B82-1-18+2,0)*IF($E$47="Kizárás",1,1+$E$47),0),$U81))))</f>
        <v/>
      </c>
      <c r="V82" s="159"/>
      <c r="W82" s="159" t="str">
        <f ca="1">IF(OR(ISBLANK($F$28),ISBLANK($E$8)),0,IF($E$9&gt;55,0,IF($B82="","",IF(MOD($B82,10)=1,IF($L$32="!",0,1)*ROUND($F$28/'CC Tarifák'!$B$521*VLOOKUP(64-$E$9+1-$B82+1,'CC Tarifák'!$B$523:$AX$569,$E$9+$B82-1-18+2,0)*IF($E$47="Kizárás",1,1+$E$47),0),$W81))))</f>
        <v/>
      </c>
      <c r="X82" s="159"/>
      <c r="Y82" s="159" t="str">
        <f t="shared" ca="1" si="2"/>
        <v/>
      </c>
      <c r="Z82" s="159"/>
    </row>
    <row r="83" spans="2:26" x14ac:dyDescent="0.2">
      <c r="B83" s="78" t="str">
        <f t="shared" ca="1" si="3"/>
        <v/>
      </c>
      <c r="C83" s="159" t="str">
        <f ca="1">IF(OR(ISBLANK($F$28),ISBLANK($E$8)),0,IF($E$9&gt;64,0,IF($B83="","",IF($H$28="!",0,1)*ROUND($F$28/'CC Tarifák'!$B$1*VLOOKUP(64-$E$9+1-$B83+1,'CC Tarifák'!$B$3:$AX$49,$E$9+$B83-1-18+2,0)*IF($E$47="Kizárás",1,1+$E$47),0))))</f>
        <v/>
      </c>
      <c r="D83" s="159"/>
      <c r="E83" s="159" t="str">
        <f ca="1">IF(OR(ISBLANK($F$28),ISBLANK($E$8)),0,IF($E$9&gt;60,0,IF($B83="","",IF(MOD($B83,5)=1,IF($J$28="!",0,1)*ROUND($F$28/'CC Tarifák'!$B$53*VLOOKUP(64-$E$9+1-$B83+1,'CC Tarifák'!$B$55:$AX$101,$E$9+$B83-1-18+2,0)*IF($E$47="Kizárás",1,1+$E$47),0),$E82))))</f>
        <v/>
      </c>
      <c r="F83" s="159"/>
      <c r="G83" s="159" t="str">
        <f ca="1">IF(OR(ISBLANK($F$28),ISBLANK($E$8)),0,IF($E$9&gt;55,0,IF($B83="","",IF(MOD($B83,10)=1,IF($L$28="!",0,1)*ROUND($F$28/'CC Tarifák'!$B$105*VLOOKUP(64-$E$9+1-$B83+1,'CC Tarifák'!$B$107:$AX$153,$E$9+$B83-1-18+2,0)*IF($E$47="Kizárás",1,1+$E$47),0),$G82))))</f>
        <v/>
      </c>
      <c r="H83" s="159"/>
      <c r="I83" s="159" t="str">
        <f t="shared" ca="1" si="0"/>
        <v/>
      </c>
      <c r="J83" s="159"/>
      <c r="K83" s="160" t="str">
        <f ca="1">IF(OR(ISBLANK($F$28),ISBLANK($E$8)),0,IF($E$9&gt;64,0,IF($B83="","",IF($H$30="!",0,1)*ROUND($F$28/'CC Tarifák'!$B$209*VLOOKUP(64-$E$9+1-$B83+1,'CC Tarifák'!$B$211:$AX$257,$E$9+$B83-1-18+2,0)*IF($E$47="Kizárás",1,1+$E$47),0))))</f>
        <v/>
      </c>
      <c r="L83" s="160"/>
      <c r="M83" s="160" t="str">
        <f ca="1">IF(OR(ISBLANK($F$28),ISBLANK($E$8)),0,IF($E$9&gt;60,0,IF($B83="","",IF(MOD($B83,5)=1,IF($J$30="!",0,1)*ROUND($F$28/'CC Tarifák'!$B$261*VLOOKUP(64-$E$9+1-$B83+1,'CC Tarifák'!$B$263:$AX$309,$E$9+$B83-1-18+2,0)*IF($E$47="Kizárás",1,1+$E$47),0),$M82))))</f>
        <v/>
      </c>
      <c r="N83" s="160"/>
      <c r="O83" s="160" t="str">
        <f ca="1">IF(OR(ISBLANK($F$28),ISBLANK($E$8)),0,IF($E$9&gt;55,0,IF($B83="","",IF(MOD($B83,10)=1,IF($L$30="!",0,1)*ROUND($F$28/'CC Tarifák'!$B$313*VLOOKUP(64-$E$9+1-$B83+1,'CC Tarifák'!$B$315:$AX$361,$E$9+$B83-1-18+2,0)*IF($E$47="Kizárás",1,1+$E$47),0),$O82))))</f>
        <v/>
      </c>
      <c r="P83" s="160"/>
      <c r="Q83" s="160" t="str">
        <f t="shared" ca="1" si="1"/>
        <v/>
      </c>
      <c r="R83" s="160"/>
      <c r="S83" s="159" t="str">
        <f ca="1">IF(OR(ISBLANK($F$28),ISBLANK($E$8)),0,IF($E$9&gt;64,0,IF($B83="","",IF($H$32="!",0,1)*ROUND($F$28/'CC Tarifák'!$B$417*VLOOKUP(64-$E$9+1-$B83+1,'CC Tarifák'!$B$419:$AX$465,$E$9+$B83-1-18+2,0)*IF($E$47="Kizárás",1,1+$E$47),0))))</f>
        <v/>
      </c>
      <c r="T83" s="159"/>
      <c r="U83" s="159" t="str">
        <f ca="1">IF(OR(ISBLANK($F$28),ISBLANK($E$8)),0,IF($E$9&gt;60,0,IF($B83="","",IF(MOD($B83,5)=1,IF($J$32="!",0,1)*ROUND($F$28/'CC Tarifák'!$B$469*VLOOKUP(64-$E$9+1-$B83+1,'CC Tarifák'!$B$471:$AX$517,$E$9+$B83-1-18+2,0)*IF($E$47="Kizárás",1,1+$E$47),0),$U82))))</f>
        <v/>
      </c>
      <c r="V83" s="159"/>
      <c r="W83" s="159" t="str">
        <f ca="1">IF(OR(ISBLANK($F$28),ISBLANK($E$8)),0,IF($E$9&gt;55,0,IF($B83="","",IF(MOD($B83,10)=1,IF($L$32="!",0,1)*ROUND($F$28/'CC Tarifák'!$B$521*VLOOKUP(64-$E$9+1-$B83+1,'CC Tarifák'!$B$523:$AX$569,$E$9+$B83-1-18+2,0)*IF($E$47="Kizárás",1,1+$E$47),0),$W82))))</f>
        <v/>
      </c>
      <c r="X83" s="159"/>
      <c r="Y83" s="159" t="str">
        <f t="shared" ca="1" si="2"/>
        <v/>
      </c>
      <c r="Z83" s="159"/>
    </row>
    <row r="84" spans="2:26" x14ac:dyDescent="0.2">
      <c r="B84" s="78" t="str">
        <f t="shared" ca="1" si="3"/>
        <v/>
      </c>
      <c r="C84" s="159" t="str">
        <f ca="1">IF(OR(ISBLANK($F$28),ISBLANK($E$8)),0,IF($E$9&gt;64,0,IF($B84="","",IF($H$28="!",0,1)*ROUND($F$28/'CC Tarifák'!$B$1*VLOOKUP(64-$E$9+1-$B84+1,'CC Tarifák'!$B$3:$AX$49,$E$9+$B84-1-18+2,0)*IF($E$47="Kizárás",1,1+$E$47),0))))</f>
        <v/>
      </c>
      <c r="D84" s="159"/>
      <c r="E84" s="159" t="str">
        <f ca="1">IF(OR(ISBLANK($F$28),ISBLANK($E$8)),0,IF($E$9&gt;60,0,IF($B84="","",IF(MOD($B84,5)=1,IF($J$28="!",0,1)*ROUND($F$28/'CC Tarifák'!$B$53*VLOOKUP(64-$E$9+1-$B84+1,'CC Tarifák'!$B$55:$AX$101,$E$9+$B84-1-18+2,0)*IF($E$47="Kizárás",1,1+$E$47),0),$E83))))</f>
        <v/>
      </c>
      <c r="F84" s="159"/>
      <c r="G84" s="159" t="str">
        <f ca="1">IF(OR(ISBLANK($F$28),ISBLANK($E$8)),0,IF($E$9&gt;55,0,IF($B84="","",IF(MOD($B84,10)=1,IF($L$28="!",0,1)*ROUND($F$28/'CC Tarifák'!$B$105*VLOOKUP(64-$E$9+1-$B84+1,'CC Tarifák'!$B$107:$AX$153,$E$9+$B84-1-18+2,0)*IF($E$47="Kizárás",1,1+$E$47),0),$G83))))</f>
        <v/>
      </c>
      <c r="H84" s="159"/>
      <c r="I84" s="159" t="str">
        <f t="shared" ca="1" si="0"/>
        <v/>
      </c>
      <c r="J84" s="159"/>
      <c r="K84" s="160" t="str">
        <f ca="1">IF(OR(ISBLANK($F$28),ISBLANK($E$8)),0,IF($E$9&gt;64,0,IF($B84="","",IF($H$30="!",0,1)*ROUND($F$28/'CC Tarifák'!$B$209*VLOOKUP(64-$E$9+1-$B84+1,'CC Tarifák'!$B$211:$AX$257,$E$9+$B84-1-18+2,0)*IF($E$47="Kizárás",1,1+$E$47),0))))</f>
        <v/>
      </c>
      <c r="L84" s="160"/>
      <c r="M84" s="160" t="str">
        <f ca="1">IF(OR(ISBLANK($F$28),ISBLANK($E$8)),0,IF($E$9&gt;60,0,IF($B84="","",IF(MOD($B84,5)=1,IF($J$30="!",0,1)*ROUND($F$28/'CC Tarifák'!$B$261*VLOOKUP(64-$E$9+1-$B84+1,'CC Tarifák'!$B$263:$AX$309,$E$9+$B84-1-18+2,0)*IF($E$47="Kizárás",1,1+$E$47),0),$M83))))</f>
        <v/>
      </c>
      <c r="N84" s="160"/>
      <c r="O84" s="160" t="str">
        <f ca="1">IF(OR(ISBLANK($F$28),ISBLANK($E$8)),0,IF($E$9&gt;55,0,IF($B84="","",IF(MOD($B84,10)=1,IF($L$30="!",0,1)*ROUND($F$28/'CC Tarifák'!$B$313*VLOOKUP(64-$E$9+1-$B84+1,'CC Tarifák'!$B$315:$AX$361,$E$9+$B84-1-18+2,0)*IF($E$47="Kizárás",1,1+$E$47),0),$O83))))</f>
        <v/>
      </c>
      <c r="P84" s="160"/>
      <c r="Q84" s="160" t="str">
        <f t="shared" ca="1" si="1"/>
        <v/>
      </c>
      <c r="R84" s="160"/>
      <c r="S84" s="159" t="str">
        <f ca="1">IF(OR(ISBLANK($F$28),ISBLANK($E$8)),0,IF($E$9&gt;64,0,IF($B84="","",IF($H$32="!",0,1)*ROUND($F$28/'CC Tarifák'!$B$417*VLOOKUP(64-$E$9+1-$B84+1,'CC Tarifák'!$B$419:$AX$465,$E$9+$B84-1-18+2,0)*IF($E$47="Kizárás",1,1+$E$47),0))))</f>
        <v/>
      </c>
      <c r="T84" s="159"/>
      <c r="U84" s="159" t="str">
        <f ca="1">IF(OR(ISBLANK($F$28),ISBLANK($E$8)),0,IF($E$9&gt;60,0,IF($B84="","",IF(MOD($B84,5)=1,IF($J$32="!",0,1)*ROUND($F$28/'CC Tarifák'!$B$469*VLOOKUP(64-$E$9+1-$B84+1,'CC Tarifák'!$B$471:$AX$517,$E$9+$B84-1-18+2,0)*IF($E$47="Kizárás",1,1+$E$47),0),$U83))))</f>
        <v/>
      </c>
      <c r="V84" s="159"/>
      <c r="W84" s="159" t="str">
        <f ca="1">IF(OR(ISBLANK($F$28),ISBLANK($E$8)),0,IF($E$9&gt;55,0,IF($B84="","",IF(MOD($B84,10)=1,IF($L$32="!",0,1)*ROUND($F$28/'CC Tarifák'!$B$521*VLOOKUP(64-$E$9+1-$B84+1,'CC Tarifák'!$B$523:$AX$569,$E$9+$B84-1-18+2,0)*IF($E$47="Kizárás",1,1+$E$47),0),$W83))))</f>
        <v/>
      </c>
      <c r="X84" s="159"/>
      <c r="Y84" s="159" t="str">
        <f t="shared" ca="1" si="2"/>
        <v/>
      </c>
      <c r="Z84" s="159"/>
    </row>
    <row r="85" spans="2:26" x14ac:dyDescent="0.2">
      <c r="B85" s="78" t="str">
        <f t="shared" ca="1" si="3"/>
        <v/>
      </c>
      <c r="C85" s="159" t="str">
        <f ca="1">IF(OR(ISBLANK($F$28),ISBLANK($E$8)),0,IF($E$9&gt;64,0,IF($B85="","",IF($H$28="!",0,1)*ROUND($F$28/'CC Tarifák'!$B$1*VLOOKUP(64-$E$9+1-$B85+1,'CC Tarifák'!$B$3:$AX$49,$E$9+$B85-1-18+2,0)*IF($E$47="Kizárás",1,1+$E$47),0))))</f>
        <v/>
      </c>
      <c r="D85" s="159"/>
      <c r="E85" s="159" t="str">
        <f ca="1">IF(OR(ISBLANK($F$28),ISBLANK($E$8)),0,IF($E$9&gt;60,0,IF($B85="","",IF(MOD($B85,5)=1,IF($J$28="!",0,1)*ROUND($F$28/'CC Tarifák'!$B$53*VLOOKUP(64-$E$9+1-$B85+1,'CC Tarifák'!$B$55:$AX$101,$E$9+$B85-1-18+2,0)*IF($E$47="Kizárás",1,1+$E$47),0),$E84))))</f>
        <v/>
      </c>
      <c r="F85" s="159"/>
      <c r="G85" s="159" t="str">
        <f ca="1">IF(OR(ISBLANK($F$28),ISBLANK($E$8)),0,IF($E$9&gt;55,0,IF($B85="","",IF(MOD($B85,10)=1,IF($L$28="!",0,1)*ROUND($F$28/'CC Tarifák'!$B$105*VLOOKUP(64-$E$9+1-$B85+1,'CC Tarifák'!$B$107:$AX$153,$E$9+$B85-1-18+2,0)*IF($E$47="Kizárás",1,1+$E$47),0),$G84))))</f>
        <v/>
      </c>
      <c r="H85" s="159"/>
      <c r="I85" s="159" t="str">
        <f t="shared" ca="1" si="0"/>
        <v/>
      </c>
      <c r="J85" s="159"/>
      <c r="K85" s="160" t="str">
        <f ca="1">IF(OR(ISBLANK($F$28),ISBLANK($E$8)),0,IF($E$9&gt;64,0,IF($B85="","",IF($H$30="!",0,1)*ROUND($F$28/'CC Tarifák'!$B$209*VLOOKUP(64-$E$9+1-$B85+1,'CC Tarifák'!$B$211:$AX$257,$E$9+$B85-1-18+2,0)*IF($E$47="Kizárás",1,1+$E$47),0))))</f>
        <v/>
      </c>
      <c r="L85" s="160"/>
      <c r="M85" s="160" t="str">
        <f ca="1">IF(OR(ISBLANK($F$28),ISBLANK($E$8)),0,IF($E$9&gt;60,0,IF($B85="","",IF(MOD($B85,5)=1,IF($J$30="!",0,1)*ROUND($F$28/'CC Tarifák'!$B$261*VLOOKUP(64-$E$9+1-$B85+1,'CC Tarifák'!$B$263:$AX$309,$E$9+$B85-1-18+2,0)*IF($E$47="Kizárás",1,1+$E$47),0),$M84))))</f>
        <v/>
      </c>
      <c r="N85" s="160"/>
      <c r="O85" s="160" t="str">
        <f ca="1">IF(OR(ISBLANK($F$28),ISBLANK($E$8)),0,IF($E$9&gt;55,0,IF($B85="","",IF(MOD($B85,10)=1,IF($L$30="!",0,1)*ROUND($F$28/'CC Tarifák'!$B$313*VLOOKUP(64-$E$9+1-$B85+1,'CC Tarifák'!$B$315:$AX$361,$E$9+$B85-1-18+2,0)*IF($E$47="Kizárás",1,1+$E$47),0),$O84))))</f>
        <v/>
      </c>
      <c r="P85" s="160"/>
      <c r="Q85" s="160" t="str">
        <f t="shared" ca="1" si="1"/>
        <v/>
      </c>
      <c r="R85" s="160"/>
      <c r="S85" s="159" t="str">
        <f ca="1">IF(OR(ISBLANK($F$28),ISBLANK($E$8)),0,IF($E$9&gt;64,0,IF($B85="","",IF($H$32="!",0,1)*ROUND($F$28/'CC Tarifák'!$B$417*VLOOKUP(64-$E$9+1-$B85+1,'CC Tarifák'!$B$419:$AX$465,$E$9+$B85-1-18+2,0)*IF($E$47="Kizárás",1,1+$E$47),0))))</f>
        <v/>
      </c>
      <c r="T85" s="159"/>
      <c r="U85" s="159" t="str">
        <f ca="1">IF(OR(ISBLANK($F$28),ISBLANK($E$8)),0,IF($E$9&gt;60,0,IF($B85="","",IF(MOD($B85,5)=1,IF($J$32="!",0,1)*ROUND($F$28/'CC Tarifák'!$B$469*VLOOKUP(64-$E$9+1-$B85+1,'CC Tarifák'!$B$471:$AX$517,$E$9+$B85-1-18+2,0)*IF($E$47="Kizárás",1,1+$E$47),0),$U84))))</f>
        <v/>
      </c>
      <c r="V85" s="159"/>
      <c r="W85" s="159" t="str">
        <f ca="1">IF(OR(ISBLANK($F$28),ISBLANK($E$8)),0,IF($E$9&gt;55,0,IF($B85="","",IF(MOD($B85,10)=1,IF($L$32="!",0,1)*ROUND($F$28/'CC Tarifák'!$B$521*VLOOKUP(64-$E$9+1-$B85+1,'CC Tarifák'!$B$523:$AX$569,$E$9+$B85-1-18+2,0)*IF($E$47="Kizárás",1,1+$E$47),0),$W84))))</f>
        <v/>
      </c>
      <c r="X85" s="159"/>
      <c r="Y85" s="159" t="str">
        <f t="shared" ca="1" si="2"/>
        <v/>
      </c>
      <c r="Z85" s="159"/>
    </row>
    <row r="86" spans="2:26" x14ac:dyDescent="0.2">
      <c r="B86" s="78" t="str">
        <f t="shared" ca="1" si="3"/>
        <v/>
      </c>
      <c r="C86" s="159" t="str">
        <f ca="1">IF(OR(ISBLANK($F$28),ISBLANK($E$8)),0,IF($E$9&gt;64,0,IF($B86="","",IF($H$28="!",0,1)*ROUND($F$28/'CC Tarifák'!$B$1*VLOOKUP(64-$E$9+1-$B86+1,'CC Tarifák'!$B$3:$AX$49,$E$9+$B86-1-18+2,0)*IF($E$47="Kizárás",1,1+$E$47),0))))</f>
        <v/>
      </c>
      <c r="D86" s="159"/>
      <c r="E86" s="159" t="str">
        <f ca="1">IF(OR(ISBLANK($F$28),ISBLANK($E$8)),0,IF($E$9&gt;60,0,IF($B86="","",IF(MOD($B86,5)=1,IF($J$28="!",0,1)*ROUND($F$28/'CC Tarifák'!$B$53*VLOOKUP(64-$E$9+1-$B86+1,'CC Tarifák'!$B$55:$AX$101,$E$9+$B86-1-18+2,0)*IF($E$47="Kizárás",1,1+$E$47),0),$E85))))</f>
        <v/>
      </c>
      <c r="F86" s="159"/>
      <c r="G86" s="159" t="str">
        <f ca="1">IF(OR(ISBLANK($F$28),ISBLANK($E$8)),0,IF($E$9&gt;55,0,IF($B86="","",IF(MOD($B86,10)=1,IF($L$28="!",0,1)*ROUND($F$28/'CC Tarifák'!$B$105*VLOOKUP(64-$E$9+1-$B86+1,'CC Tarifák'!$B$107:$AX$153,$E$9+$B86-1-18+2,0)*IF($E$47="Kizárás",1,1+$E$47),0),$G85))))</f>
        <v/>
      </c>
      <c r="H86" s="159"/>
      <c r="I86" s="159" t="str">
        <f t="shared" ca="1" si="0"/>
        <v/>
      </c>
      <c r="J86" s="159"/>
      <c r="K86" s="160" t="str">
        <f ca="1">IF(OR(ISBLANK($F$28),ISBLANK($E$8)),0,IF($E$9&gt;64,0,IF($B86="","",IF($H$30="!",0,1)*ROUND($F$28/'CC Tarifák'!$B$209*VLOOKUP(64-$E$9+1-$B86+1,'CC Tarifák'!$B$211:$AX$257,$E$9+$B86-1-18+2,0)*IF($E$47="Kizárás",1,1+$E$47),0))))</f>
        <v/>
      </c>
      <c r="L86" s="160"/>
      <c r="M86" s="160" t="str">
        <f ca="1">IF(OR(ISBLANK($F$28),ISBLANK($E$8)),0,IF($E$9&gt;60,0,IF($B86="","",IF(MOD($B86,5)=1,IF($J$30="!",0,1)*ROUND($F$28/'CC Tarifák'!$B$261*VLOOKUP(64-$E$9+1-$B86+1,'CC Tarifák'!$B$263:$AX$309,$E$9+$B86-1-18+2,0)*IF($E$47="Kizárás",1,1+$E$47),0),$M85))))</f>
        <v/>
      </c>
      <c r="N86" s="160"/>
      <c r="O86" s="160" t="str">
        <f ca="1">IF(OR(ISBLANK($F$28),ISBLANK($E$8)),0,IF($E$9&gt;55,0,IF($B86="","",IF(MOD($B86,10)=1,IF($L$30="!",0,1)*ROUND($F$28/'CC Tarifák'!$B$313*VLOOKUP(64-$E$9+1-$B86+1,'CC Tarifák'!$B$315:$AX$361,$E$9+$B86-1-18+2,0)*IF($E$47="Kizárás",1,1+$E$47),0),$O85))))</f>
        <v/>
      </c>
      <c r="P86" s="160"/>
      <c r="Q86" s="160" t="str">
        <f t="shared" ca="1" si="1"/>
        <v/>
      </c>
      <c r="R86" s="160"/>
      <c r="S86" s="159" t="str">
        <f ca="1">IF(OR(ISBLANK($F$28),ISBLANK($E$8)),0,IF($E$9&gt;64,0,IF($B86="","",IF($H$32="!",0,1)*ROUND($F$28/'CC Tarifák'!$B$417*VLOOKUP(64-$E$9+1-$B86+1,'CC Tarifák'!$B$419:$AX$465,$E$9+$B86-1-18+2,0)*IF($E$47="Kizárás",1,1+$E$47),0))))</f>
        <v/>
      </c>
      <c r="T86" s="159"/>
      <c r="U86" s="159" t="str">
        <f ca="1">IF(OR(ISBLANK($F$28),ISBLANK($E$8)),0,IF($E$9&gt;60,0,IF($B86="","",IF(MOD($B86,5)=1,IF($J$32="!",0,1)*ROUND($F$28/'CC Tarifák'!$B$469*VLOOKUP(64-$E$9+1-$B86+1,'CC Tarifák'!$B$471:$AX$517,$E$9+$B86-1-18+2,0)*IF($E$47="Kizárás",1,1+$E$47),0),$U85))))</f>
        <v/>
      </c>
      <c r="V86" s="159"/>
      <c r="W86" s="159" t="str">
        <f ca="1">IF(OR(ISBLANK($F$28),ISBLANK($E$8)),0,IF($E$9&gt;55,0,IF($B86="","",IF(MOD($B86,10)=1,IF($L$32="!",0,1)*ROUND($F$28/'CC Tarifák'!$B$521*VLOOKUP(64-$E$9+1-$B86+1,'CC Tarifák'!$B$523:$AX$569,$E$9+$B86-1-18+2,0)*IF($E$47="Kizárás",1,1+$E$47),0),$W85))))</f>
        <v/>
      </c>
      <c r="X86" s="159"/>
      <c r="Y86" s="159" t="str">
        <f t="shared" ca="1" si="2"/>
        <v/>
      </c>
      <c r="Z86" s="159"/>
    </row>
    <row r="87" spans="2:26" x14ac:dyDescent="0.2">
      <c r="B87" s="78" t="str">
        <f t="shared" ca="1" si="3"/>
        <v/>
      </c>
      <c r="C87" s="159" t="str">
        <f ca="1">IF(OR(ISBLANK($F$28),ISBLANK($E$8)),0,IF($E$9&gt;64,0,IF($B87="","",IF($H$28="!",0,1)*ROUND($F$28/'CC Tarifák'!$B$1*VLOOKUP(64-$E$9+1-$B87+1,'CC Tarifák'!$B$3:$AX$49,$E$9+$B87-1-18+2,0)*IF($E$47="Kizárás",1,1+$E$47),0))))</f>
        <v/>
      </c>
      <c r="D87" s="159"/>
      <c r="E87" s="159" t="str">
        <f ca="1">IF(OR(ISBLANK($F$28),ISBLANK($E$8)),0,IF($E$9&gt;60,0,IF($B87="","",IF(MOD($B87,5)=1,IF($J$28="!",0,1)*ROUND($F$28/'CC Tarifák'!$B$53*VLOOKUP(64-$E$9+1-$B87+1,'CC Tarifák'!$B$55:$AX$101,$E$9+$B87-1-18+2,0)*IF($E$47="Kizárás",1,1+$E$47),0),$E86))))</f>
        <v/>
      </c>
      <c r="F87" s="159"/>
      <c r="G87" s="159" t="str">
        <f ca="1">IF(OR(ISBLANK($F$28),ISBLANK($E$8)),0,IF($E$9&gt;55,0,IF($B87="","",IF(MOD($B87,10)=1,IF($L$28="!",0,1)*ROUND($F$28/'CC Tarifák'!$B$105*VLOOKUP(64-$E$9+1-$B87+1,'CC Tarifák'!$B$107:$AX$153,$E$9+$B87-1-18+2,0)*IF($E$47="Kizárás",1,1+$E$47),0),$G86))))</f>
        <v/>
      </c>
      <c r="H87" s="159"/>
      <c r="I87" s="159" t="str">
        <f t="shared" ca="1" si="0"/>
        <v/>
      </c>
      <c r="J87" s="159"/>
      <c r="K87" s="160" t="str">
        <f ca="1">IF(OR(ISBLANK($F$28),ISBLANK($E$8)),0,IF($E$9&gt;64,0,IF($B87="","",IF($H$30="!",0,1)*ROUND($F$28/'CC Tarifák'!$B$209*VLOOKUP(64-$E$9+1-$B87+1,'CC Tarifák'!$B$211:$AX$257,$E$9+$B87-1-18+2,0)*IF($E$47="Kizárás",1,1+$E$47),0))))</f>
        <v/>
      </c>
      <c r="L87" s="160"/>
      <c r="M87" s="160" t="str">
        <f ca="1">IF(OR(ISBLANK($F$28),ISBLANK($E$8)),0,IF($E$9&gt;60,0,IF($B87="","",IF(MOD($B87,5)=1,IF($J$30="!",0,1)*ROUND($F$28/'CC Tarifák'!$B$261*VLOOKUP(64-$E$9+1-$B87+1,'CC Tarifák'!$B$263:$AX$309,$E$9+$B87-1-18+2,0)*IF($E$47="Kizárás",1,1+$E$47),0),$M86))))</f>
        <v/>
      </c>
      <c r="N87" s="160"/>
      <c r="O87" s="160" t="str">
        <f ca="1">IF(OR(ISBLANK($F$28),ISBLANK($E$8)),0,IF($E$9&gt;55,0,IF($B87="","",IF(MOD($B87,10)=1,IF($L$30="!",0,1)*ROUND($F$28/'CC Tarifák'!$B$313*VLOOKUP(64-$E$9+1-$B87+1,'CC Tarifák'!$B$315:$AX$361,$E$9+$B87-1-18+2,0)*IF($E$47="Kizárás",1,1+$E$47),0),$O86))))</f>
        <v/>
      </c>
      <c r="P87" s="160"/>
      <c r="Q87" s="160" t="str">
        <f t="shared" ca="1" si="1"/>
        <v/>
      </c>
      <c r="R87" s="160"/>
      <c r="S87" s="159" t="str">
        <f ca="1">IF(OR(ISBLANK($F$28),ISBLANK($E$8)),0,IF($E$9&gt;64,0,IF($B87="","",IF($H$32="!",0,1)*ROUND($F$28/'CC Tarifák'!$B$417*VLOOKUP(64-$E$9+1-$B87+1,'CC Tarifák'!$B$419:$AX$465,$E$9+$B87-1-18+2,0)*IF($E$47="Kizárás",1,1+$E$47),0))))</f>
        <v/>
      </c>
      <c r="T87" s="159"/>
      <c r="U87" s="159" t="str">
        <f ca="1">IF(OR(ISBLANK($F$28),ISBLANK($E$8)),0,IF($E$9&gt;60,0,IF($B87="","",IF(MOD($B87,5)=1,IF($J$32="!",0,1)*ROUND($F$28/'CC Tarifák'!$B$469*VLOOKUP(64-$E$9+1-$B87+1,'CC Tarifák'!$B$471:$AX$517,$E$9+$B87-1-18+2,0)*IF($E$47="Kizárás",1,1+$E$47),0),$U86))))</f>
        <v/>
      </c>
      <c r="V87" s="159"/>
      <c r="W87" s="159" t="str">
        <f ca="1">IF(OR(ISBLANK($F$28),ISBLANK($E$8)),0,IF($E$9&gt;55,0,IF($B87="","",IF(MOD($B87,10)=1,IF($L$32="!",0,1)*ROUND($F$28/'CC Tarifák'!$B$521*VLOOKUP(64-$E$9+1-$B87+1,'CC Tarifák'!$B$523:$AX$569,$E$9+$B87-1-18+2,0)*IF($E$47="Kizárás",1,1+$E$47),0),$W86))))</f>
        <v/>
      </c>
      <c r="X87" s="159"/>
      <c r="Y87" s="159" t="str">
        <f t="shared" ca="1" si="2"/>
        <v/>
      </c>
      <c r="Z87" s="159"/>
    </row>
    <row r="88" spans="2:26" x14ac:dyDescent="0.2">
      <c r="B88" s="78" t="str">
        <f t="shared" ca="1" si="3"/>
        <v/>
      </c>
      <c r="C88" s="159" t="str">
        <f ca="1">IF(OR(ISBLANK($F$28),ISBLANK($E$8)),0,IF($E$9&gt;64,0,IF($B88="","",IF($H$28="!",0,1)*ROUND($F$28/'CC Tarifák'!$B$1*VLOOKUP(64-$E$9+1-$B88+1,'CC Tarifák'!$B$3:$AX$49,$E$9+$B88-1-18+2,0)*IF($E$47="Kizárás",1,1+$E$47),0))))</f>
        <v/>
      </c>
      <c r="D88" s="159"/>
      <c r="E88" s="159" t="str">
        <f ca="1">IF(OR(ISBLANK($F$28),ISBLANK($E$8)),0,IF($E$9&gt;60,0,IF($B88="","",IF(MOD($B88,5)=1,IF($J$28="!",0,1)*ROUND($F$28/'CC Tarifák'!$B$53*VLOOKUP(64-$E$9+1-$B88+1,'CC Tarifák'!$B$55:$AX$101,$E$9+$B88-1-18+2,0)*IF($E$47="Kizárás",1,1+$E$47),0),$E87))))</f>
        <v/>
      </c>
      <c r="F88" s="159"/>
      <c r="G88" s="159" t="str">
        <f ca="1">IF(OR(ISBLANK($F$28),ISBLANK($E$8)),0,IF($E$9&gt;55,0,IF($B88="","",IF(MOD($B88,10)=1,IF($L$28="!",0,1)*ROUND($F$28/'CC Tarifák'!$B$105*VLOOKUP(64-$E$9+1-$B88+1,'CC Tarifák'!$B$107:$AX$153,$E$9+$B88-1-18+2,0)*IF($E$47="Kizárás",1,1+$E$47),0),$G87))))</f>
        <v/>
      </c>
      <c r="H88" s="159"/>
      <c r="I88" s="159" t="str">
        <f t="shared" ca="1" si="0"/>
        <v/>
      </c>
      <c r="J88" s="159"/>
      <c r="K88" s="160" t="str">
        <f ca="1">IF(OR(ISBLANK($F$28),ISBLANK($E$8)),0,IF($E$9&gt;64,0,IF($B88="","",IF($H$30="!",0,1)*ROUND($F$28/'CC Tarifák'!$B$209*VLOOKUP(64-$E$9+1-$B88+1,'CC Tarifák'!$B$211:$AX$257,$E$9+$B88-1-18+2,0)*IF($E$47="Kizárás",1,1+$E$47),0))))</f>
        <v/>
      </c>
      <c r="L88" s="160"/>
      <c r="M88" s="160" t="str">
        <f ca="1">IF(OR(ISBLANK($F$28),ISBLANK($E$8)),0,IF($E$9&gt;60,0,IF($B88="","",IF(MOD($B88,5)=1,IF($J$30="!",0,1)*ROUND($F$28/'CC Tarifák'!$B$261*VLOOKUP(64-$E$9+1-$B88+1,'CC Tarifák'!$B$263:$AX$309,$E$9+$B88-1-18+2,0)*IF($E$47="Kizárás",1,1+$E$47),0),$M87))))</f>
        <v/>
      </c>
      <c r="N88" s="160"/>
      <c r="O88" s="160" t="str">
        <f ca="1">IF(OR(ISBLANK($F$28),ISBLANK($E$8)),0,IF($E$9&gt;55,0,IF($B88="","",IF(MOD($B88,10)=1,IF($L$30="!",0,1)*ROUND($F$28/'CC Tarifák'!$B$313*VLOOKUP(64-$E$9+1-$B88+1,'CC Tarifák'!$B$315:$AX$361,$E$9+$B88-1-18+2,0)*IF($E$47="Kizárás",1,1+$E$47),0),$O87))))</f>
        <v/>
      </c>
      <c r="P88" s="160"/>
      <c r="Q88" s="160" t="str">
        <f t="shared" ca="1" si="1"/>
        <v/>
      </c>
      <c r="R88" s="160"/>
      <c r="S88" s="159" t="str">
        <f ca="1">IF(OR(ISBLANK($F$28),ISBLANK($E$8)),0,IF($E$9&gt;64,0,IF($B88="","",IF($H$32="!",0,1)*ROUND($F$28/'CC Tarifák'!$B$417*VLOOKUP(64-$E$9+1-$B88+1,'CC Tarifák'!$B$419:$AX$465,$E$9+$B88-1-18+2,0)*IF($E$47="Kizárás",1,1+$E$47),0))))</f>
        <v/>
      </c>
      <c r="T88" s="159"/>
      <c r="U88" s="159" t="str">
        <f ca="1">IF(OR(ISBLANK($F$28),ISBLANK($E$8)),0,IF($E$9&gt;60,0,IF($B88="","",IF(MOD($B88,5)=1,IF($J$32="!",0,1)*ROUND($F$28/'CC Tarifák'!$B$469*VLOOKUP(64-$E$9+1-$B88+1,'CC Tarifák'!$B$471:$AX$517,$E$9+$B88-1-18+2,0)*IF($E$47="Kizárás",1,1+$E$47),0),$U87))))</f>
        <v/>
      </c>
      <c r="V88" s="159"/>
      <c r="W88" s="159" t="str">
        <f ca="1">IF(OR(ISBLANK($F$28),ISBLANK($E$8)),0,IF($E$9&gt;55,0,IF($B88="","",IF(MOD($B88,10)=1,IF($L$32="!",0,1)*ROUND($F$28/'CC Tarifák'!$B$521*VLOOKUP(64-$E$9+1-$B88+1,'CC Tarifák'!$B$523:$AX$569,$E$9+$B88-1-18+2,0)*IF($E$47="Kizárás",1,1+$E$47),0),$W87))))</f>
        <v/>
      </c>
      <c r="X88" s="159"/>
      <c r="Y88" s="159" t="str">
        <f t="shared" ca="1" si="2"/>
        <v/>
      </c>
      <c r="Z88" s="159"/>
    </row>
    <row r="89" spans="2:26" x14ac:dyDescent="0.2">
      <c r="B89" s="78" t="str">
        <f t="shared" ca="1" si="3"/>
        <v/>
      </c>
      <c r="C89" s="159" t="str">
        <f ca="1">IF(OR(ISBLANK($F$28),ISBLANK($E$8)),0,IF($E$9&gt;64,0,IF($B89="","",IF($H$28="!",0,1)*ROUND($F$28/'CC Tarifák'!$B$1*VLOOKUP(64-$E$9+1-$B89+1,'CC Tarifák'!$B$3:$AX$49,$E$9+$B89-1-18+2,0)*IF($E$47="Kizárás",1,1+$E$47),0))))</f>
        <v/>
      </c>
      <c r="D89" s="159"/>
      <c r="E89" s="159" t="str">
        <f ca="1">IF(OR(ISBLANK($F$28),ISBLANK($E$8)),0,IF($E$9&gt;60,0,IF($B89="","",IF(MOD($B89,5)=1,IF($J$28="!",0,1)*ROUND($F$28/'CC Tarifák'!$B$53*VLOOKUP(64-$E$9+1-$B89+1,'CC Tarifák'!$B$55:$AX$101,$E$9+$B89-1-18+2,0)*IF($E$47="Kizárás",1,1+$E$47),0),$E88))))</f>
        <v/>
      </c>
      <c r="F89" s="159"/>
      <c r="G89" s="159" t="str">
        <f ca="1">IF(OR(ISBLANK($F$28),ISBLANK($E$8)),0,IF($E$9&gt;55,0,IF($B89="","",IF(MOD($B89,10)=1,IF($L$28="!",0,1)*ROUND($F$28/'CC Tarifák'!$B$105*VLOOKUP(64-$E$9+1-$B89+1,'CC Tarifák'!$B$107:$AX$153,$E$9+$B89-1-18+2,0)*IF($E$47="Kizárás",1,1+$E$47),0),$G88))))</f>
        <v/>
      </c>
      <c r="H89" s="159"/>
      <c r="I89" s="159" t="str">
        <f t="shared" ca="1" si="0"/>
        <v/>
      </c>
      <c r="J89" s="159"/>
      <c r="K89" s="160" t="str">
        <f ca="1">IF(OR(ISBLANK($F$28),ISBLANK($E$8)),0,IF($E$9&gt;64,0,IF($B89="","",IF($H$30="!",0,1)*ROUND($F$28/'CC Tarifák'!$B$209*VLOOKUP(64-$E$9+1-$B89+1,'CC Tarifák'!$B$211:$AX$257,$E$9+$B89-1-18+2,0)*IF($E$47="Kizárás",1,1+$E$47),0))))</f>
        <v/>
      </c>
      <c r="L89" s="160"/>
      <c r="M89" s="160" t="str">
        <f ca="1">IF(OR(ISBLANK($F$28),ISBLANK($E$8)),0,IF($E$9&gt;60,0,IF($B89="","",IF(MOD($B89,5)=1,IF($J$30="!",0,1)*ROUND($F$28/'CC Tarifák'!$B$261*VLOOKUP(64-$E$9+1-$B89+1,'CC Tarifák'!$B$263:$AX$309,$E$9+$B89-1-18+2,0)*IF($E$47="Kizárás",1,1+$E$47),0),$M88))))</f>
        <v/>
      </c>
      <c r="N89" s="160"/>
      <c r="O89" s="160" t="str">
        <f ca="1">IF(OR(ISBLANK($F$28),ISBLANK($E$8)),0,IF($E$9&gt;55,0,IF($B89="","",IF(MOD($B89,10)=1,IF($L$30="!",0,1)*ROUND($F$28/'CC Tarifák'!$B$313*VLOOKUP(64-$E$9+1-$B89+1,'CC Tarifák'!$B$315:$AX$361,$E$9+$B89-1-18+2,0)*IF($E$47="Kizárás",1,1+$E$47),0),$O88))))</f>
        <v/>
      </c>
      <c r="P89" s="160"/>
      <c r="Q89" s="160" t="str">
        <f t="shared" ca="1" si="1"/>
        <v/>
      </c>
      <c r="R89" s="160"/>
      <c r="S89" s="159" t="str">
        <f ca="1">IF(OR(ISBLANK($F$28),ISBLANK($E$8)),0,IF($E$9&gt;64,0,IF($B89="","",IF($H$32="!",0,1)*ROUND($F$28/'CC Tarifák'!$B$417*VLOOKUP(64-$E$9+1-$B89+1,'CC Tarifák'!$B$419:$AX$465,$E$9+$B89-1-18+2,0)*IF($E$47="Kizárás",1,1+$E$47),0))))</f>
        <v/>
      </c>
      <c r="T89" s="159"/>
      <c r="U89" s="159" t="str">
        <f ca="1">IF(OR(ISBLANK($F$28),ISBLANK($E$8)),0,IF($E$9&gt;60,0,IF($B89="","",IF(MOD($B89,5)=1,IF($J$32="!",0,1)*ROUND($F$28/'CC Tarifák'!$B$469*VLOOKUP(64-$E$9+1-$B89+1,'CC Tarifák'!$B$471:$AX$517,$E$9+$B89-1-18+2,0)*IF($E$47="Kizárás",1,1+$E$47),0),$U88))))</f>
        <v/>
      </c>
      <c r="V89" s="159"/>
      <c r="W89" s="159" t="str">
        <f ca="1">IF(OR(ISBLANK($F$28),ISBLANK($E$8)),0,IF($E$9&gt;55,0,IF($B89="","",IF(MOD($B89,10)=1,IF($L$32="!",0,1)*ROUND($F$28/'CC Tarifák'!$B$521*VLOOKUP(64-$E$9+1-$B89+1,'CC Tarifák'!$B$523:$AX$569,$E$9+$B89-1-18+2,0)*IF($E$47="Kizárás",1,1+$E$47),0),$W88))))</f>
        <v/>
      </c>
      <c r="X89" s="159"/>
      <c r="Y89" s="159" t="str">
        <f t="shared" ca="1" si="2"/>
        <v/>
      </c>
      <c r="Z89" s="159"/>
    </row>
    <row r="90" spans="2:26" x14ac:dyDescent="0.2">
      <c r="B90" s="78" t="str">
        <f t="shared" ca="1" si="3"/>
        <v/>
      </c>
      <c r="C90" s="159" t="str">
        <f ca="1">IF(OR(ISBLANK($F$28),ISBLANK($E$8)),0,IF($E$9&gt;64,0,IF($B90="","",IF($H$28="!",0,1)*ROUND($F$28/'CC Tarifák'!$B$1*VLOOKUP(64-$E$9+1-$B90+1,'CC Tarifák'!$B$3:$AX$49,$E$9+$B90-1-18+2,0)*IF($E$47="Kizárás",1,1+$E$47),0))))</f>
        <v/>
      </c>
      <c r="D90" s="159"/>
      <c r="E90" s="159" t="str">
        <f ca="1">IF(OR(ISBLANK($F$28),ISBLANK($E$8)),0,IF($E$9&gt;60,0,IF($B90="","",IF(MOD($B90,5)=1,IF($J$28="!",0,1)*ROUND($F$28/'CC Tarifák'!$B$53*VLOOKUP(64-$E$9+1-$B90+1,'CC Tarifák'!$B$55:$AX$101,$E$9+$B90-1-18+2,0)*IF($E$47="Kizárás",1,1+$E$47),0),$E89))))</f>
        <v/>
      </c>
      <c r="F90" s="159"/>
      <c r="G90" s="159" t="str">
        <f ca="1">IF(OR(ISBLANK($F$28),ISBLANK($E$8)),0,IF($E$9&gt;55,0,IF($B90="","",IF(MOD($B90,10)=1,IF($L$28="!",0,1)*ROUND($F$28/'CC Tarifák'!$B$105*VLOOKUP(64-$E$9+1-$B90+1,'CC Tarifák'!$B$107:$AX$153,$E$9+$B90-1-18+2,0)*IF($E$47="Kizárás",1,1+$E$47),0),$G89))))</f>
        <v/>
      </c>
      <c r="H90" s="159"/>
      <c r="I90" s="159" t="str">
        <f t="shared" ca="1" si="0"/>
        <v/>
      </c>
      <c r="J90" s="159"/>
      <c r="K90" s="160" t="str">
        <f ca="1">IF(OR(ISBLANK($F$28),ISBLANK($E$8)),0,IF($E$9&gt;64,0,IF($B90="","",IF($H$30="!",0,1)*ROUND($F$28/'CC Tarifák'!$B$209*VLOOKUP(64-$E$9+1-$B90+1,'CC Tarifák'!$B$211:$AX$257,$E$9+$B90-1-18+2,0)*IF($E$47="Kizárás",1,1+$E$47),0))))</f>
        <v/>
      </c>
      <c r="L90" s="160"/>
      <c r="M90" s="160" t="str">
        <f ca="1">IF(OR(ISBLANK($F$28),ISBLANK($E$8)),0,IF($E$9&gt;60,0,IF($B90="","",IF(MOD($B90,5)=1,IF($J$30="!",0,1)*ROUND($F$28/'CC Tarifák'!$B$261*VLOOKUP(64-$E$9+1-$B90+1,'CC Tarifák'!$B$263:$AX$309,$E$9+$B90-1-18+2,0)*IF($E$47="Kizárás",1,1+$E$47),0),$M89))))</f>
        <v/>
      </c>
      <c r="N90" s="160"/>
      <c r="O90" s="160" t="str">
        <f ca="1">IF(OR(ISBLANK($F$28),ISBLANK($E$8)),0,IF($E$9&gt;55,0,IF($B90="","",IF(MOD($B90,10)=1,IF($L$30="!",0,1)*ROUND($F$28/'CC Tarifák'!$B$313*VLOOKUP(64-$E$9+1-$B90+1,'CC Tarifák'!$B$315:$AX$361,$E$9+$B90-1-18+2,0)*IF($E$47="Kizárás",1,1+$E$47),0),$O89))))</f>
        <v/>
      </c>
      <c r="P90" s="160"/>
      <c r="Q90" s="160" t="str">
        <f t="shared" ca="1" si="1"/>
        <v/>
      </c>
      <c r="R90" s="160"/>
      <c r="S90" s="159" t="str">
        <f ca="1">IF(OR(ISBLANK($F$28),ISBLANK($E$8)),0,IF($E$9&gt;64,0,IF($B90="","",IF($H$32="!",0,1)*ROUND($F$28/'CC Tarifák'!$B$417*VLOOKUP(64-$E$9+1-$B90+1,'CC Tarifák'!$B$419:$AX$465,$E$9+$B90-1-18+2,0)*IF($E$47="Kizárás",1,1+$E$47),0))))</f>
        <v/>
      </c>
      <c r="T90" s="159"/>
      <c r="U90" s="159" t="str">
        <f ca="1">IF(OR(ISBLANK($F$28),ISBLANK($E$8)),0,IF($E$9&gt;60,0,IF($B90="","",IF(MOD($B90,5)=1,IF($J$32="!",0,1)*ROUND($F$28/'CC Tarifák'!$B$469*VLOOKUP(64-$E$9+1-$B90+1,'CC Tarifák'!$B$471:$AX$517,$E$9+$B90-1-18+2,0)*IF($E$47="Kizárás",1,1+$E$47),0),$U89))))</f>
        <v/>
      </c>
      <c r="V90" s="159"/>
      <c r="W90" s="159" t="str">
        <f ca="1">IF(OR(ISBLANK($F$28),ISBLANK($E$8)),0,IF($E$9&gt;55,0,IF($B90="","",IF(MOD($B90,10)=1,IF($L$32="!",0,1)*ROUND($F$28/'CC Tarifák'!$B$521*VLOOKUP(64-$E$9+1-$B90+1,'CC Tarifák'!$B$523:$AX$569,$E$9+$B90-1-18+2,0)*IF($E$47="Kizárás",1,1+$E$47),0),$W89))))</f>
        <v/>
      </c>
      <c r="X90" s="159"/>
      <c r="Y90" s="159" t="str">
        <f t="shared" ca="1" si="2"/>
        <v/>
      </c>
      <c r="Z90" s="159"/>
    </row>
    <row r="91" spans="2:26" x14ac:dyDescent="0.2">
      <c r="B91" s="78" t="str">
        <f t="shared" ca="1" si="3"/>
        <v/>
      </c>
      <c r="C91" s="159" t="str">
        <f ca="1">IF(OR(ISBLANK($F$28),ISBLANK($E$8)),0,IF($E$9&gt;64,0,IF($B91="","",IF($H$28="!",0,1)*ROUND($F$28/'CC Tarifák'!$B$1*VLOOKUP(64-$E$9+1-$B91+1,'CC Tarifák'!$B$3:$AX$49,$E$9+$B91-1-18+2,0)*IF($E$47="Kizárás",1,1+$E$47),0))))</f>
        <v/>
      </c>
      <c r="D91" s="159"/>
      <c r="E91" s="159" t="str">
        <f ca="1">IF(OR(ISBLANK($F$28),ISBLANK($E$8)),0,IF($E$9&gt;60,0,IF($B91="","",IF(MOD($B91,5)=1,IF($J$28="!",0,1)*ROUND($F$28/'CC Tarifák'!$B$53*VLOOKUP(64-$E$9+1-$B91+1,'CC Tarifák'!$B$55:$AX$101,$E$9+$B91-1-18+2,0)*IF($E$47="Kizárás",1,1+$E$47),0),$E90))))</f>
        <v/>
      </c>
      <c r="F91" s="159"/>
      <c r="G91" s="159" t="str">
        <f ca="1">IF(OR(ISBLANK($F$28),ISBLANK($E$8)),0,IF($E$9&gt;55,0,IF($B91="","",IF(MOD($B91,10)=1,IF($L$28="!",0,1)*ROUND($F$28/'CC Tarifák'!$B$105*VLOOKUP(64-$E$9+1-$B91+1,'CC Tarifák'!$B$107:$AX$153,$E$9+$B91-1-18+2,0)*IF($E$47="Kizárás",1,1+$E$47),0),$G90))))</f>
        <v/>
      </c>
      <c r="H91" s="159"/>
      <c r="I91" s="159" t="str">
        <f t="shared" ca="1" si="0"/>
        <v/>
      </c>
      <c r="J91" s="159"/>
      <c r="K91" s="160" t="str">
        <f ca="1">IF(OR(ISBLANK($F$28),ISBLANK($E$8)),0,IF($E$9&gt;64,0,IF($B91="","",IF($H$30="!",0,1)*ROUND($F$28/'CC Tarifák'!$B$209*VLOOKUP(64-$E$9+1-$B91+1,'CC Tarifák'!$B$211:$AX$257,$E$9+$B91-1-18+2,0)*IF($E$47="Kizárás",1,1+$E$47),0))))</f>
        <v/>
      </c>
      <c r="L91" s="160"/>
      <c r="M91" s="160" t="str">
        <f ca="1">IF(OR(ISBLANK($F$28),ISBLANK($E$8)),0,IF($E$9&gt;60,0,IF($B91="","",IF(MOD($B91,5)=1,IF($J$30="!",0,1)*ROUND($F$28/'CC Tarifák'!$B$261*VLOOKUP(64-$E$9+1-$B91+1,'CC Tarifák'!$B$263:$AX$309,$E$9+$B91-1-18+2,0)*IF($E$47="Kizárás",1,1+$E$47),0),$M90))))</f>
        <v/>
      </c>
      <c r="N91" s="160"/>
      <c r="O91" s="160" t="str">
        <f ca="1">IF(OR(ISBLANK($F$28),ISBLANK($E$8)),0,IF($E$9&gt;55,0,IF($B91="","",IF(MOD($B91,10)=1,IF($L$30="!",0,1)*ROUND($F$28/'CC Tarifák'!$B$313*VLOOKUP(64-$E$9+1-$B91+1,'CC Tarifák'!$B$315:$AX$361,$E$9+$B91-1-18+2,0)*IF($E$47="Kizárás",1,1+$E$47),0),$O90))))</f>
        <v/>
      </c>
      <c r="P91" s="160"/>
      <c r="Q91" s="160" t="str">
        <f t="shared" ca="1" si="1"/>
        <v/>
      </c>
      <c r="R91" s="160"/>
      <c r="S91" s="159" t="str">
        <f ca="1">IF(OR(ISBLANK($F$28),ISBLANK($E$8)),0,IF($E$9&gt;64,0,IF($B91="","",IF($H$32="!",0,1)*ROUND($F$28/'CC Tarifák'!$B$417*VLOOKUP(64-$E$9+1-$B91+1,'CC Tarifák'!$B$419:$AX$465,$E$9+$B91-1-18+2,0)*IF($E$47="Kizárás",1,1+$E$47),0))))</f>
        <v/>
      </c>
      <c r="T91" s="159"/>
      <c r="U91" s="159" t="str">
        <f ca="1">IF(OR(ISBLANK($F$28),ISBLANK($E$8)),0,IF($E$9&gt;60,0,IF($B91="","",IF(MOD($B91,5)=1,IF($J$32="!",0,1)*ROUND($F$28/'CC Tarifák'!$B$469*VLOOKUP(64-$E$9+1-$B91+1,'CC Tarifák'!$B$471:$AX$517,$E$9+$B91-1-18+2,0)*IF($E$47="Kizárás",1,1+$E$47),0),$U90))))</f>
        <v/>
      </c>
      <c r="V91" s="159"/>
      <c r="W91" s="159" t="str">
        <f ca="1">IF(OR(ISBLANK($F$28),ISBLANK($E$8)),0,IF($E$9&gt;55,0,IF($B91="","",IF(MOD($B91,10)=1,IF($L$32="!",0,1)*ROUND($F$28/'CC Tarifák'!$B$521*VLOOKUP(64-$E$9+1-$B91+1,'CC Tarifák'!$B$523:$AX$569,$E$9+$B91-1-18+2,0)*IF($E$47="Kizárás",1,1+$E$47),0),$W90))))</f>
        <v/>
      </c>
      <c r="X91" s="159"/>
      <c r="Y91" s="159" t="str">
        <f t="shared" ca="1" si="2"/>
        <v/>
      </c>
      <c r="Z91" s="159"/>
    </row>
    <row r="92" spans="2:26" x14ac:dyDescent="0.2">
      <c r="B92" s="78" t="str">
        <f t="shared" ca="1" si="3"/>
        <v/>
      </c>
      <c r="C92" s="159" t="str">
        <f ca="1">IF(OR(ISBLANK($F$28),ISBLANK($E$8)),0,IF($E$9&gt;64,0,IF($B92="","",IF($H$28="!",0,1)*ROUND($F$28/'CC Tarifák'!$B$1*VLOOKUP(64-$E$9+1-$B92+1,'CC Tarifák'!$B$3:$AX$49,$E$9+$B92-1-18+2,0)*IF($E$47="Kizárás",1,1+$E$47),0))))</f>
        <v/>
      </c>
      <c r="D92" s="159"/>
      <c r="E92" s="159" t="str">
        <f ca="1">IF(OR(ISBLANK($F$28),ISBLANK($E$8)),0,IF($E$9&gt;60,0,IF($B92="","",IF(MOD($B92,5)=1,IF($J$28="!",0,1)*ROUND($F$28/'CC Tarifák'!$B$53*VLOOKUP(64-$E$9+1-$B92+1,'CC Tarifák'!$B$55:$AX$101,$E$9+$B92-1-18+2,0)*IF($E$47="Kizárás",1,1+$E$47),0),$E91))))</f>
        <v/>
      </c>
      <c r="F92" s="159"/>
      <c r="G92" s="159" t="str">
        <f ca="1">IF(OR(ISBLANK($F$28),ISBLANK($E$8)),0,IF($E$9&gt;55,0,IF($B92="","",IF(MOD($B92,10)=1,IF($L$28="!",0,1)*ROUND($F$28/'CC Tarifák'!$B$105*VLOOKUP(64-$E$9+1-$B92+1,'CC Tarifák'!$B$107:$AX$153,$E$9+$B92-1-18+2,0)*IF($E$47="Kizárás",1,1+$E$47),0),$G91))))</f>
        <v/>
      </c>
      <c r="H92" s="159"/>
      <c r="I92" s="159" t="str">
        <f t="shared" ca="1" si="0"/>
        <v/>
      </c>
      <c r="J92" s="159"/>
      <c r="K92" s="160" t="str">
        <f ca="1">IF(OR(ISBLANK($F$28),ISBLANK($E$8)),0,IF($E$9&gt;64,0,IF($B92="","",IF($H$30="!",0,1)*ROUND($F$28/'CC Tarifák'!$B$209*VLOOKUP(64-$E$9+1-$B92+1,'CC Tarifák'!$B$211:$AX$257,$E$9+$B92-1-18+2,0)*IF($E$47="Kizárás",1,1+$E$47),0))))</f>
        <v/>
      </c>
      <c r="L92" s="160"/>
      <c r="M92" s="160" t="str">
        <f ca="1">IF(OR(ISBLANK($F$28),ISBLANK($E$8)),0,IF($E$9&gt;60,0,IF($B92="","",IF(MOD($B92,5)=1,IF($J$30="!",0,1)*ROUND($F$28/'CC Tarifák'!$B$261*VLOOKUP(64-$E$9+1-$B92+1,'CC Tarifák'!$B$263:$AX$309,$E$9+$B92-1-18+2,0)*IF($E$47="Kizárás",1,1+$E$47),0),$M91))))</f>
        <v/>
      </c>
      <c r="N92" s="160"/>
      <c r="O92" s="160" t="str">
        <f ca="1">IF(OR(ISBLANK($F$28),ISBLANK($E$8)),0,IF($E$9&gt;55,0,IF($B92="","",IF(MOD($B92,10)=1,IF($L$30="!",0,1)*ROUND($F$28/'CC Tarifák'!$B$313*VLOOKUP(64-$E$9+1-$B92+1,'CC Tarifák'!$B$315:$AX$361,$E$9+$B92-1-18+2,0)*IF($E$47="Kizárás",1,1+$E$47),0),$O91))))</f>
        <v/>
      </c>
      <c r="P92" s="160"/>
      <c r="Q92" s="160" t="str">
        <f t="shared" ca="1" si="1"/>
        <v/>
      </c>
      <c r="R92" s="160"/>
      <c r="S92" s="159" t="str">
        <f ca="1">IF(OR(ISBLANK($F$28),ISBLANK($E$8)),0,IF($E$9&gt;64,0,IF($B92="","",IF($H$32="!",0,1)*ROUND($F$28/'CC Tarifák'!$B$417*VLOOKUP(64-$E$9+1-$B92+1,'CC Tarifák'!$B$419:$AX$465,$E$9+$B92-1-18+2,0)*IF($E$47="Kizárás",1,1+$E$47),0))))</f>
        <v/>
      </c>
      <c r="T92" s="159"/>
      <c r="U92" s="159" t="str">
        <f ca="1">IF(OR(ISBLANK($F$28),ISBLANK($E$8)),0,IF($E$9&gt;60,0,IF($B92="","",IF(MOD($B92,5)=1,IF($J$32="!",0,1)*ROUND($F$28/'CC Tarifák'!$B$469*VLOOKUP(64-$E$9+1-$B92+1,'CC Tarifák'!$B$471:$AX$517,$E$9+$B92-1-18+2,0)*IF($E$47="Kizárás",1,1+$E$47),0),$U91))))</f>
        <v/>
      </c>
      <c r="V92" s="159"/>
      <c r="W92" s="159" t="str">
        <f ca="1">IF(OR(ISBLANK($F$28),ISBLANK($E$8)),0,IF($E$9&gt;55,0,IF($B92="","",IF(MOD($B92,10)=1,IF($L$32="!",0,1)*ROUND($F$28/'CC Tarifák'!$B$521*VLOOKUP(64-$E$9+1-$B92+1,'CC Tarifák'!$B$523:$AX$569,$E$9+$B92-1-18+2,0)*IF($E$47="Kizárás",1,1+$E$47),0),$W91))))</f>
        <v/>
      </c>
      <c r="X92" s="159"/>
      <c r="Y92" s="159" t="str">
        <f t="shared" ca="1" si="2"/>
        <v/>
      </c>
      <c r="Z92" s="159"/>
    </row>
    <row r="93" spans="2:26" x14ac:dyDescent="0.2">
      <c r="B93" s="78" t="str">
        <f t="shared" ca="1" si="3"/>
        <v/>
      </c>
      <c r="C93" s="159" t="str">
        <f ca="1">IF(OR(ISBLANK($F$28),ISBLANK($E$8)),0,IF($E$9&gt;64,0,IF($B93="","",IF($H$28="!",0,1)*ROUND($F$28/'CC Tarifák'!$B$1*VLOOKUP(64-$E$9+1-$B93+1,'CC Tarifák'!$B$3:$AX$49,$E$9+$B93-1-18+2,0)*IF($E$47="Kizárás",1,1+$E$47),0))))</f>
        <v/>
      </c>
      <c r="D93" s="159"/>
      <c r="E93" s="159" t="str">
        <f ca="1">IF(OR(ISBLANK($F$28),ISBLANK($E$8)),0,IF($E$9&gt;60,0,IF($B93="","",IF(MOD($B93,5)=1,IF($J$28="!",0,1)*ROUND($F$28/'CC Tarifák'!$B$53*VLOOKUP(64-$E$9+1-$B93+1,'CC Tarifák'!$B$55:$AX$101,$E$9+$B93-1-18+2,0)*IF($E$47="Kizárás",1,1+$E$47),0),$E92))))</f>
        <v/>
      </c>
      <c r="F93" s="159"/>
      <c r="G93" s="159" t="str">
        <f ca="1">IF(OR(ISBLANK($F$28),ISBLANK($E$8)),0,IF($E$9&gt;55,0,IF($B93="","",IF(MOD($B93,10)=1,IF($L$28="!",0,1)*ROUND($F$28/'CC Tarifák'!$B$105*VLOOKUP(64-$E$9+1-$B93+1,'CC Tarifák'!$B$107:$AX$153,$E$9+$B93-1-18+2,0)*IF($E$47="Kizárás",1,1+$E$47),0),$G92))))</f>
        <v/>
      </c>
      <c r="H93" s="159"/>
      <c r="I93" s="159" t="str">
        <f t="shared" ca="1" si="0"/>
        <v/>
      </c>
      <c r="J93" s="159"/>
      <c r="K93" s="160" t="str">
        <f ca="1">IF(OR(ISBLANK($F$28),ISBLANK($E$8)),0,IF($E$9&gt;64,0,IF($B93="","",IF($H$30="!",0,1)*ROUND($F$28/'CC Tarifák'!$B$209*VLOOKUP(64-$E$9+1-$B93+1,'CC Tarifák'!$B$211:$AX$257,$E$9+$B93-1-18+2,0)*IF($E$47="Kizárás",1,1+$E$47),0))))</f>
        <v/>
      </c>
      <c r="L93" s="160"/>
      <c r="M93" s="160" t="str">
        <f ca="1">IF(OR(ISBLANK($F$28),ISBLANK($E$8)),0,IF($E$9&gt;60,0,IF($B93="","",IF(MOD($B93,5)=1,IF($J$30="!",0,1)*ROUND($F$28/'CC Tarifák'!$B$261*VLOOKUP(64-$E$9+1-$B93+1,'CC Tarifák'!$B$263:$AX$309,$E$9+$B93-1-18+2,0)*IF($E$47="Kizárás",1,1+$E$47),0),$M92))))</f>
        <v/>
      </c>
      <c r="N93" s="160"/>
      <c r="O93" s="160" t="str">
        <f ca="1">IF(OR(ISBLANK($F$28),ISBLANK($E$8)),0,IF($E$9&gt;55,0,IF($B93="","",IF(MOD($B93,10)=1,IF($L$30="!",0,1)*ROUND($F$28/'CC Tarifák'!$B$313*VLOOKUP(64-$E$9+1-$B93+1,'CC Tarifák'!$B$315:$AX$361,$E$9+$B93-1-18+2,0)*IF($E$47="Kizárás",1,1+$E$47),0),$O92))))</f>
        <v/>
      </c>
      <c r="P93" s="160"/>
      <c r="Q93" s="160" t="str">
        <f t="shared" ca="1" si="1"/>
        <v/>
      </c>
      <c r="R93" s="160"/>
      <c r="S93" s="159" t="str">
        <f ca="1">IF(OR(ISBLANK($F$28),ISBLANK($E$8)),0,IF($E$9&gt;64,0,IF($B93="","",IF($H$32="!",0,1)*ROUND($F$28/'CC Tarifák'!$B$417*VLOOKUP(64-$E$9+1-$B93+1,'CC Tarifák'!$B$419:$AX$465,$E$9+$B93-1-18+2,0)*IF($E$47="Kizárás",1,1+$E$47),0))))</f>
        <v/>
      </c>
      <c r="T93" s="159"/>
      <c r="U93" s="159" t="str">
        <f ca="1">IF(OR(ISBLANK($F$28),ISBLANK($E$8)),0,IF($E$9&gt;60,0,IF($B93="","",IF(MOD($B93,5)=1,IF($J$32="!",0,1)*ROUND($F$28/'CC Tarifák'!$B$469*VLOOKUP(64-$E$9+1-$B93+1,'CC Tarifák'!$B$471:$AX$517,$E$9+$B93-1-18+2,0)*IF($E$47="Kizárás",1,1+$E$47),0),$U92))))</f>
        <v/>
      </c>
      <c r="V93" s="159"/>
      <c r="W93" s="159" t="str">
        <f ca="1">IF(OR(ISBLANK($F$28),ISBLANK($E$8)),0,IF($E$9&gt;55,0,IF($B93="","",IF(MOD($B93,10)=1,IF($L$32="!",0,1)*ROUND($F$28/'CC Tarifák'!$B$521*VLOOKUP(64-$E$9+1-$B93+1,'CC Tarifák'!$B$523:$AX$569,$E$9+$B93-1-18+2,0)*IF($E$47="Kizárás",1,1+$E$47),0),$W92))))</f>
        <v/>
      </c>
      <c r="X93" s="159"/>
      <c r="Y93" s="159" t="str">
        <f t="shared" ca="1" si="2"/>
        <v/>
      </c>
      <c r="Z93" s="159"/>
    </row>
    <row r="94" spans="2:26" x14ac:dyDescent="0.2">
      <c r="B94" s="78" t="str">
        <f t="shared" ca="1" si="3"/>
        <v/>
      </c>
      <c r="C94" s="159" t="str">
        <f ca="1">IF(OR(ISBLANK($F$28),ISBLANK($E$8)),0,IF($E$9&gt;64,0,IF($B94="","",IF($H$28="!",0,1)*ROUND($F$28/'CC Tarifák'!$B$1*VLOOKUP(64-$E$9+1-$B94+1,'CC Tarifák'!$B$3:$AX$49,$E$9+$B94-1-18+2,0)*IF($E$47="Kizárás",1,1+$E$47),0))))</f>
        <v/>
      </c>
      <c r="D94" s="159"/>
      <c r="E94" s="159" t="str">
        <f ca="1">IF(OR(ISBLANK($F$28),ISBLANK($E$8)),0,IF($E$9&gt;60,0,IF($B94="","",IF(MOD($B94,5)=1,IF($J$28="!",0,1)*ROUND($F$28/'CC Tarifák'!$B$53*VLOOKUP(64-$E$9+1-$B94+1,'CC Tarifák'!$B$55:$AX$101,$E$9+$B94-1-18+2,0)*IF($E$47="Kizárás",1,1+$E$47),0),$E93))))</f>
        <v/>
      </c>
      <c r="F94" s="159"/>
      <c r="G94" s="159" t="str">
        <f ca="1">IF(OR(ISBLANK($F$28),ISBLANK($E$8)),0,IF($E$9&gt;55,0,IF($B94="","",IF(MOD($B94,10)=1,IF($L$28="!",0,1)*ROUND($F$28/'CC Tarifák'!$B$105*VLOOKUP(64-$E$9+1-$B94+1,'CC Tarifák'!$B$107:$AX$153,$E$9+$B94-1-18+2,0)*IF($E$47="Kizárás",1,1+$E$47),0),$G93))))</f>
        <v/>
      </c>
      <c r="H94" s="159"/>
      <c r="I94" s="159" t="str">
        <f t="shared" ca="1" si="0"/>
        <v/>
      </c>
      <c r="J94" s="159"/>
      <c r="K94" s="160" t="str">
        <f ca="1">IF(OR(ISBLANK($F$28),ISBLANK($E$8)),0,IF($E$9&gt;64,0,IF($B94="","",IF($H$30="!",0,1)*ROUND($F$28/'CC Tarifák'!$B$209*VLOOKUP(64-$E$9+1-$B94+1,'CC Tarifák'!$B$211:$AX$257,$E$9+$B94-1-18+2,0)*IF($E$47="Kizárás",1,1+$E$47),0))))</f>
        <v/>
      </c>
      <c r="L94" s="160"/>
      <c r="M94" s="160" t="str">
        <f ca="1">IF(OR(ISBLANK($F$28),ISBLANK($E$8)),0,IF($E$9&gt;60,0,IF($B94="","",IF(MOD($B94,5)=1,IF($J$30="!",0,1)*ROUND($F$28/'CC Tarifák'!$B$261*VLOOKUP(64-$E$9+1-$B94+1,'CC Tarifák'!$B$263:$AX$309,$E$9+$B94-1-18+2,0)*IF($E$47="Kizárás",1,1+$E$47),0),$M93))))</f>
        <v/>
      </c>
      <c r="N94" s="160"/>
      <c r="O94" s="160" t="str">
        <f ca="1">IF(OR(ISBLANK($F$28),ISBLANK($E$8)),0,IF($E$9&gt;55,0,IF($B94="","",IF(MOD($B94,10)=1,IF($L$30="!",0,1)*ROUND($F$28/'CC Tarifák'!$B$313*VLOOKUP(64-$E$9+1-$B94+1,'CC Tarifák'!$B$315:$AX$361,$E$9+$B94-1-18+2,0)*IF($E$47="Kizárás",1,1+$E$47),0),$O93))))</f>
        <v/>
      </c>
      <c r="P94" s="160"/>
      <c r="Q94" s="160" t="str">
        <f t="shared" ca="1" si="1"/>
        <v/>
      </c>
      <c r="R94" s="160"/>
      <c r="S94" s="159" t="str">
        <f ca="1">IF(OR(ISBLANK($F$28),ISBLANK($E$8)),0,IF($E$9&gt;64,0,IF($B94="","",IF($H$32="!",0,1)*ROUND($F$28/'CC Tarifák'!$B$417*VLOOKUP(64-$E$9+1-$B94+1,'CC Tarifák'!$B$419:$AX$465,$E$9+$B94-1-18+2,0)*IF($E$47="Kizárás",1,1+$E$47),0))))</f>
        <v/>
      </c>
      <c r="T94" s="159"/>
      <c r="U94" s="159" t="str">
        <f ca="1">IF(OR(ISBLANK($F$28),ISBLANK($E$8)),0,IF($E$9&gt;60,0,IF($B94="","",IF(MOD($B94,5)=1,IF($J$32="!",0,1)*ROUND($F$28/'CC Tarifák'!$B$469*VLOOKUP(64-$E$9+1-$B94+1,'CC Tarifák'!$B$471:$AX$517,$E$9+$B94-1-18+2,0)*IF($E$47="Kizárás",1,1+$E$47),0),$U93))))</f>
        <v/>
      </c>
      <c r="V94" s="159"/>
      <c r="W94" s="159" t="str">
        <f ca="1">IF(OR(ISBLANK($F$28),ISBLANK($E$8)),0,IF($E$9&gt;55,0,IF($B94="","",IF(MOD($B94,10)=1,IF($L$32="!",0,1)*ROUND($F$28/'CC Tarifák'!$B$521*VLOOKUP(64-$E$9+1-$B94+1,'CC Tarifák'!$B$523:$AX$569,$E$9+$B94-1-18+2,0)*IF($E$47="Kizárás",1,1+$E$47),0),$W93))))</f>
        <v/>
      </c>
      <c r="X94" s="159"/>
      <c r="Y94" s="159" t="str">
        <f t="shared" ca="1" si="2"/>
        <v/>
      </c>
      <c r="Z94" s="159"/>
    </row>
    <row r="95" spans="2:26" x14ac:dyDescent="0.2">
      <c r="B95" s="78" t="str">
        <f t="shared" ca="1" si="3"/>
        <v/>
      </c>
      <c r="C95" s="159" t="str">
        <f ca="1">IF(OR(ISBLANK($F$28),ISBLANK($E$8)),0,IF($E$9&gt;64,0,IF($B95="","",IF($H$28="!",0,1)*ROUND($F$28/'CC Tarifák'!$B$1*VLOOKUP(64-$E$9+1-$B95+1,'CC Tarifák'!$B$3:$AX$49,$E$9+$B95-1-18+2,0)*IF($E$47="Kizárás",1,1+$E$47),0))))</f>
        <v/>
      </c>
      <c r="D95" s="159"/>
      <c r="E95" s="159" t="str">
        <f ca="1">IF(OR(ISBLANK($F$28),ISBLANK($E$8)),0,IF($E$9&gt;60,0,IF($B95="","",IF(MOD($B95,5)=1,IF($J$28="!",0,1)*ROUND($F$28/'CC Tarifák'!$B$53*VLOOKUP(64-$E$9+1-$B95+1,'CC Tarifák'!$B$55:$AX$101,$E$9+$B95-1-18+2,0)*IF($E$47="Kizárás",1,1+$E$47),0),$E94))))</f>
        <v/>
      </c>
      <c r="F95" s="159"/>
      <c r="G95" s="159" t="str">
        <f ca="1">IF(OR(ISBLANK($F$28),ISBLANK($E$8)),0,IF($E$9&gt;55,0,IF($B95="","",IF(MOD($B95,10)=1,IF($L$28="!",0,1)*ROUND($F$28/'CC Tarifák'!$B$105*VLOOKUP(64-$E$9+1-$B95+1,'CC Tarifák'!$B$107:$AX$153,$E$9+$B95-1-18+2,0)*IF($E$47="Kizárás",1,1+$E$47),0),$G94))))</f>
        <v/>
      </c>
      <c r="H95" s="159"/>
      <c r="I95" s="159" t="str">
        <f t="shared" ca="1" si="0"/>
        <v/>
      </c>
      <c r="J95" s="159"/>
      <c r="K95" s="160" t="str">
        <f ca="1">IF(OR(ISBLANK($F$28),ISBLANK($E$8)),0,IF($E$9&gt;64,0,IF($B95="","",IF($H$30="!",0,1)*ROUND($F$28/'CC Tarifák'!$B$209*VLOOKUP(64-$E$9+1-$B95+1,'CC Tarifák'!$B$211:$AX$257,$E$9+$B95-1-18+2,0)*IF($E$47="Kizárás",1,1+$E$47),0))))</f>
        <v/>
      </c>
      <c r="L95" s="160"/>
      <c r="M95" s="160" t="str">
        <f ca="1">IF(OR(ISBLANK($F$28),ISBLANK($E$8)),0,IF($E$9&gt;60,0,IF($B95="","",IF(MOD($B95,5)=1,IF($J$30="!",0,1)*ROUND($F$28/'CC Tarifák'!$B$261*VLOOKUP(64-$E$9+1-$B95+1,'CC Tarifák'!$B$263:$AX$309,$E$9+$B95-1-18+2,0)*IF($E$47="Kizárás",1,1+$E$47),0),$M94))))</f>
        <v/>
      </c>
      <c r="N95" s="160"/>
      <c r="O95" s="160" t="str">
        <f ca="1">IF(OR(ISBLANK($F$28),ISBLANK($E$8)),0,IF($E$9&gt;55,0,IF($B95="","",IF(MOD($B95,10)=1,IF($L$30="!",0,1)*ROUND($F$28/'CC Tarifák'!$B$313*VLOOKUP(64-$E$9+1-$B95+1,'CC Tarifák'!$B$315:$AX$361,$E$9+$B95-1-18+2,0)*IF($E$47="Kizárás",1,1+$E$47),0),$O94))))</f>
        <v/>
      </c>
      <c r="P95" s="160"/>
      <c r="Q95" s="160" t="str">
        <f t="shared" ca="1" si="1"/>
        <v/>
      </c>
      <c r="R95" s="160"/>
      <c r="S95" s="159" t="str">
        <f ca="1">IF(OR(ISBLANK($F$28),ISBLANK($E$8)),0,IF($E$9&gt;64,0,IF($B95="","",IF($H$32="!",0,1)*ROUND($F$28/'CC Tarifák'!$B$417*VLOOKUP(64-$E$9+1-$B95+1,'CC Tarifák'!$B$419:$AX$465,$E$9+$B95-1-18+2,0)*IF($E$47="Kizárás",1,1+$E$47),0))))</f>
        <v/>
      </c>
      <c r="T95" s="159"/>
      <c r="U95" s="159" t="str">
        <f ca="1">IF(OR(ISBLANK($F$28),ISBLANK($E$8)),0,IF($E$9&gt;60,0,IF($B95="","",IF(MOD($B95,5)=1,IF($J$32="!",0,1)*ROUND($F$28/'CC Tarifák'!$B$469*VLOOKUP(64-$E$9+1-$B95+1,'CC Tarifák'!$B$471:$AX$517,$E$9+$B95-1-18+2,0)*IF($E$47="Kizárás",1,1+$E$47),0),$U94))))</f>
        <v/>
      </c>
      <c r="V95" s="159"/>
      <c r="W95" s="159" t="str">
        <f ca="1">IF(OR(ISBLANK($F$28),ISBLANK($E$8)),0,IF($E$9&gt;55,0,IF($B95="","",IF(MOD($B95,10)=1,IF($L$32="!",0,1)*ROUND($F$28/'CC Tarifák'!$B$521*VLOOKUP(64-$E$9+1-$B95+1,'CC Tarifák'!$B$523:$AX$569,$E$9+$B95-1-18+2,0)*IF($E$47="Kizárás",1,1+$E$47),0),$W94))))</f>
        <v/>
      </c>
      <c r="X95" s="159"/>
      <c r="Y95" s="159" t="str">
        <f t="shared" ca="1" si="2"/>
        <v/>
      </c>
      <c r="Z95" s="159"/>
    </row>
    <row r="96" spans="2:26" x14ac:dyDescent="0.2">
      <c r="B96" s="78" t="str">
        <f t="shared" ca="1" si="3"/>
        <v/>
      </c>
      <c r="C96" s="159" t="str">
        <f ca="1">IF(OR(ISBLANK($F$28),ISBLANK($E$8)),0,IF($E$9&gt;64,0,IF($B96="","",IF($H$28="!",0,1)*ROUND($F$28/'CC Tarifák'!$B$1*VLOOKUP(64-$E$9+1-$B96+1,'CC Tarifák'!$B$3:$AX$49,$E$9+$B96-1-18+2,0)*IF($E$47="Kizárás",1,1+$E$47),0))))</f>
        <v/>
      </c>
      <c r="D96" s="159"/>
      <c r="E96" s="159" t="str">
        <f ca="1">IF(OR(ISBLANK($F$28),ISBLANK($E$8)),0,IF($E$9&gt;60,0,IF($B96="","",IF(MOD($B96,5)=1,IF($J$28="!",0,1)*ROUND($F$28/'CC Tarifák'!$B$53*VLOOKUP(64-$E$9+1-$B96+1,'CC Tarifák'!$B$55:$AX$101,$E$9+$B96-1-18+2,0)*IF($E$47="Kizárás",1,1+$E$47),0),$E95))))</f>
        <v/>
      </c>
      <c r="F96" s="159"/>
      <c r="G96" s="159" t="str">
        <f ca="1">IF(OR(ISBLANK($F$28),ISBLANK($E$8)),0,IF($E$9&gt;55,0,IF($B96="","",IF(MOD($B96,10)=1,IF($L$28="!",0,1)*ROUND($F$28/'CC Tarifák'!$B$105*VLOOKUP(64-$E$9+1-$B96+1,'CC Tarifák'!$B$107:$AX$153,$E$9+$B96-1-18+2,0)*IF($E$47="Kizárás",1,1+$E$47),0),$G95))))</f>
        <v/>
      </c>
      <c r="H96" s="159"/>
      <c r="I96" s="159" t="str">
        <f t="shared" ca="1" si="0"/>
        <v/>
      </c>
      <c r="J96" s="159"/>
      <c r="K96" s="160" t="str">
        <f ca="1">IF(OR(ISBLANK($F$28),ISBLANK($E$8)),0,IF($E$9&gt;64,0,IF($B96="","",IF($H$30="!",0,1)*ROUND($F$28/'CC Tarifák'!$B$209*VLOOKUP(64-$E$9+1-$B96+1,'CC Tarifák'!$B$211:$AX$257,$E$9+$B96-1-18+2,0)*IF($E$47="Kizárás",1,1+$E$47),0))))</f>
        <v/>
      </c>
      <c r="L96" s="160"/>
      <c r="M96" s="160" t="str">
        <f ca="1">IF(OR(ISBLANK($F$28),ISBLANK($E$8)),0,IF($E$9&gt;60,0,IF($B96="","",IF(MOD($B96,5)=1,IF($J$30="!",0,1)*ROUND($F$28/'CC Tarifák'!$B$261*VLOOKUP(64-$E$9+1-$B96+1,'CC Tarifák'!$B$263:$AX$309,$E$9+$B96-1-18+2,0)*IF($E$47="Kizárás",1,1+$E$47),0),$M95))))</f>
        <v/>
      </c>
      <c r="N96" s="160"/>
      <c r="O96" s="160" t="str">
        <f ca="1">IF(OR(ISBLANK($F$28),ISBLANK($E$8)),0,IF($E$9&gt;55,0,IF($B96="","",IF(MOD($B96,10)=1,IF($L$30="!",0,1)*ROUND($F$28/'CC Tarifák'!$B$313*VLOOKUP(64-$E$9+1-$B96+1,'CC Tarifák'!$B$315:$AX$361,$E$9+$B96-1-18+2,0)*IF($E$47="Kizárás",1,1+$E$47),0),$O95))))</f>
        <v/>
      </c>
      <c r="P96" s="160"/>
      <c r="Q96" s="160" t="str">
        <f t="shared" ca="1" si="1"/>
        <v/>
      </c>
      <c r="R96" s="160"/>
      <c r="S96" s="159" t="str">
        <f ca="1">IF(OR(ISBLANK($F$28),ISBLANK($E$8)),0,IF($E$9&gt;64,0,IF($B96="","",IF($H$32="!",0,1)*ROUND($F$28/'CC Tarifák'!$B$417*VLOOKUP(64-$E$9+1-$B96+1,'CC Tarifák'!$B$419:$AX$465,$E$9+$B96-1-18+2,0)*IF($E$47="Kizárás",1,1+$E$47),0))))</f>
        <v/>
      </c>
      <c r="T96" s="159"/>
      <c r="U96" s="159" t="str">
        <f ca="1">IF(OR(ISBLANK($F$28),ISBLANK($E$8)),0,IF($E$9&gt;60,0,IF($B96="","",IF(MOD($B96,5)=1,IF($J$32="!",0,1)*ROUND($F$28/'CC Tarifák'!$B$469*VLOOKUP(64-$E$9+1-$B96+1,'CC Tarifák'!$B$471:$AX$517,$E$9+$B96-1-18+2,0)*IF($E$47="Kizárás",1,1+$E$47),0),$U95))))</f>
        <v/>
      </c>
      <c r="V96" s="159"/>
      <c r="W96" s="159" t="str">
        <f ca="1">IF(OR(ISBLANK($F$28),ISBLANK($E$8)),0,IF($E$9&gt;55,0,IF($B96="","",IF(MOD($B96,10)=1,IF($L$32="!",0,1)*ROUND($F$28/'CC Tarifák'!$B$521*VLOOKUP(64-$E$9+1-$B96+1,'CC Tarifák'!$B$523:$AX$569,$E$9+$B96-1-18+2,0)*IF($E$47="Kizárás",1,1+$E$47),0),$W95))))</f>
        <v/>
      </c>
      <c r="X96" s="159"/>
      <c r="Y96" s="159" t="str">
        <f t="shared" ca="1" si="2"/>
        <v/>
      </c>
      <c r="Z96" s="159"/>
    </row>
    <row r="97" spans="2:26" x14ac:dyDescent="0.2">
      <c r="B97" s="78" t="str">
        <f t="shared" ca="1" si="3"/>
        <v/>
      </c>
      <c r="C97" s="159" t="str">
        <f ca="1">IF(OR(ISBLANK($F$28),ISBLANK($E$8)),0,IF($E$9&gt;64,0,IF($B97="","",IF($H$28="!",0,1)*ROUND($F$28/'CC Tarifák'!$B$1*VLOOKUP(64-$E$9+1-$B97+1,'CC Tarifák'!$B$3:$AX$49,$E$9+$B97-1-18+2,0)*IF($E$47="Kizárás",1,1+$E$47),0))))</f>
        <v/>
      </c>
      <c r="D97" s="159"/>
      <c r="E97" s="159" t="str">
        <f ca="1">IF(OR(ISBLANK($F$28),ISBLANK($E$8)),0,IF($E$9&gt;60,0,IF($B97="","",IF(MOD($B97,5)=1,IF($J$28="!",0,1)*ROUND($F$28/'CC Tarifák'!$B$53*VLOOKUP(64-$E$9+1-$B97+1,'CC Tarifák'!$B$55:$AX$101,$E$9+$B97-1-18+2,0)*IF($E$47="Kizárás",1,1+$E$47),0),$E96))))</f>
        <v/>
      </c>
      <c r="F97" s="159"/>
      <c r="G97" s="159" t="str">
        <f ca="1">IF(OR(ISBLANK($F$28),ISBLANK($E$8)),0,IF($E$9&gt;55,0,IF($B97="","",IF(MOD($B97,10)=1,IF($L$28="!",0,1)*ROUND($F$28/'CC Tarifák'!$B$105*VLOOKUP(64-$E$9+1-$B97+1,'CC Tarifák'!$B$107:$AX$153,$E$9+$B97-1-18+2,0)*IF($E$47="Kizárás",1,1+$E$47),0),$G96))))</f>
        <v/>
      </c>
      <c r="H97" s="159"/>
      <c r="I97" s="159" t="str">
        <f t="shared" ca="1" si="0"/>
        <v/>
      </c>
      <c r="J97" s="159"/>
      <c r="K97" s="160" t="str">
        <f ca="1">IF(OR(ISBLANK($F$28),ISBLANK($E$8)),0,IF($E$9&gt;64,0,IF($B97="","",IF($H$30="!",0,1)*ROUND($F$28/'CC Tarifák'!$B$209*VLOOKUP(64-$E$9+1-$B97+1,'CC Tarifák'!$B$211:$AX$257,$E$9+$B97-1-18+2,0)*IF($E$47="Kizárás",1,1+$E$47),0))))</f>
        <v/>
      </c>
      <c r="L97" s="160"/>
      <c r="M97" s="160" t="str">
        <f ca="1">IF(OR(ISBLANK($F$28),ISBLANK($E$8)),0,IF($E$9&gt;60,0,IF($B97="","",IF(MOD($B97,5)=1,IF($J$30="!",0,1)*ROUND($F$28/'CC Tarifák'!$B$261*VLOOKUP(64-$E$9+1-$B97+1,'CC Tarifák'!$B$263:$AX$309,$E$9+$B97-1-18+2,0)*IF($E$47="Kizárás",1,1+$E$47),0),$M96))))</f>
        <v/>
      </c>
      <c r="N97" s="160"/>
      <c r="O97" s="160" t="str">
        <f ca="1">IF(OR(ISBLANK($F$28),ISBLANK($E$8)),0,IF($E$9&gt;55,0,IF($B97="","",IF(MOD($B97,10)=1,IF($L$30="!",0,1)*ROUND($F$28/'CC Tarifák'!$B$313*VLOOKUP(64-$E$9+1-$B97+1,'CC Tarifák'!$B$315:$AX$361,$E$9+$B97-1-18+2,0)*IF($E$47="Kizárás",1,1+$E$47),0),$O96))))</f>
        <v/>
      </c>
      <c r="P97" s="160"/>
      <c r="Q97" s="160" t="str">
        <f t="shared" ca="1" si="1"/>
        <v/>
      </c>
      <c r="R97" s="160"/>
      <c r="S97" s="159" t="str">
        <f ca="1">IF(OR(ISBLANK($F$28),ISBLANK($E$8)),0,IF($E$9&gt;64,0,IF($B97="","",IF($H$32="!",0,1)*ROUND($F$28/'CC Tarifák'!$B$417*VLOOKUP(64-$E$9+1-$B97+1,'CC Tarifák'!$B$419:$AX$465,$E$9+$B97-1-18+2,0)*IF($E$47="Kizárás",1,1+$E$47),0))))</f>
        <v/>
      </c>
      <c r="T97" s="159"/>
      <c r="U97" s="159" t="str">
        <f ca="1">IF(OR(ISBLANK($F$28),ISBLANK($E$8)),0,IF($E$9&gt;60,0,IF($B97="","",IF(MOD($B97,5)=1,IF($J$32="!",0,1)*ROUND($F$28/'CC Tarifák'!$B$469*VLOOKUP(64-$E$9+1-$B97+1,'CC Tarifák'!$B$471:$AX$517,$E$9+$B97-1-18+2,0)*IF($E$47="Kizárás",1,1+$E$47),0),$U96))))</f>
        <v/>
      </c>
      <c r="V97" s="159"/>
      <c r="W97" s="159" t="str">
        <f ca="1">IF(OR(ISBLANK($F$28),ISBLANK($E$8)),0,IF($E$9&gt;55,0,IF($B97="","",IF(MOD($B97,10)=1,IF($L$32="!",0,1)*ROUND($F$28/'CC Tarifák'!$B$521*VLOOKUP(64-$E$9+1-$B97+1,'CC Tarifák'!$B$523:$AX$569,$E$9+$B97-1-18+2,0)*IF($E$47="Kizárás",1,1+$E$47),0),$W96))))</f>
        <v/>
      </c>
      <c r="X97" s="159"/>
      <c r="Y97" s="159" t="str">
        <f t="shared" ca="1" si="2"/>
        <v/>
      </c>
      <c r="Z97" s="159"/>
    </row>
    <row r="98" spans="2:26" x14ac:dyDescent="0.2">
      <c r="B98" s="78" t="str">
        <f t="shared" ca="1" si="3"/>
        <v/>
      </c>
      <c r="C98" s="159" t="str">
        <f ca="1">IF(OR(ISBLANK($F$28),ISBLANK($E$8)),0,IF($E$9&gt;64,0,IF($B98="","",IF($H$28="!",0,1)*ROUND($F$28/'CC Tarifák'!$B$1*VLOOKUP(64-$E$9+1-$B98+1,'CC Tarifák'!$B$3:$AX$49,$E$9+$B98-1-18+2,0)*IF($E$47="Kizárás",1,1+$E$47),0))))</f>
        <v/>
      </c>
      <c r="D98" s="159"/>
      <c r="E98" s="159" t="str">
        <f ca="1">IF(OR(ISBLANK($F$28),ISBLANK($E$8)),0,IF($E$9&gt;60,0,IF($B98="","",IF(MOD($B98,5)=1,IF($J$28="!",0,1)*ROUND($F$28/'CC Tarifák'!$B$53*VLOOKUP(64-$E$9+1-$B98+1,'CC Tarifák'!$B$55:$AX$101,$E$9+$B98-1-18+2,0)*IF($E$47="Kizárás",1,1+$E$47),0),$E97))))</f>
        <v/>
      </c>
      <c r="F98" s="159"/>
      <c r="G98" s="159" t="str">
        <f ca="1">IF(OR(ISBLANK($F$28),ISBLANK($E$8)),0,IF($E$9&gt;55,0,IF($B98="","",IF(MOD($B98,10)=1,IF($L$28="!",0,1)*ROUND($F$28/'CC Tarifák'!$B$105*VLOOKUP(64-$E$9+1-$B98+1,'CC Tarifák'!$B$107:$AX$153,$E$9+$B98-1-18+2,0)*IF($E$47="Kizárás",1,1+$E$47),0),$G97))))</f>
        <v/>
      </c>
      <c r="H98" s="159"/>
      <c r="I98" s="159" t="str">
        <f t="shared" ca="1" si="0"/>
        <v/>
      </c>
      <c r="J98" s="159"/>
      <c r="K98" s="160" t="str">
        <f ca="1">IF(OR(ISBLANK($F$28),ISBLANK($E$8)),0,IF($E$9&gt;64,0,IF($B98="","",IF($H$30="!",0,1)*ROUND($F$28/'CC Tarifák'!$B$209*VLOOKUP(64-$E$9+1-$B98+1,'CC Tarifák'!$B$211:$AX$257,$E$9+$B98-1-18+2,0)*IF($E$47="Kizárás",1,1+$E$47),0))))</f>
        <v/>
      </c>
      <c r="L98" s="160"/>
      <c r="M98" s="160" t="str">
        <f ca="1">IF(OR(ISBLANK($F$28),ISBLANK($E$8)),0,IF($E$9&gt;60,0,IF($B98="","",IF(MOD($B98,5)=1,IF($J$30="!",0,1)*ROUND($F$28/'CC Tarifák'!$B$261*VLOOKUP(64-$E$9+1-$B98+1,'CC Tarifák'!$B$263:$AX$309,$E$9+$B98-1-18+2,0)*IF($E$47="Kizárás",1,1+$E$47),0),$M97))))</f>
        <v/>
      </c>
      <c r="N98" s="160"/>
      <c r="O98" s="160" t="str">
        <f ca="1">IF(OR(ISBLANK($F$28),ISBLANK($E$8)),0,IF($E$9&gt;55,0,IF($B98="","",IF(MOD($B98,10)=1,IF($L$30="!",0,1)*ROUND($F$28/'CC Tarifák'!$B$313*VLOOKUP(64-$E$9+1-$B98+1,'CC Tarifák'!$B$315:$AX$361,$E$9+$B98-1-18+2,0)*IF($E$47="Kizárás",1,1+$E$47),0),$O97))))</f>
        <v/>
      </c>
      <c r="P98" s="160"/>
      <c r="Q98" s="160" t="str">
        <f t="shared" ca="1" si="1"/>
        <v/>
      </c>
      <c r="R98" s="160"/>
      <c r="S98" s="159" t="str">
        <f ca="1">IF(OR(ISBLANK($F$28),ISBLANK($E$8)),0,IF($E$9&gt;64,0,IF($B98="","",IF($H$32="!",0,1)*ROUND($F$28/'CC Tarifák'!$B$417*VLOOKUP(64-$E$9+1-$B98+1,'CC Tarifák'!$B$419:$AX$465,$E$9+$B98-1-18+2,0)*IF($E$47="Kizárás",1,1+$E$47),0))))</f>
        <v/>
      </c>
      <c r="T98" s="159"/>
      <c r="U98" s="159" t="str">
        <f ca="1">IF(OR(ISBLANK($F$28),ISBLANK($E$8)),0,IF($E$9&gt;60,0,IF($B98="","",IF(MOD($B98,5)=1,IF($J$32="!",0,1)*ROUND($F$28/'CC Tarifák'!$B$469*VLOOKUP(64-$E$9+1-$B98+1,'CC Tarifák'!$B$471:$AX$517,$E$9+$B98-1-18+2,0)*IF($E$47="Kizárás",1,1+$E$47),0),$U97))))</f>
        <v/>
      </c>
      <c r="V98" s="159"/>
      <c r="W98" s="159" t="str">
        <f ca="1">IF(OR(ISBLANK($F$28),ISBLANK($E$8)),0,IF($E$9&gt;55,0,IF($B98="","",IF(MOD($B98,10)=1,IF($L$32="!",0,1)*ROUND($F$28/'CC Tarifák'!$B$521*VLOOKUP(64-$E$9+1-$B98+1,'CC Tarifák'!$B$523:$AX$569,$E$9+$B98-1-18+2,0)*IF($E$47="Kizárás",1,1+$E$47),0),$W97))))</f>
        <v/>
      </c>
      <c r="X98" s="159"/>
      <c r="Y98" s="159" t="str">
        <f t="shared" ca="1" si="2"/>
        <v/>
      </c>
      <c r="Z98" s="159"/>
    </row>
    <row r="99" spans="2:26" x14ac:dyDescent="0.2">
      <c r="B99" s="78" t="str">
        <f t="shared" ca="1" si="3"/>
        <v/>
      </c>
      <c r="C99" s="159" t="str">
        <f ca="1">IF(OR(ISBLANK($F$28),ISBLANK($E$8)),0,IF($E$9&gt;64,0,IF($B99="","",IF($H$28="!",0,1)*ROUND($F$28/'CC Tarifák'!$B$1*VLOOKUP(64-$E$9+1-$B99+1,'CC Tarifák'!$B$3:$AX$49,$E$9+$B99-1-18+2,0)*IF($E$47="Kizárás",1,1+$E$47),0))))</f>
        <v/>
      </c>
      <c r="D99" s="159"/>
      <c r="E99" s="159" t="str">
        <f ca="1">IF(OR(ISBLANK($F$28),ISBLANK($E$8)),0,IF($E$9&gt;60,0,IF($B99="","",IF(MOD($B99,5)=1,IF($J$28="!",0,1)*ROUND($F$28/'CC Tarifák'!$B$53*VLOOKUP(64-$E$9+1-$B99+1,'CC Tarifák'!$B$55:$AX$101,$E$9+$B99-1-18+2,0)*IF($E$47="Kizárás",1,1+$E$47),0),$E98))))</f>
        <v/>
      </c>
      <c r="F99" s="159"/>
      <c r="G99" s="159" t="str">
        <f ca="1">IF(OR(ISBLANK($F$28),ISBLANK($E$8)),0,IF($E$9&gt;55,0,IF($B99="","",IF(MOD($B99,10)=1,IF($L$28="!",0,1)*ROUND($F$28/'CC Tarifák'!$B$105*VLOOKUP(64-$E$9+1-$B99+1,'CC Tarifák'!$B$107:$AX$153,$E$9+$B99-1-18+2,0)*IF($E$47="Kizárás",1,1+$E$47),0),$G98))))</f>
        <v/>
      </c>
      <c r="H99" s="159"/>
      <c r="I99" s="159" t="str">
        <f t="shared" ca="1" si="0"/>
        <v/>
      </c>
      <c r="J99" s="159"/>
      <c r="K99" s="160" t="str">
        <f ca="1">IF(OR(ISBLANK($F$28),ISBLANK($E$8)),0,IF($E$9&gt;64,0,IF($B99="","",IF($H$30="!",0,1)*ROUND($F$28/'CC Tarifák'!$B$209*VLOOKUP(64-$E$9+1-$B99+1,'CC Tarifák'!$B$211:$AX$257,$E$9+$B99-1-18+2,0)*IF($E$47="Kizárás",1,1+$E$47),0))))</f>
        <v/>
      </c>
      <c r="L99" s="160"/>
      <c r="M99" s="160" t="str">
        <f ca="1">IF(OR(ISBLANK($F$28),ISBLANK($E$8)),0,IF($E$9&gt;60,0,IF($B99="","",IF(MOD($B99,5)=1,IF($J$30="!",0,1)*ROUND($F$28/'CC Tarifák'!$B$261*VLOOKUP(64-$E$9+1-$B99+1,'CC Tarifák'!$B$263:$AX$309,$E$9+$B99-1-18+2,0)*IF($E$47="Kizárás",1,1+$E$47),0),$M98))))</f>
        <v/>
      </c>
      <c r="N99" s="160"/>
      <c r="O99" s="160" t="str">
        <f ca="1">IF(OR(ISBLANK($F$28),ISBLANK($E$8)),0,IF($E$9&gt;55,0,IF($B99="","",IF(MOD($B99,10)=1,IF($L$30="!",0,1)*ROUND($F$28/'CC Tarifák'!$B$313*VLOOKUP(64-$E$9+1-$B99+1,'CC Tarifák'!$B$315:$AX$361,$E$9+$B99-1-18+2,0)*IF($E$47="Kizárás",1,1+$E$47),0),$O98))))</f>
        <v/>
      </c>
      <c r="P99" s="160"/>
      <c r="Q99" s="160" t="str">
        <f t="shared" ca="1" si="1"/>
        <v/>
      </c>
      <c r="R99" s="160"/>
      <c r="S99" s="159" t="str">
        <f ca="1">IF(OR(ISBLANK($F$28),ISBLANK($E$8)),0,IF($E$9&gt;64,0,IF($B99="","",IF($H$32="!",0,1)*ROUND($F$28/'CC Tarifák'!$B$417*VLOOKUP(64-$E$9+1-$B99+1,'CC Tarifák'!$B$419:$AX$465,$E$9+$B99-1-18+2,0)*IF($E$47="Kizárás",1,1+$E$47),0))))</f>
        <v/>
      </c>
      <c r="T99" s="159"/>
      <c r="U99" s="159" t="str">
        <f ca="1">IF(OR(ISBLANK($F$28),ISBLANK($E$8)),0,IF($E$9&gt;60,0,IF($B99="","",IF(MOD($B99,5)=1,IF($J$32="!",0,1)*ROUND($F$28/'CC Tarifák'!$B$469*VLOOKUP(64-$E$9+1-$B99+1,'CC Tarifák'!$B$471:$AX$517,$E$9+$B99-1-18+2,0)*IF($E$47="Kizárás",1,1+$E$47),0),$U98))))</f>
        <v/>
      </c>
      <c r="V99" s="159"/>
      <c r="W99" s="159" t="str">
        <f ca="1">IF(OR(ISBLANK($F$28),ISBLANK($E$8)),0,IF($E$9&gt;55,0,IF($B99="","",IF(MOD($B99,10)=1,IF($L$32="!",0,1)*ROUND($F$28/'CC Tarifák'!$B$521*VLOOKUP(64-$E$9+1-$B99+1,'CC Tarifák'!$B$523:$AX$569,$E$9+$B99-1-18+2,0)*IF($E$47="Kizárás",1,1+$E$47),0),$W98))))</f>
        <v/>
      </c>
      <c r="X99" s="159"/>
      <c r="Y99" s="159" t="str">
        <f t="shared" ca="1" si="2"/>
        <v/>
      </c>
      <c r="Z99" s="159"/>
    </row>
    <row r="100" spans="2:26" x14ac:dyDescent="0.2">
      <c r="B100" s="78" t="str">
        <f t="shared" ca="1" si="3"/>
        <v/>
      </c>
      <c r="C100" s="159" t="str">
        <f ca="1">IF(OR(ISBLANK($F$28),ISBLANK($E$8)),0,IF($E$9&gt;64,0,IF($B100="","",IF($H$28="!",0,1)*ROUND($F$28/'CC Tarifák'!$B$1*VLOOKUP(64-$E$9+1-$B100+1,'CC Tarifák'!$B$3:$AX$49,$E$9+$B100-1-18+2,0)*IF($E$47="Kizárás",1,1+$E$47),0))))</f>
        <v/>
      </c>
      <c r="D100" s="159"/>
      <c r="E100" s="159" t="str">
        <f ca="1">IF(OR(ISBLANK($F$28),ISBLANK($E$8)),0,IF($E$9&gt;60,0,IF($B100="","",IF(MOD($B100,5)=1,IF($J$28="!",0,1)*ROUND($F$28/'CC Tarifák'!$B$53*VLOOKUP(64-$E$9+1-$B100+1,'CC Tarifák'!$B$55:$AX$101,$E$9+$B100-1-18+2,0)*IF($E$47="Kizárás",1,1+$E$47),0),$E99))))</f>
        <v/>
      </c>
      <c r="F100" s="159"/>
      <c r="G100" s="159" t="str">
        <f ca="1">IF(OR(ISBLANK($F$28),ISBLANK($E$8)),0,IF($E$9&gt;55,0,IF($B100="","",IF(MOD($B100,10)=1,IF($L$28="!",0,1)*ROUND($F$28/'CC Tarifák'!$B$105*VLOOKUP(64-$E$9+1-$B100+1,'CC Tarifák'!$B$107:$AX$153,$E$9+$B100-1-18+2,0)*IF($E$47="Kizárás",1,1+$E$47),0),$G99))))</f>
        <v/>
      </c>
      <c r="H100" s="159"/>
      <c r="I100" s="159" t="str">
        <f t="shared" ca="1" si="0"/>
        <v/>
      </c>
      <c r="J100" s="159"/>
      <c r="K100" s="160" t="str">
        <f ca="1">IF(OR(ISBLANK($F$28),ISBLANK($E$8)),0,IF($E$9&gt;64,0,IF($B100="","",IF($H$30="!",0,1)*ROUND($F$28/'CC Tarifák'!$B$209*VLOOKUP(64-$E$9+1-$B100+1,'CC Tarifák'!$B$211:$AX$257,$E$9+$B100-1-18+2,0)*IF($E$47="Kizárás",1,1+$E$47),0))))</f>
        <v/>
      </c>
      <c r="L100" s="160"/>
      <c r="M100" s="160" t="str">
        <f ca="1">IF(OR(ISBLANK($F$28),ISBLANK($E$8)),0,IF($E$9&gt;60,0,IF($B100="","",IF(MOD($B100,5)=1,IF($J$30="!",0,1)*ROUND($F$28/'CC Tarifák'!$B$261*VLOOKUP(64-$E$9+1-$B100+1,'CC Tarifák'!$B$263:$AX$309,$E$9+$B100-1-18+2,0)*IF($E$47="Kizárás",1,1+$E$47),0),$M99))))</f>
        <v/>
      </c>
      <c r="N100" s="160"/>
      <c r="O100" s="160" t="str">
        <f ca="1">IF(OR(ISBLANK($F$28),ISBLANK($E$8)),0,IF($E$9&gt;55,0,IF($B100="","",IF(MOD($B100,10)=1,IF($L$30="!",0,1)*ROUND($F$28/'CC Tarifák'!$B$313*VLOOKUP(64-$E$9+1-$B100+1,'CC Tarifák'!$B$315:$AX$361,$E$9+$B100-1-18+2,0)*IF($E$47="Kizárás",1,1+$E$47),0),$O99))))</f>
        <v/>
      </c>
      <c r="P100" s="160"/>
      <c r="Q100" s="160" t="str">
        <f t="shared" ca="1" si="1"/>
        <v/>
      </c>
      <c r="R100" s="160"/>
      <c r="S100" s="159" t="str">
        <f ca="1">IF(OR(ISBLANK($F$28),ISBLANK($E$8)),0,IF($E$9&gt;64,0,IF($B100="","",IF($H$32="!",0,1)*ROUND($F$28/'CC Tarifák'!$B$417*VLOOKUP(64-$E$9+1-$B100+1,'CC Tarifák'!$B$419:$AX$465,$E$9+$B100-1-18+2,0)*IF($E$47="Kizárás",1,1+$E$47),0))))</f>
        <v/>
      </c>
      <c r="T100" s="159"/>
      <c r="U100" s="159" t="str">
        <f ca="1">IF(OR(ISBLANK($F$28),ISBLANK($E$8)),0,IF($E$9&gt;60,0,IF($B100="","",IF(MOD($B100,5)=1,IF($J$32="!",0,1)*ROUND($F$28/'CC Tarifák'!$B$469*VLOOKUP(64-$E$9+1-$B100+1,'CC Tarifák'!$B$471:$AX$517,$E$9+$B100-1-18+2,0)*IF($E$47="Kizárás",1,1+$E$47),0),$U99))))</f>
        <v/>
      </c>
      <c r="V100" s="159"/>
      <c r="W100" s="159" t="str">
        <f ca="1">IF(OR(ISBLANK($F$28),ISBLANK($E$8)),0,IF($E$9&gt;55,0,IF($B100="","",IF(MOD($B100,10)=1,IF($L$32="!",0,1)*ROUND($F$28/'CC Tarifák'!$B$521*VLOOKUP(64-$E$9+1-$B100+1,'CC Tarifák'!$B$523:$AX$569,$E$9+$B100-1-18+2,0)*IF($E$47="Kizárás",1,1+$E$47),0),$W99))))</f>
        <v/>
      </c>
      <c r="X100" s="159"/>
      <c r="Y100" s="159" t="str">
        <f t="shared" ca="1" si="2"/>
        <v/>
      </c>
      <c r="Z100" s="159"/>
    </row>
    <row r="101" spans="2:26" x14ac:dyDescent="0.2">
      <c r="B101" s="78" t="str">
        <f t="shared" ca="1" si="3"/>
        <v/>
      </c>
      <c r="C101" s="159" t="str">
        <f ca="1">IF(OR(ISBLANK($F$28),ISBLANK($E$8)),0,IF($E$9&gt;64,0,IF($B101="","",IF($H$28="!",0,1)*ROUND($F$28/'CC Tarifák'!$B$1*VLOOKUP(64-$E$9+1-$B101+1,'CC Tarifák'!$B$3:$AX$49,$E$9+$B101-1-18+2,0)*IF($E$47="Kizárás",1,1+$E$47),0))))</f>
        <v/>
      </c>
      <c r="D101" s="159"/>
      <c r="E101" s="159" t="str">
        <f ca="1">IF(OR(ISBLANK($F$28),ISBLANK($E$8)),0,IF($E$9&gt;60,0,IF($B101="","",IF(MOD($B101,5)=1,IF($J$28="!",0,1)*ROUND($F$28/'CC Tarifák'!$B$53*VLOOKUP(64-$E$9+1-$B101+1,'CC Tarifák'!$B$55:$AX$101,$E$9+$B101-1-18+2,0)*IF($E$47="Kizárás",1,1+$E$47),0),$E100))))</f>
        <v/>
      </c>
      <c r="F101" s="159"/>
      <c r="G101" s="159" t="str">
        <f ca="1">IF(OR(ISBLANK($F$28),ISBLANK($E$8)),0,IF($E$9&gt;55,0,IF($B101="","",IF(MOD($B101,10)=1,IF($L$28="!",0,1)*ROUND($F$28/'CC Tarifák'!$B$105*VLOOKUP(64-$E$9+1-$B101+1,'CC Tarifák'!$B$107:$AX$153,$E$9+$B101-1-18+2,0)*IF($E$47="Kizárás",1,1+$E$47),0),$G100))))</f>
        <v/>
      </c>
      <c r="H101" s="159"/>
      <c r="I101" s="159" t="str">
        <f t="shared" ca="1" si="0"/>
        <v/>
      </c>
      <c r="J101" s="159"/>
      <c r="K101" s="160" t="str">
        <f ca="1">IF(OR(ISBLANK($F$28),ISBLANK($E$8)),0,IF($E$9&gt;64,0,IF($B101="","",IF($H$30="!",0,1)*ROUND($F$28/'CC Tarifák'!$B$209*VLOOKUP(64-$E$9+1-$B101+1,'CC Tarifák'!$B$211:$AX$257,$E$9+$B101-1-18+2,0)*IF($E$47="Kizárás",1,1+$E$47),0))))</f>
        <v/>
      </c>
      <c r="L101" s="160"/>
      <c r="M101" s="160" t="str">
        <f ca="1">IF(OR(ISBLANK($F$28),ISBLANK($E$8)),0,IF($E$9&gt;60,0,IF($B101="","",IF(MOD($B101,5)=1,IF($J$30="!",0,1)*ROUND($F$28/'CC Tarifák'!$B$261*VLOOKUP(64-$E$9+1-$B101+1,'CC Tarifák'!$B$263:$AX$309,$E$9+$B101-1-18+2,0)*IF($E$47="Kizárás",1,1+$E$47),0),$M100))))</f>
        <v/>
      </c>
      <c r="N101" s="160"/>
      <c r="O101" s="160" t="str">
        <f ca="1">IF(OR(ISBLANK($F$28),ISBLANK($E$8)),0,IF($E$9&gt;55,0,IF($B101="","",IF(MOD($B101,10)=1,IF($L$30="!",0,1)*ROUND($F$28/'CC Tarifák'!$B$313*VLOOKUP(64-$E$9+1-$B101+1,'CC Tarifák'!$B$315:$AX$361,$E$9+$B101-1-18+2,0)*IF($E$47="Kizárás",1,1+$E$47),0),$O100))))</f>
        <v/>
      </c>
      <c r="P101" s="160"/>
      <c r="Q101" s="160" t="str">
        <f t="shared" ca="1" si="1"/>
        <v/>
      </c>
      <c r="R101" s="160"/>
      <c r="S101" s="159" t="str">
        <f ca="1">IF(OR(ISBLANK($F$28),ISBLANK($E$8)),0,IF($E$9&gt;64,0,IF($B101="","",IF($H$32="!",0,1)*ROUND($F$28/'CC Tarifák'!$B$417*VLOOKUP(64-$E$9+1-$B101+1,'CC Tarifák'!$B$419:$AX$465,$E$9+$B101-1-18+2,0)*IF($E$47="Kizárás",1,1+$E$47),0))))</f>
        <v/>
      </c>
      <c r="T101" s="159"/>
      <c r="U101" s="159" t="str">
        <f ca="1">IF(OR(ISBLANK($F$28),ISBLANK($E$8)),0,IF($E$9&gt;60,0,IF($B101="","",IF(MOD($B101,5)=1,IF($J$32="!",0,1)*ROUND($F$28/'CC Tarifák'!$B$469*VLOOKUP(64-$E$9+1-$B101+1,'CC Tarifák'!$B$471:$AX$517,$E$9+$B101-1-18+2,0)*IF($E$47="Kizárás",1,1+$E$47),0),$U100))))</f>
        <v/>
      </c>
      <c r="V101" s="159"/>
      <c r="W101" s="159" t="str">
        <f ca="1">IF(OR(ISBLANK($F$28),ISBLANK($E$8)),0,IF($E$9&gt;55,0,IF($B101="","",IF(MOD($B101,10)=1,IF($L$32="!",0,1)*ROUND($F$28/'CC Tarifák'!$B$521*VLOOKUP(64-$E$9+1-$B101+1,'CC Tarifák'!$B$523:$AX$569,$E$9+$B101-1-18+2,0)*IF($E$47="Kizárás",1,1+$E$47),0),$W100))))</f>
        <v/>
      </c>
      <c r="X101" s="159"/>
      <c r="Y101" s="159" t="str">
        <f t="shared" ca="1" si="2"/>
        <v/>
      </c>
      <c r="Z101" s="159"/>
    </row>
    <row r="102" spans="2:26" x14ac:dyDescent="0.2">
      <c r="B102" s="78" t="str">
        <f t="shared" ca="1" si="3"/>
        <v/>
      </c>
      <c r="C102" s="159" t="str">
        <f ca="1">IF(OR(ISBLANK($F$28),ISBLANK($E$8)),0,IF($E$9&gt;64,0,IF($B102="","",IF($H$28="!",0,1)*ROUND($F$28/'CC Tarifák'!$B$1*VLOOKUP(64-$E$9+1-$B102+1,'CC Tarifák'!$B$3:$AX$49,$E$9+$B102-1-18+2,0)*IF($E$47="Kizárás",1,1+$E$47),0))))</f>
        <v/>
      </c>
      <c r="D102" s="159"/>
      <c r="E102" s="159" t="str">
        <f ca="1">IF(OR(ISBLANK($F$28),ISBLANK($E$8)),0,IF($E$9&gt;60,0,IF($B102="","",IF(MOD($B102,5)=1,IF($J$28="!",0,1)*ROUND($F$28/'CC Tarifák'!$B$53*VLOOKUP(64-$E$9+1-$B102+1,'CC Tarifák'!$B$55:$AX$101,$E$9+$B102-1-18+2,0)*IF($E$47="Kizárás",1,1+$E$47),0),$E101))))</f>
        <v/>
      </c>
      <c r="F102" s="159"/>
      <c r="G102" s="159" t="str">
        <f ca="1">IF(OR(ISBLANK($F$28),ISBLANK($E$8)),0,IF($E$9&gt;55,0,IF($B102="","",IF(MOD($B102,10)=1,IF($L$28="!",0,1)*ROUND($F$28/'CC Tarifák'!$B$105*VLOOKUP(64-$E$9+1-$B102+1,'CC Tarifák'!$B$107:$AX$153,$E$9+$B102-1-18+2,0)*IF($E$47="Kizárás",1,1+$E$47),0),$G101))))</f>
        <v/>
      </c>
      <c r="H102" s="159"/>
      <c r="I102" s="159" t="str">
        <f t="shared" ca="1" si="0"/>
        <v/>
      </c>
      <c r="J102" s="159"/>
      <c r="K102" s="160" t="str">
        <f ca="1">IF(OR(ISBLANK($F$28),ISBLANK($E$8)),0,IF($E$9&gt;64,0,IF($B102="","",IF($H$30="!",0,1)*ROUND($F$28/'CC Tarifák'!$B$209*VLOOKUP(64-$E$9+1-$B102+1,'CC Tarifák'!$B$211:$AX$257,$E$9+$B102-1-18+2,0)*IF($E$47="Kizárás",1,1+$E$47),0))))</f>
        <v/>
      </c>
      <c r="L102" s="160"/>
      <c r="M102" s="160" t="str">
        <f ca="1">IF(OR(ISBLANK($F$28),ISBLANK($E$8)),0,IF($E$9&gt;60,0,IF($B102="","",IF(MOD($B102,5)=1,IF($J$30="!",0,1)*ROUND($F$28/'CC Tarifák'!$B$261*VLOOKUP(64-$E$9+1-$B102+1,'CC Tarifák'!$B$263:$AX$309,$E$9+$B102-1-18+2,0)*IF($E$47="Kizárás",1,1+$E$47),0),$M101))))</f>
        <v/>
      </c>
      <c r="N102" s="160"/>
      <c r="O102" s="160" t="str">
        <f ca="1">IF(OR(ISBLANK($F$28),ISBLANK($E$8)),0,IF($E$9&gt;55,0,IF($B102="","",IF(MOD($B102,10)=1,IF($L$30="!",0,1)*ROUND($F$28/'CC Tarifák'!$B$313*VLOOKUP(64-$E$9+1-$B102+1,'CC Tarifák'!$B$315:$AX$361,$E$9+$B102-1-18+2,0)*IF($E$47="Kizárás",1,1+$E$47),0),$O101))))</f>
        <v/>
      </c>
      <c r="P102" s="160"/>
      <c r="Q102" s="160" t="str">
        <f t="shared" ca="1" si="1"/>
        <v/>
      </c>
      <c r="R102" s="160"/>
      <c r="S102" s="159" t="str">
        <f ca="1">IF(OR(ISBLANK($F$28),ISBLANK($E$8)),0,IF($E$9&gt;64,0,IF($B102="","",IF($H$32="!",0,1)*ROUND($F$28/'CC Tarifák'!$B$417*VLOOKUP(64-$E$9+1-$B102+1,'CC Tarifák'!$B$419:$AX$465,$E$9+$B102-1-18+2,0)*IF($E$47="Kizárás",1,1+$E$47),0))))</f>
        <v/>
      </c>
      <c r="T102" s="159"/>
      <c r="U102" s="159" t="str">
        <f ca="1">IF(OR(ISBLANK($F$28),ISBLANK($E$8)),0,IF($E$9&gt;60,0,IF($B102="","",IF(MOD($B102,5)=1,IF($J$32="!",0,1)*ROUND($F$28/'CC Tarifák'!$B$469*VLOOKUP(64-$E$9+1-$B102+1,'CC Tarifák'!$B$471:$AX$517,$E$9+$B102-1-18+2,0)*IF($E$47="Kizárás",1,1+$E$47),0),$U101))))</f>
        <v/>
      </c>
      <c r="V102" s="159"/>
      <c r="W102" s="159" t="str">
        <f ca="1">IF(OR(ISBLANK($F$28),ISBLANK($E$8)),0,IF($E$9&gt;55,0,IF($B102="","",IF(MOD($B102,10)=1,IF($L$32="!",0,1)*ROUND($F$28/'CC Tarifák'!$B$521*VLOOKUP(64-$E$9+1-$B102+1,'CC Tarifák'!$B$523:$AX$569,$E$9+$B102-1-18+2,0)*IF($E$47="Kizárás",1,1+$E$47),0),$W101))))</f>
        <v/>
      </c>
      <c r="X102" s="159"/>
      <c r="Y102" s="159" t="str">
        <f t="shared" ca="1" si="2"/>
        <v/>
      </c>
      <c r="Z102" s="159"/>
    </row>
    <row r="103" spans="2:26" x14ac:dyDescent="0.2">
      <c r="B103" s="78" t="str">
        <f t="shared" ca="1" si="3"/>
        <v/>
      </c>
      <c r="C103" s="159" t="str">
        <f ca="1">IF(OR(ISBLANK($F$28),ISBLANK($E$8)),0,IF($E$9&gt;64,0,IF($B103="","",IF($H$28="!",0,1)*ROUND($F$28/'CC Tarifák'!$B$1*VLOOKUP(64-$E$9+1-$B103+1,'CC Tarifák'!$B$3:$AX$49,$E$9+$B103-1-18+2,0)*IF($E$47="Kizárás",1,1+$E$47),0))))</f>
        <v/>
      </c>
      <c r="D103" s="159"/>
      <c r="E103" s="159" t="str">
        <f ca="1">IF(OR(ISBLANK($F$28),ISBLANK($E$8)),0,IF($E$9&gt;60,0,IF($B103="","",IF(MOD($B103,5)=1,IF($J$28="!",0,1)*ROUND($F$28/'CC Tarifák'!$B$53*VLOOKUP(64-$E$9+1-$B103+1,'CC Tarifák'!$B$55:$AX$101,$E$9+$B103-1-18+2,0)*IF($E$47="Kizárás",1,1+$E$47),0),$E102))))</f>
        <v/>
      </c>
      <c r="F103" s="159"/>
      <c r="G103" s="159" t="str">
        <f ca="1">IF(OR(ISBLANK($F$28),ISBLANK($E$8)),0,IF($E$9&gt;55,0,IF($B103="","",IF(MOD($B103,10)=1,IF($L$28="!",0,1)*ROUND($F$28/'CC Tarifák'!$B$105*VLOOKUP(64-$E$9+1-$B103+1,'CC Tarifák'!$B$107:$AX$153,$E$9+$B103-1-18+2,0)*IF($E$47="Kizárás",1,1+$E$47),0),$G102))))</f>
        <v/>
      </c>
      <c r="H103" s="159"/>
      <c r="I103" s="159" t="str">
        <f t="shared" ca="1" si="0"/>
        <v/>
      </c>
      <c r="J103" s="159"/>
      <c r="K103" s="160" t="str">
        <f ca="1">IF(OR(ISBLANK($F$28),ISBLANK($E$8)),0,IF($E$9&gt;64,0,IF($B103="","",IF($H$30="!",0,1)*ROUND($F$28/'CC Tarifák'!$B$209*VLOOKUP(64-$E$9+1-$B103+1,'CC Tarifák'!$B$211:$AX$257,$E$9+$B103-1-18+2,0)*IF($E$47="Kizárás",1,1+$E$47),0))))</f>
        <v/>
      </c>
      <c r="L103" s="160"/>
      <c r="M103" s="160" t="str">
        <f ca="1">IF(OR(ISBLANK($F$28),ISBLANK($E$8)),0,IF($E$9&gt;60,0,IF($B103="","",IF(MOD($B103,5)=1,IF($J$30="!",0,1)*ROUND($F$28/'CC Tarifák'!$B$261*VLOOKUP(64-$E$9+1-$B103+1,'CC Tarifák'!$B$263:$AX$309,$E$9+$B103-1-18+2,0)*IF($E$47="Kizárás",1,1+$E$47),0),$M102))))</f>
        <v/>
      </c>
      <c r="N103" s="160"/>
      <c r="O103" s="160" t="str">
        <f ca="1">IF(OR(ISBLANK($F$28),ISBLANK($E$8)),0,IF($E$9&gt;55,0,IF($B103="","",IF(MOD($B103,10)=1,IF($L$30="!",0,1)*ROUND($F$28/'CC Tarifák'!$B$313*VLOOKUP(64-$E$9+1-$B103+1,'CC Tarifák'!$B$315:$AX$361,$E$9+$B103-1-18+2,0)*IF($E$47="Kizárás",1,1+$E$47),0),$O102))))</f>
        <v/>
      </c>
      <c r="P103" s="160"/>
      <c r="Q103" s="160" t="str">
        <f t="shared" ca="1" si="1"/>
        <v/>
      </c>
      <c r="R103" s="160"/>
      <c r="S103" s="159" t="str">
        <f ca="1">IF(OR(ISBLANK($F$28),ISBLANK($E$8)),0,IF($E$9&gt;64,0,IF($B103="","",IF($H$32="!",0,1)*ROUND($F$28/'CC Tarifák'!$B$417*VLOOKUP(64-$E$9+1-$B103+1,'CC Tarifák'!$B$419:$AX$465,$E$9+$B103-1-18+2,0)*IF($E$47="Kizárás",1,1+$E$47),0))))</f>
        <v/>
      </c>
      <c r="T103" s="159"/>
      <c r="U103" s="159" t="str">
        <f ca="1">IF(OR(ISBLANK($F$28),ISBLANK($E$8)),0,IF($E$9&gt;60,0,IF($B103="","",IF(MOD($B103,5)=1,IF($J$32="!",0,1)*ROUND($F$28/'CC Tarifák'!$B$469*VLOOKUP(64-$E$9+1-$B103+1,'CC Tarifák'!$B$471:$AX$517,$E$9+$B103-1-18+2,0)*IF($E$47="Kizárás",1,1+$E$47),0),$U102))))</f>
        <v/>
      </c>
      <c r="V103" s="159"/>
      <c r="W103" s="159" t="str">
        <f ca="1">IF(OR(ISBLANK($F$28),ISBLANK($E$8)),0,IF($E$9&gt;55,0,IF($B103="","",IF(MOD($B103,10)=1,IF($L$32="!",0,1)*ROUND($F$28/'CC Tarifák'!$B$521*VLOOKUP(64-$E$9+1-$B103+1,'CC Tarifák'!$B$523:$AX$569,$E$9+$B103-1-18+2,0)*IF($E$47="Kizárás",1,1+$E$47),0),$W102))))</f>
        <v/>
      </c>
      <c r="X103" s="159"/>
      <c r="Y103" s="159" t="str">
        <f t="shared" ca="1" si="2"/>
        <v/>
      </c>
      <c r="Z103" s="159"/>
    </row>
    <row r="104" spans="2:26" x14ac:dyDescent="0.2">
      <c r="B104" s="78" t="str">
        <f t="shared" ca="1" si="3"/>
        <v/>
      </c>
      <c r="C104" s="159" t="str">
        <f ca="1">IF(OR(ISBLANK($F$28),ISBLANK($E$8)),0,IF($E$9&gt;64,0,IF($B104="","",IF($H$28="!",0,1)*ROUND($F$28/'CC Tarifák'!$B$1*VLOOKUP(64-$E$9+1-$B104+1,'CC Tarifák'!$B$3:$AX$49,$E$9+$B104-1-18+2,0)*IF($E$47="Kizárás",1,1+$E$47),0))))</f>
        <v/>
      </c>
      <c r="D104" s="159"/>
      <c r="E104" s="159" t="str">
        <f ca="1">IF(OR(ISBLANK($F$28),ISBLANK($E$8)),0,IF($E$9&gt;60,0,IF($B104="","",IF(MOD($B104,5)=1,IF($J$28="!",0,1)*ROUND($F$28/'CC Tarifák'!$B$53*VLOOKUP(64-$E$9+1-$B104+1,'CC Tarifák'!$B$55:$AX$101,$E$9+$B104-1-18+2,0)*IF($E$47="Kizárás",1,1+$E$47),0),$E103))))</f>
        <v/>
      </c>
      <c r="F104" s="159"/>
      <c r="G104" s="159" t="str">
        <f ca="1">IF(OR(ISBLANK($F$28),ISBLANK($E$8)),0,IF($E$9&gt;55,0,IF($B104="","",IF(MOD($B104,10)=1,IF($L$28="!",0,1)*ROUND($F$28/'CC Tarifák'!$B$105*VLOOKUP(64-$E$9+1-$B104+1,'CC Tarifák'!$B$107:$AX$153,$E$9+$B104-1-18+2,0)*IF($E$47="Kizárás",1,1+$E$47),0),$G103))))</f>
        <v/>
      </c>
      <c r="H104" s="159"/>
      <c r="I104" s="159" t="str">
        <f t="shared" ca="1" si="0"/>
        <v/>
      </c>
      <c r="J104" s="159"/>
      <c r="K104" s="160" t="str">
        <f ca="1">IF(OR(ISBLANK($F$28),ISBLANK($E$8)),0,IF($E$9&gt;64,0,IF($B104="","",IF($H$30="!",0,1)*ROUND($F$28/'CC Tarifák'!$B$209*VLOOKUP(64-$E$9+1-$B104+1,'CC Tarifák'!$B$211:$AX$257,$E$9+$B104-1-18+2,0)*IF($E$47="Kizárás",1,1+$E$47),0))))</f>
        <v/>
      </c>
      <c r="L104" s="160"/>
      <c r="M104" s="160" t="str">
        <f ca="1">IF(OR(ISBLANK($F$28),ISBLANK($E$8)),0,IF($E$9&gt;60,0,IF($B104="","",IF(MOD($B104,5)=1,IF($J$30="!",0,1)*ROUND($F$28/'CC Tarifák'!$B$261*VLOOKUP(64-$E$9+1-$B104+1,'CC Tarifák'!$B$263:$AX$309,$E$9+$B104-1-18+2,0)*IF($E$47="Kizárás",1,1+$E$47),0),$M103))))</f>
        <v/>
      </c>
      <c r="N104" s="160"/>
      <c r="O104" s="160" t="str">
        <f ca="1">IF(OR(ISBLANK($F$28),ISBLANK($E$8)),0,IF($E$9&gt;55,0,IF($B104="","",IF(MOD($B104,10)=1,IF($L$30="!",0,1)*ROUND($F$28/'CC Tarifák'!$B$313*VLOOKUP(64-$E$9+1-$B104+1,'CC Tarifák'!$B$315:$AX$361,$E$9+$B104-1-18+2,0)*IF($E$47="Kizárás",1,1+$E$47),0),$O103))))</f>
        <v/>
      </c>
      <c r="P104" s="160"/>
      <c r="Q104" s="160" t="str">
        <f t="shared" ca="1" si="1"/>
        <v/>
      </c>
      <c r="R104" s="160"/>
      <c r="S104" s="159" t="str">
        <f ca="1">IF(OR(ISBLANK($F$28),ISBLANK($E$8)),0,IF($E$9&gt;64,0,IF($B104="","",IF($H$32="!",0,1)*ROUND($F$28/'CC Tarifák'!$B$417*VLOOKUP(64-$E$9+1-$B104+1,'CC Tarifák'!$B$419:$AX$465,$E$9+$B104-1-18+2,0)*IF($E$47="Kizárás",1,1+$E$47),0))))</f>
        <v/>
      </c>
      <c r="T104" s="159"/>
      <c r="U104" s="159" t="str">
        <f ca="1">IF(OR(ISBLANK($F$28),ISBLANK($E$8)),0,IF($E$9&gt;60,0,IF($B104="","",IF(MOD($B104,5)=1,IF($J$32="!",0,1)*ROUND($F$28/'CC Tarifák'!$B$469*VLOOKUP(64-$E$9+1-$B104+1,'CC Tarifák'!$B$471:$AX$517,$E$9+$B104-1-18+2,0)*IF($E$47="Kizárás",1,1+$E$47),0),$U103))))</f>
        <v/>
      </c>
      <c r="V104" s="159"/>
      <c r="W104" s="159" t="str">
        <f ca="1">IF(OR(ISBLANK($F$28),ISBLANK($E$8)),0,IF($E$9&gt;55,0,IF($B104="","",IF(MOD($B104,10)=1,IF($L$32="!",0,1)*ROUND($F$28/'CC Tarifák'!$B$521*VLOOKUP(64-$E$9+1-$B104+1,'CC Tarifák'!$B$523:$AX$569,$E$9+$B104-1-18+2,0)*IF($E$47="Kizárás",1,1+$E$47),0),$W103))))</f>
        <v/>
      </c>
      <c r="X104" s="159"/>
      <c r="Y104" s="159" t="str">
        <f t="shared" ca="1" si="2"/>
        <v/>
      </c>
      <c r="Z104" s="159"/>
    </row>
    <row r="105" spans="2:26" x14ac:dyDescent="0.2">
      <c r="B105" s="78" t="str">
        <f t="shared" ca="1" si="3"/>
        <v/>
      </c>
      <c r="C105" s="159" t="str">
        <f ca="1">IF(OR(ISBLANK($F$28),ISBLANK($E$8)),0,IF($E$9&gt;64,0,IF($B105="","",IF($H$28="!",0,1)*ROUND($F$28/'CC Tarifák'!$B$1*VLOOKUP(64-$E$9+1-$B105+1,'CC Tarifák'!$B$3:$AX$49,$E$9+$B105-1-18+2,0)*IF($E$47="Kizárás",1,1+$E$47),0))))</f>
        <v/>
      </c>
      <c r="D105" s="159"/>
      <c r="E105" s="159" t="str">
        <f ca="1">IF(OR(ISBLANK($F$28),ISBLANK($E$8)),0,IF($E$9&gt;60,0,IF($B105="","",IF(MOD($B105,5)=1,IF($J$28="!",0,1)*ROUND($F$28/'CC Tarifák'!$B$53*VLOOKUP(64-$E$9+1-$B105+1,'CC Tarifák'!$B$55:$AX$101,$E$9+$B105-1-18+2,0)*IF($E$47="Kizárás",1,1+$E$47),0),$E104))))</f>
        <v/>
      </c>
      <c r="F105" s="159"/>
      <c r="G105" s="159" t="str">
        <f ca="1">IF(OR(ISBLANK($F$28),ISBLANK($E$8)),0,IF($E$9&gt;55,0,IF($B105="","",IF(MOD($B105,10)=1,IF($L$28="!",0,1)*ROUND($F$28/'CC Tarifák'!$B$105*VLOOKUP(64-$E$9+1-$B105+1,'CC Tarifák'!$B$107:$AX$153,$E$9+$B105-1-18+2,0)*IF($E$47="Kizárás",1,1+$E$47),0),$G104))))</f>
        <v/>
      </c>
      <c r="H105" s="159"/>
      <c r="I105" s="159" t="str">
        <f t="shared" ca="1" si="0"/>
        <v/>
      </c>
      <c r="J105" s="159"/>
      <c r="K105" s="160" t="str">
        <f ca="1">IF(OR(ISBLANK($F$28),ISBLANK($E$8)),0,IF($E$9&gt;64,0,IF($B105="","",IF($H$30="!",0,1)*ROUND($F$28/'CC Tarifák'!$B$209*VLOOKUP(64-$E$9+1-$B105+1,'CC Tarifák'!$B$211:$AX$257,$E$9+$B105-1-18+2,0)*IF($E$47="Kizárás",1,1+$E$47),0))))</f>
        <v/>
      </c>
      <c r="L105" s="160"/>
      <c r="M105" s="160" t="str">
        <f ca="1">IF(OR(ISBLANK($F$28),ISBLANK($E$8)),0,IF($E$9&gt;60,0,IF($B105="","",IF(MOD($B105,5)=1,IF($J$30="!",0,1)*ROUND($F$28/'CC Tarifák'!$B$261*VLOOKUP(64-$E$9+1-$B105+1,'CC Tarifák'!$B$263:$AX$309,$E$9+$B105-1-18+2,0)*IF($E$47="Kizárás",1,1+$E$47),0),$M104))))</f>
        <v/>
      </c>
      <c r="N105" s="160"/>
      <c r="O105" s="160" t="str">
        <f ca="1">IF(OR(ISBLANK($F$28),ISBLANK($E$8)),0,IF($E$9&gt;55,0,IF($B105="","",IF(MOD($B105,10)=1,IF($L$30="!",0,1)*ROUND($F$28/'CC Tarifák'!$B$313*VLOOKUP(64-$E$9+1-$B105+1,'CC Tarifák'!$B$315:$AX$361,$E$9+$B105-1-18+2,0)*IF($E$47="Kizárás",1,1+$E$47),0),$O104))))</f>
        <v/>
      </c>
      <c r="P105" s="160"/>
      <c r="Q105" s="160" t="str">
        <f t="shared" ca="1" si="1"/>
        <v/>
      </c>
      <c r="R105" s="160"/>
      <c r="S105" s="159" t="str">
        <f ca="1">IF(OR(ISBLANK($F$28),ISBLANK($E$8)),0,IF($E$9&gt;64,0,IF($B105="","",IF($H$32="!",0,1)*ROUND($F$28/'CC Tarifák'!$B$417*VLOOKUP(64-$E$9+1-$B105+1,'CC Tarifák'!$B$419:$AX$465,$E$9+$B105-1-18+2,0)*IF($E$47="Kizárás",1,1+$E$47),0))))</f>
        <v/>
      </c>
      <c r="T105" s="159"/>
      <c r="U105" s="159" t="str">
        <f ca="1">IF(OR(ISBLANK($F$28),ISBLANK($E$8)),0,IF($E$9&gt;60,0,IF($B105="","",IF(MOD($B105,5)=1,IF($J$32="!",0,1)*ROUND($F$28/'CC Tarifák'!$B$469*VLOOKUP(64-$E$9+1-$B105+1,'CC Tarifák'!$B$471:$AX$517,$E$9+$B105-1-18+2,0)*IF($E$47="Kizárás",1,1+$E$47),0),$U104))))</f>
        <v/>
      </c>
      <c r="V105" s="159"/>
      <c r="W105" s="159" t="str">
        <f ca="1">IF(OR(ISBLANK($F$28),ISBLANK($E$8)),0,IF($E$9&gt;55,0,IF($B105="","",IF(MOD($B105,10)=1,IF($L$32="!",0,1)*ROUND($F$28/'CC Tarifák'!$B$521*VLOOKUP(64-$E$9+1-$B105+1,'CC Tarifák'!$B$523:$AX$569,$E$9+$B105-1-18+2,0)*IF($E$47="Kizárás",1,1+$E$47),0),$W104))))</f>
        <v/>
      </c>
      <c r="X105" s="159"/>
      <c r="Y105" s="159" t="str">
        <f t="shared" ca="1" si="2"/>
        <v/>
      </c>
      <c r="Z105" s="159"/>
    </row>
  </sheetData>
  <sheetProtection password="D9D3" sheet="1" objects="1" scenarios="1"/>
  <mergeCells count="630">
    <mergeCell ref="B1:F2"/>
    <mergeCell ref="B5:H5"/>
    <mergeCell ref="B6:H6"/>
    <mergeCell ref="B8:D8"/>
    <mergeCell ref="E8:F8"/>
    <mergeCell ref="J8:M9"/>
    <mergeCell ref="N8:O9"/>
    <mergeCell ref="B9:D9"/>
    <mergeCell ref="E9:F9"/>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O60:P60"/>
    <mergeCell ref="Q60:R60"/>
    <mergeCell ref="S60:T60"/>
    <mergeCell ref="U60:V60"/>
    <mergeCell ref="W60:X60"/>
    <mergeCell ref="Y60:Z60"/>
    <mergeCell ref="C60:D60"/>
    <mergeCell ref="E60:F60"/>
    <mergeCell ref="G60:H60"/>
    <mergeCell ref="I60:J60"/>
    <mergeCell ref="K60:L60"/>
    <mergeCell ref="M60:N60"/>
    <mergeCell ref="O61:P61"/>
    <mergeCell ref="Q61:R61"/>
    <mergeCell ref="S61:T61"/>
    <mergeCell ref="U61:V61"/>
    <mergeCell ref="W61:X61"/>
    <mergeCell ref="Y61:Z61"/>
    <mergeCell ref="C61:D61"/>
    <mergeCell ref="E61:F61"/>
    <mergeCell ref="G61:H61"/>
    <mergeCell ref="I61:J61"/>
    <mergeCell ref="K61:L61"/>
    <mergeCell ref="M61:N61"/>
    <mergeCell ref="O62:P62"/>
    <mergeCell ref="Q62:R62"/>
    <mergeCell ref="S62:T62"/>
    <mergeCell ref="U62:V62"/>
    <mergeCell ref="W62:X62"/>
    <mergeCell ref="Y62:Z62"/>
    <mergeCell ref="C62:D62"/>
    <mergeCell ref="E62:F62"/>
    <mergeCell ref="G62:H62"/>
    <mergeCell ref="I62:J62"/>
    <mergeCell ref="K62:L62"/>
    <mergeCell ref="M62:N62"/>
    <mergeCell ref="O63:P63"/>
    <mergeCell ref="Q63:R63"/>
    <mergeCell ref="S63:T63"/>
    <mergeCell ref="U63:V63"/>
    <mergeCell ref="W63:X63"/>
    <mergeCell ref="Y63:Z63"/>
    <mergeCell ref="C63:D63"/>
    <mergeCell ref="E63:F63"/>
    <mergeCell ref="G63:H63"/>
    <mergeCell ref="I63:J63"/>
    <mergeCell ref="K63:L63"/>
    <mergeCell ref="M63:N63"/>
    <mergeCell ref="O64:P64"/>
    <mergeCell ref="Q64:R64"/>
    <mergeCell ref="S64:T64"/>
    <mergeCell ref="U64:V64"/>
    <mergeCell ref="W64:X64"/>
    <mergeCell ref="Y64:Z64"/>
    <mergeCell ref="C64:D64"/>
    <mergeCell ref="E64:F64"/>
    <mergeCell ref="G64:H64"/>
    <mergeCell ref="I64:J64"/>
    <mergeCell ref="K64:L64"/>
    <mergeCell ref="M64:N64"/>
    <mergeCell ref="O65:P65"/>
    <mergeCell ref="Q65:R65"/>
    <mergeCell ref="S65:T65"/>
    <mergeCell ref="U65:V65"/>
    <mergeCell ref="W65:X65"/>
    <mergeCell ref="Y65:Z65"/>
    <mergeCell ref="C65:D65"/>
    <mergeCell ref="E65:F65"/>
    <mergeCell ref="G65:H65"/>
    <mergeCell ref="I65:J65"/>
    <mergeCell ref="K65:L65"/>
    <mergeCell ref="M65:N65"/>
    <mergeCell ref="O66:P66"/>
    <mergeCell ref="Q66:R66"/>
    <mergeCell ref="S66:T66"/>
    <mergeCell ref="U66:V66"/>
    <mergeCell ref="W66:X66"/>
    <mergeCell ref="Y66:Z66"/>
    <mergeCell ref="C66:D66"/>
    <mergeCell ref="E66:F66"/>
    <mergeCell ref="G66:H66"/>
    <mergeCell ref="I66:J66"/>
    <mergeCell ref="K66:L66"/>
    <mergeCell ref="M66:N66"/>
    <mergeCell ref="O67:P67"/>
    <mergeCell ref="Q67:R67"/>
    <mergeCell ref="S67:T67"/>
    <mergeCell ref="U67:V67"/>
    <mergeCell ref="W67:X67"/>
    <mergeCell ref="Y67:Z67"/>
    <mergeCell ref="C67:D67"/>
    <mergeCell ref="E67:F67"/>
    <mergeCell ref="G67:H67"/>
    <mergeCell ref="I67:J67"/>
    <mergeCell ref="K67:L67"/>
    <mergeCell ref="M67:N67"/>
    <mergeCell ref="O68:P68"/>
    <mergeCell ref="Q68:R68"/>
    <mergeCell ref="S68:T68"/>
    <mergeCell ref="U68:V68"/>
    <mergeCell ref="W68:X68"/>
    <mergeCell ref="Y68:Z68"/>
    <mergeCell ref="C68:D68"/>
    <mergeCell ref="E68:F68"/>
    <mergeCell ref="G68:H68"/>
    <mergeCell ref="I68:J68"/>
    <mergeCell ref="K68:L68"/>
    <mergeCell ref="M68:N68"/>
    <mergeCell ref="O69:P69"/>
    <mergeCell ref="Q69:R69"/>
    <mergeCell ref="S69:T69"/>
    <mergeCell ref="U69:V69"/>
    <mergeCell ref="W69:X69"/>
    <mergeCell ref="Y69:Z69"/>
    <mergeCell ref="C69:D69"/>
    <mergeCell ref="E69:F69"/>
    <mergeCell ref="G69:H69"/>
    <mergeCell ref="I69:J69"/>
    <mergeCell ref="K69:L69"/>
    <mergeCell ref="M69:N69"/>
    <mergeCell ref="O70:P70"/>
    <mergeCell ref="Q70:R70"/>
    <mergeCell ref="S70:T70"/>
    <mergeCell ref="U70:V70"/>
    <mergeCell ref="W70:X70"/>
    <mergeCell ref="Y70:Z70"/>
    <mergeCell ref="C70:D70"/>
    <mergeCell ref="E70:F70"/>
    <mergeCell ref="G70:H70"/>
    <mergeCell ref="I70:J70"/>
    <mergeCell ref="K70:L70"/>
    <mergeCell ref="M70:N70"/>
    <mergeCell ref="O71:P71"/>
    <mergeCell ref="Q71:R71"/>
    <mergeCell ref="S71:T71"/>
    <mergeCell ref="U71:V71"/>
    <mergeCell ref="W71:X71"/>
    <mergeCell ref="Y71:Z71"/>
    <mergeCell ref="C71:D71"/>
    <mergeCell ref="E71:F71"/>
    <mergeCell ref="G71:H71"/>
    <mergeCell ref="I71:J71"/>
    <mergeCell ref="K71:L71"/>
    <mergeCell ref="M71:N71"/>
    <mergeCell ref="O72:P72"/>
    <mergeCell ref="Q72:R72"/>
    <mergeCell ref="S72:T72"/>
    <mergeCell ref="U72:V72"/>
    <mergeCell ref="W72:X72"/>
    <mergeCell ref="Y72:Z72"/>
    <mergeCell ref="C72:D72"/>
    <mergeCell ref="E72:F72"/>
    <mergeCell ref="G72:H72"/>
    <mergeCell ref="I72:J72"/>
    <mergeCell ref="K72:L72"/>
    <mergeCell ref="M72:N72"/>
    <mergeCell ref="O73:P73"/>
    <mergeCell ref="Q73:R73"/>
    <mergeCell ref="S73:T73"/>
    <mergeCell ref="U73:V73"/>
    <mergeCell ref="W73:X73"/>
    <mergeCell ref="Y73:Z73"/>
    <mergeCell ref="C73:D73"/>
    <mergeCell ref="E73:F73"/>
    <mergeCell ref="G73:H73"/>
    <mergeCell ref="I73:J73"/>
    <mergeCell ref="K73:L73"/>
    <mergeCell ref="M73:N73"/>
    <mergeCell ref="O74:P74"/>
    <mergeCell ref="Q74:R74"/>
    <mergeCell ref="S74:T74"/>
    <mergeCell ref="U74:V74"/>
    <mergeCell ref="W74:X74"/>
    <mergeCell ref="Y74:Z74"/>
    <mergeCell ref="C74:D74"/>
    <mergeCell ref="E74:F74"/>
    <mergeCell ref="G74:H74"/>
    <mergeCell ref="I74:J74"/>
    <mergeCell ref="K74:L74"/>
    <mergeCell ref="M74:N74"/>
    <mergeCell ref="O75:P75"/>
    <mergeCell ref="Q75:R75"/>
    <mergeCell ref="S75:T75"/>
    <mergeCell ref="U75:V75"/>
    <mergeCell ref="W75:X75"/>
    <mergeCell ref="Y75:Z75"/>
    <mergeCell ref="C75:D75"/>
    <mergeCell ref="E75:F75"/>
    <mergeCell ref="G75:H75"/>
    <mergeCell ref="I75:J75"/>
    <mergeCell ref="K75:L75"/>
    <mergeCell ref="M75:N75"/>
    <mergeCell ref="O76:P76"/>
    <mergeCell ref="Q76:R76"/>
    <mergeCell ref="S76:T76"/>
    <mergeCell ref="U76:V76"/>
    <mergeCell ref="W76:X76"/>
    <mergeCell ref="Y76:Z76"/>
    <mergeCell ref="C76:D76"/>
    <mergeCell ref="E76:F76"/>
    <mergeCell ref="G76:H76"/>
    <mergeCell ref="I76:J76"/>
    <mergeCell ref="K76:L76"/>
    <mergeCell ref="M76:N76"/>
    <mergeCell ref="O77:P77"/>
    <mergeCell ref="Q77:R77"/>
    <mergeCell ref="S77:T77"/>
    <mergeCell ref="U77:V77"/>
    <mergeCell ref="W77:X77"/>
    <mergeCell ref="Y77:Z77"/>
    <mergeCell ref="C77:D77"/>
    <mergeCell ref="E77:F77"/>
    <mergeCell ref="G77:H77"/>
    <mergeCell ref="I77:J77"/>
    <mergeCell ref="K77:L77"/>
    <mergeCell ref="M77:N77"/>
    <mergeCell ref="O78:P78"/>
    <mergeCell ref="Q78:R78"/>
    <mergeCell ref="S78:T78"/>
    <mergeCell ref="U78:V78"/>
    <mergeCell ref="W78:X78"/>
    <mergeCell ref="Y78:Z78"/>
    <mergeCell ref="C78:D78"/>
    <mergeCell ref="E78:F78"/>
    <mergeCell ref="G78:H78"/>
    <mergeCell ref="I78:J78"/>
    <mergeCell ref="K78:L78"/>
    <mergeCell ref="M78:N78"/>
    <mergeCell ref="O79:P79"/>
    <mergeCell ref="Q79:R79"/>
    <mergeCell ref="S79:T79"/>
    <mergeCell ref="U79:V79"/>
    <mergeCell ref="W79:X79"/>
    <mergeCell ref="Y79:Z79"/>
    <mergeCell ref="C79:D79"/>
    <mergeCell ref="E79:F79"/>
    <mergeCell ref="G79:H79"/>
    <mergeCell ref="I79:J79"/>
    <mergeCell ref="K79:L79"/>
    <mergeCell ref="M79:N79"/>
    <mergeCell ref="O80:P80"/>
    <mergeCell ref="Q80:R80"/>
    <mergeCell ref="S80:T80"/>
    <mergeCell ref="U80:V80"/>
    <mergeCell ref="W80:X80"/>
    <mergeCell ref="Y80:Z80"/>
    <mergeCell ref="C80:D80"/>
    <mergeCell ref="E80:F80"/>
    <mergeCell ref="G80:H80"/>
    <mergeCell ref="I80:J80"/>
    <mergeCell ref="K80:L80"/>
    <mergeCell ref="M80:N80"/>
    <mergeCell ref="O81:P81"/>
    <mergeCell ref="Q81:R81"/>
    <mergeCell ref="S81:T81"/>
    <mergeCell ref="U81:V81"/>
    <mergeCell ref="W81:X81"/>
    <mergeCell ref="Y81:Z81"/>
    <mergeCell ref="C81:D81"/>
    <mergeCell ref="E81:F81"/>
    <mergeCell ref="G81:H81"/>
    <mergeCell ref="I81:J81"/>
    <mergeCell ref="K81:L81"/>
    <mergeCell ref="M81:N81"/>
    <mergeCell ref="O82:P82"/>
    <mergeCell ref="Q82:R82"/>
    <mergeCell ref="S82:T82"/>
    <mergeCell ref="U82:V82"/>
    <mergeCell ref="W82:X82"/>
    <mergeCell ref="Y82:Z82"/>
    <mergeCell ref="C82:D82"/>
    <mergeCell ref="E82:F82"/>
    <mergeCell ref="G82:H82"/>
    <mergeCell ref="I82:J82"/>
    <mergeCell ref="K82:L82"/>
    <mergeCell ref="M82:N82"/>
    <mergeCell ref="O83:P83"/>
    <mergeCell ref="Q83:R83"/>
    <mergeCell ref="S83:T83"/>
    <mergeCell ref="U83:V83"/>
    <mergeCell ref="W83:X83"/>
    <mergeCell ref="Y83:Z83"/>
    <mergeCell ref="C83:D83"/>
    <mergeCell ref="E83:F83"/>
    <mergeCell ref="G83:H83"/>
    <mergeCell ref="I83:J83"/>
    <mergeCell ref="K83:L83"/>
    <mergeCell ref="M83:N83"/>
    <mergeCell ref="O84:P84"/>
    <mergeCell ref="Q84:R84"/>
    <mergeCell ref="S84:T84"/>
    <mergeCell ref="U84:V84"/>
    <mergeCell ref="W84:X84"/>
    <mergeCell ref="Y84:Z84"/>
    <mergeCell ref="C84:D84"/>
    <mergeCell ref="E84:F84"/>
    <mergeCell ref="G84:H84"/>
    <mergeCell ref="I84:J84"/>
    <mergeCell ref="K84:L84"/>
    <mergeCell ref="M84:N84"/>
    <mergeCell ref="O85:P85"/>
    <mergeCell ref="Q85:R85"/>
    <mergeCell ref="S85:T85"/>
    <mergeCell ref="U85:V85"/>
    <mergeCell ref="W85:X85"/>
    <mergeCell ref="Y85:Z85"/>
    <mergeCell ref="C85:D85"/>
    <mergeCell ref="E85:F85"/>
    <mergeCell ref="G85:H85"/>
    <mergeCell ref="I85:J85"/>
    <mergeCell ref="K85:L85"/>
    <mergeCell ref="M85:N85"/>
    <mergeCell ref="O86:P86"/>
    <mergeCell ref="Q86:R86"/>
    <mergeCell ref="S86:T86"/>
    <mergeCell ref="U86:V86"/>
    <mergeCell ref="W86:X86"/>
    <mergeCell ref="Y86:Z86"/>
    <mergeCell ref="C86:D86"/>
    <mergeCell ref="E86:F86"/>
    <mergeCell ref="G86:H86"/>
    <mergeCell ref="I86:J86"/>
    <mergeCell ref="K86:L86"/>
    <mergeCell ref="M86:N86"/>
    <mergeCell ref="O87:P87"/>
    <mergeCell ref="Q87:R87"/>
    <mergeCell ref="S87:T87"/>
    <mergeCell ref="U87:V87"/>
    <mergeCell ref="W87:X87"/>
    <mergeCell ref="Y87:Z87"/>
    <mergeCell ref="C87:D87"/>
    <mergeCell ref="E87:F87"/>
    <mergeCell ref="G87:H87"/>
    <mergeCell ref="I87:J87"/>
    <mergeCell ref="K87:L87"/>
    <mergeCell ref="M87:N87"/>
    <mergeCell ref="O88:P88"/>
    <mergeCell ref="Q88:R88"/>
    <mergeCell ref="S88:T88"/>
    <mergeCell ref="U88:V88"/>
    <mergeCell ref="W88:X88"/>
    <mergeCell ref="Y88:Z88"/>
    <mergeCell ref="C88:D88"/>
    <mergeCell ref="E88:F88"/>
    <mergeCell ref="G88:H88"/>
    <mergeCell ref="I88:J88"/>
    <mergeCell ref="K88:L88"/>
    <mergeCell ref="M88:N88"/>
    <mergeCell ref="O89:P89"/>
    <mergeCell ref="Q89:R89"/>
    <mergeCell ref="S89:T89"/>
    <mergeCell ref="U89:V89"/>
    <mergeCell ref="W89:X89"/>
    <mergeCell ref="Y89:Z89"/>
    <mergeCell ref="C89:D89"/>
    <mergeCell ref="E89:F89"/>
    <mergeCell ref="G89:H89"/>
    <mergeCell ref="I89:J89"/>
    <mergeCell ref="K89:L89"/>
    <mergeCell ref="M89:N89"/>
    <mergeCell ref="O90:P90"/>
    <mergeCell ref="Q90:R90"/>
    <mergeCell ref="S90:T90"/>
    <mergeCell ref="U90:V90"/>
    <mergeCell ref="W90:X90"/>
    <mergeCell ref="Y90:Z90"/>
    <mergeCell ref="C90:D90"/>
    <mergeCell ref="E90:F90"/>
    <mergeCell ref="G90:H90"/>
    <mergeCell ref="I90:J90"/>
    <mergeCell ref="K90:L90"/>
    <mergeCell ref="M90:N90"/>
    <mergeCell ref="O91:P91"/>
    <mergeCell ref="Q91:R91"/>
    <mergeCell ref="S91:T91"/>
    <mergeCell ref="U91:V91"/>
    <mergeCell ref="W91:X91"/>
    <mergeCell ref="Y91:Z91"/>
    <mergeCell ref="C91:D91"/>
    <mergeCell ref="E91:F91"/>
    <mergeCell ref="G91:H91"/>
    <mergeCell ref="I91:J91"/>
    <mergeCell ref="K91:L91"/>
    <mergeCell ref="M91:N91"/>
    <mergeCell ref="O92:P92"/>
    <mergeCell ref="Q92:R92"/>
    <mergeCell ref="S92:T92"/>
    <mergeCell ref="U92:V92"/>
    <mergeCell ref="W92:X92"/>
    <mergeCell ref="Y92:Z92"/>
    <mergeCell ref="C92:D92"/>
    <mergeCell ref="E92:F92"/>
    <mergeCell ref="G92:H92"/>
    <mergeCell ref="I92:J92"/>
    <mergeCell ref="K92:L92"/>
    <mergeCell ref="M92:N92"/>
    <mergeCell ref="O93:P93"/>
    <mergeCell ref="Q93:R93"/>
    <mergeCell ref="S93:T93"/>
    <mergeCell ref="U93:V93"/>
    <mergeCell ref="W93:X93"/>
    <mergeCell ref="Y93:Z93"/>
    <mergeCell ref="C93:D93"/>
    <mergeCell ref="E93:F93"/>
    <mergeCell ref="G93:H93"/>
    <mergeCell ref="I93:J93"/>
    <mergeCell ref="K93:L93"/>
    <mergeCell ref="M93:N93"/>
    <mergeCell ref="O94:P94"/>
    <mergeCell ref="Q94:R94"/>
    <mergeCell ref="S94:T94"/>
    <mergeCell ref="U94:V94"/>
    <mergeCell ref="W94:X94"/>
    <mergeCell ref="Y94:Z94"/>
    <mergeCell ref="C94:D94"/>
    <mergeCell ref="E94:F94"/>
    <mergeCell ref="G94:H94"/>
    <mergeCell ref="I94:J94"/>
    <mergeCell ref="K94:L94"/>
    <mergeCell ref="M94:N94"/>
    <mergeCell ref="O95:P95"/>
    <mergeCell ref="Q95:R95"/>
    <mergeCell ref="S95:T95"/>
    <mergeCell ref="U95:V95"/>
    <mergeCell ref="W95:X95"/>
    <mergeCell ref="Y95:Z95"/>
    <mergeCell ref="C95:D95"/>
    <mergeCell ref="E95:F95"/>
    <mergeCell ref="G95:H95"/>
    <mergeCell ref="I95:J95"/>
    <mergeCell ref="K95:L95"/>
    <mergeCell ref="M95:N95"/>
    <mergeCell ref="O96:P96"/>
    <mergeCell ref="Q96:R96"/>
    <mergeCell ref="S96:T96"/>
    <mergeCell ref="U96:V96"/>
    <mergeCell ref="W96:X96"/>
    <mergeCell ref="Y96:Z96"/>
    <mergeCell ref="C96:D96"/>
    <mergeCell ref="E96:F96"/>
    <mergeCell ref="G96:H96"/>
    <mergeCell ref="I96:J96"/>
    <mergeCell ref="K96:L96"/>
    <mergeCell ref="M96:N96"/>
    <mergeCell ref="O97:P97"/>
    <mergeCell ref="Q97:R97"/>
    <mergeCell ref="S97:T97"/>
    <mergeCell ref="U97:V97"/>
    <mergeCell ref="W97:X97"/>
    <mergeCell ref="Y97:Z97"/>
    <mergeCell ref="C97:D97"/>
    <mergeCell ref="E97:F97"/>
    <mergeCell ref="G97:H97"/>
    <mergeCell ref="I97:J97"/>
    <mergeCell ref="K97:L97"/>
    <mergeCell ref="M97:N97"/>
    <mergeCell ref="O98:P98"/>
    <mergeCell ref="Q98:R98"/>
    <mergeCell ref="S98:T98"/>
    <mergeCell ref="U98:V98"/>
    <mergeCell ref="W98:X98"/>
    <mergeCell ref="Y98:Z98"/>
    <mergeCell ref="C98:D98"/>
    <mergeCell ref="E98:F98"/>
    <mergeCell ref="G98:H98"/>
    <mergeCell ref="I98:J98"/>
    <mergeCell ref="K98:L98"/>
    <mergeCell ref="M98:N98"/>
    <mergeCell ref="O99:P99"/>
    <mergeCell ref="Q99:R99"/>
    <mergeCell ref="S99:T99"/>
    <mergeCell ref="U99:V99"/>
    <mergeCell ref="W99:X99"/>
    <mergeCell ref="Y99:Z99"/>
    <mergeCell ref="C99:D99"/>
    <mergeCell ref="E99:F99"/>
    <mergeCell ref="G99:H99"/>
    <mergeCell ref="I99:J99"/>
    <mergeCell ref="K99:L99"/>
    <mergeCell ref="M99:N99"/>
    <mergeCell ref="O100:P100"/>
    <mergeCell ref="Q100:R100"/>
    <mergeCell ref="S100:T100"/>
    <mergeCell ref="U100:V100"/>
    <mergeCell ref="W100:X100"/>
    <mergeCell ref="Y100:Z100"/>
    <mergeCell ref="C100:D100"/>
    <mergeCell ref="E100:F100"/>
    <mergeCell ref="G100:H100"/>
    <mergeCell ref="I100:J100"/>
    <mergeCell ref="K100:L100"/>
    <mergeCell ref="M100:N100"/>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5:V105"/>
    <mergeCell ref="W105:X105"/>
    <mergeCell ref="Y105:Z105"/>
    <mergeCell ref="C105:D105"/>
    <mergeCell ref="E105:F105"/>
    <mergeCell ref="G105:H105"/>
    <mergeCell ref="I105:J105"/>
    <mergeCell ref="K105:L105"/>
    <mergeCell ref="M105:N105"/>
    <mergeCell ref="O105:P105"/>
    <mergeCell ref="Q105:R105"/>
    <mergeCell ref="S105:T105"/>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09" t="s">
        <v>422</v>
      </c>
      <c r="C1" s="109"/>
      <c r="D1" s="109"/>
      <c r="E1" s="109"/>
      <c r="F1" s="109"/>
    </row>
    <row r="2" spans="2:14" x14ac:dyDescent="0.2">
      <c r="B2" s="109"/>
      <c r="C2" s="109"/>
      <c r="D2" s="109"/>
      <c r="E2" s="109"/>
      <c r="F2" s="109"/>
      <c r="G2" s="20" t="str">
        <f>MetMax!$E$2</f>
        <v>v2.1.7</v>
      </c>
    </row>
    <row r="3" spans="2:14" ht="12.75" customHeight="1" x14ac:dyDescent="0.2"/>
    <row r="4" spans="2:14" ht="12.75" customHeight="1" x14ac:dyDescent="0.2"/>
    <row r="5" spans="2:14" ht="12.75" customHeight="1" x14ac:dyDescent="0.2">
      <c r="B5" s="100" t="s">
        <v>423</v>
      </c>
      <c r="C5" s="100"/>
      <c r="D5" s="100"/>
      <c r="E5" s="100"/>
      <c r="F5" s="100"/>
      <c r="G5" s="114" t="s">
        <v>131</v>
      </c>
      <c r="H5" s="114"/>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204" t="s">
        <v>469</v>
      </c>
      <c r="D10" s="204"/>
      <c r="E10" s="204"/>
      <c r="F10" s="204"/>
      <c r="G10" s="204" t="str">
        <f>"Fizetendő "&amp;$E$58&amp;" díj"</f>
        <v>Fizetendő Havi díj</v>
      </c>
      <c r="H10" s="204"/>
      <c r="I10" s="204"/>
      <c r="J10" s="204"/>
      <c r="K10" s="204" t="s">
        <v>470</v>
      </c>
      <c r="L10" s="204"/>
      <c r="M10" s="204"/>
      <c r="N10" s="204"/>
    </row>
    <row r="11" spans="2:14" ht="12.75" customHeight="1" x14ac:dyDescent="0.2">
      <c r="B11" s="66"/>
      <c r="C11" s="205" t="s">
        <v>82</v>
      </c>
      <c r="D11" s="205"/>
      <c r="E11" s="205" t="str">
        <f>IF($G$5="MetMax","MetMax","MetCare")</f>
        <v>MetCare</v>
      </c>
      <c r="F11" s="205"/>
      <c r="G11" s="205" t="s">
        <v>82</v>
      </c>
      <c r="H11" s="205"/>
      <c r="I11" s="205" t="str">
        <f>IF($G$5="MetMax","MetMax","MetCare")</f>
        <v>MetCare</v>
      </c>
      <c r="J11" s="205"/>
      <c r="K11" s="205" t="s">
        <v>82</v>
      </c>
      <c r="L11" s="205"/>
      <c r="M11" s="205" t="str">
        <f>IF($G$5="MetMax","MetMax","MetCare")</f>
        <v>MetCare</v>
      </c>
      <c r="N11" s="205"/>
    </row>
    <row r="12" spans="2:14" ht="12.75" customHeight="1" x14ac:dyDescent="0.2">
      <c r="B12" s="67">
        <v>1</v>
      </c>
      <c r="C12" s="184">
        <f ca="1">IF($G12=0,0,SUM($K$12:$K12))</f>
        <v>124824</v>
      </c>
      <c r="D12" s="184"/>
      <c r="E12" s="182">
        <f ca="1">IF($I12=0,0,SUM($M$12:$M12))</f>
        <v>35124</v>
      </c>
      <c r="F12" s="182"/>
      <c r="G12" s="184">
        <f ca="1">ROUND(IF(OR($G$55="!",$B12&gt;$Q$68),0,$R$133),0)</f>
        <v>10402</v>
      </c>
      <c r="H12" s="184"/>
      <c r="I12" s="182">
        <f ca="1">IF(OR($G$55="!",$B12&gt;$Q$68),0,$R$99)</f>
        <v>2927</v>
      </c>
      <c r="J12" s="182"/>
      <c r="K12" s="184">
        <f t="shared" ref="K12:K36" ca="1" si="0">IF($E$58="Havi",12,IF($E$58="Negyedéves",4,IF($E$58="Féléves",2,1)))*$G12</f>
        <v>124824</v>
      </c>
      <c r="L12" s="184"/>
      <c r="M12" s="182">
        <f t="shared" ref="M12:M36" ca="1" si="1">IF($E$58="Havi",12,IF($E$58="Negyedéves",4,IF($E$58="Féléves",2,1)))*$I12</f>
        <v>35124</v>
      </c>
      <c r="N12" s="182"/>
    </row>
    <row r="13" spans="2:14" ht="12.75" customHeight="1" x14ac:dyDescent="0.2">
      <c r="B13" s="68">
        <v>2</v>
      </c>
      <c r="C13" s="178">
        <f ca="1">IF($G13=0,0,SUM($K$12:$K13))</f>
        <v>249648</v>
      </c>
      <c r="D13" s="178"/>
      <c r="E13" s="183">
        <f ca="1">IF($I13=0,0,SUM($M$12:$M13))</f>
        <v>73524</v>
      </c>
      <c r="F13" s="183"/>
      <c r="G13" s="184">
        <f t="shared" ref="G13:G36" ca="1" si="2">ROUND(IF(OR($G$55="!",$B13&gt;$Q$68),0,$R$133),0)</f>
        <v>10402</v>
      </c>
      <c r="H13" s="184"/>
      <c r="I13" s="183">
        <f ca="1">IF(OR($G$55="!",$B13&gt;$Q$68),0,$S$99)</f>
        <v>3200</v>
      </c>
      <c r="J13" s="183"/>
      <c r="K13" s="178">
        <f t="shared" ca="1" si="0"/>
        <v>124824</v>
      </c>
      <c r="L13" s="178"/>
      <c r="M13" s="183">
        <f t="shared" ca="1" si="1"/>
        <v>38400</v>
      </c>
      <c r="N13" s="183"/>
    </row>
    <row r="14" spans="2:14" ht="12.75" customHeight="1" x14ac:dyDescent="0.2">
      <c r="B14" s="68">
        <v>3</v>
      </c>
      <c r="C14" s="178">
        <f ca="1">IF($G14=0,0,SUM($K$12:$K14))</f>
        <v>374472</v>
      </c>
      <c r="D14" s="178"/>
      <c r="E14" s="183">
        <f ca="1">IF($I14=0,0,SUM($M$12:$M14))</f>
        <v>115716</v>
      </c>
      <c r="F14" s="183"/>
      <c r="G14" s="184">
        <f t="shared" ca="1" si="2"/>
        <v>10402</v>
      </c>
      <c r="H14" s="184"/>
      <c r="I14" s="183">
        <f ca="1">IF(OR($G$55="!",$B14&gt;$Q$68),0,$T$99)</f>
        <v>3516</v>
      </c>
      <c r="J14" s="183"/>
      <c r="K14" s="178">
        <f t="shared" ca="1" si="0"/>
        <v>124824</v>
      </c>
      <c r="L14" s="178"/>
      <c r="M14" s="183">
        <f t="shared" ca="1" si="1"/>
        <v>42192</v>
      </c>
      <c r="N14" s="183"/>
    </row>
    <row r="15" spans="2:14" ht="12.75" customHeight="1" x14ac:dyDescent="0.2">
      <c r="B15" s="68">
        <v>4</v>
      </c>
      <c r="C15" s="178">
        <f ca="1">IF($G15=0,0,SUM($K$12:$K15))</f>
        <v>499296</v>
      </c>
      <c r="D15" s="178"/>
      <c r="E15" s="183">
        <f ca="1">IF($I15=0,0,SUM($M$12:$M15))</f>
        <v>162180</v>
      </c>
      <c r="F15" s="183"/>
      <c r="G15" s="184">
        <f t="shared" ca="1" si="2"/>
        <v>10402</v>
      </c>
      <c r="H15" s="184"/>
      <c r="I15" s="183">
        <f ca="1">IF(OR($G$55="!",$B15&gt;$Q$68),0,$U$99)</f>
        <v>3872</v>
      </c>
      <c r="J15" s="183"/>
      <c r="K15" s="178">
        <f t="shared" ca="1" si="0"/>
        <v>124824</v>
      </c>
      <c r="L15" s="178"/>
      <c r="M15" s="183">
        <f t="shared" ca="1" si="1"/>
        <v>46464</v>
      </c>
      <c r="N15" s="183"/>
    </row>
    <row r="16" spans="2:14" ht="12.75" customHeight="1" x14ac:dyDescent="0.2">
      <c r="B16" s="68">
        <v>5</v>
      </c>
      <c r="C16" s="178">
        <f ca="1">IF($G16=0,0,SUM($K$12:$K16))</f>
        <v>624120</v>
      </c>
      <c r="D16" s="178"/>
      <c r="E16" s="183">
        <f ca="1">IF($I16=0,0,SUM($M$12:$M16))</f>
        <v>213624</v>
      </c>
      <c r="F16" s="183"/>
      <c r="G16" s="184">
        <f t="shared" ca="1" si="2"/>
        <v>10402</v>
      </c>
      <c r="H16" s="184"/>
      <c r="I16" s="183">
        <f ca="1">IF(OR($G$55="!",$B16&gt;$Q$68),0,$V$99)</f>
        <v>4287</v>
      </c>
      <c r="J16" s="183"/>
      <c r="K16" s="178">
        <f t="shared" ca="1" si="0"/>
        <v>124824</v>
      </c>
      <c r="L16" s="178"/>
      <c r="M16" s="183">
        <f t="shared" ca="1" si="1"/>
        <v>51444</v>
      </c>
      <c r="N16" s="183"/>
    </row>
    <row r="17" spans="2:14" ht="12.75" customHeight="1" x14ac:dyDescent="0.2">
      <c r="B17" s="68">
        <v>6</v>
      </c>
      <c r="C17" s="178">
        <f ca="1">IF($G17=0,0,SUM($K$12:$K17))</f>
        <v>748944</v>
      </c>
      <c r="D17" s="178"/>
      <c r="E17" s="183">
        <f ca="1">IF($I17=0,0,SUM($M$12:$M17))</f>
        <v>270900</v>
      </c>
      <c r="F17" s="183"/>
      <c r="G17" s="184">
        <f t="shared" ca="1" si="2"/>
        <v>10402</v>
      </c>
      <c r="H17" s="184"/>
      <c r="I17" s="183">
        <f ca="1">IF(OR($G$55="!",$B17&gt;$Q$68),0,$W$99)</f>
        <v>4773</v>
      </c>
      <c r="J17" s="183"/>
      <c r="K17" s="178">
        <f t="shared" ca="1" si="0"/>
        <v>124824</v>
      </c>
      <c r="L17" s="178"/>
      <c r="M17" s="183">
        <f t="shared" ca="1" si="1"/>
        <v>57276</v>
      </c>
      <c r="N17" s="183"/>
    </row>
    <row r="18" spans="2:14" ht="12.75" customHeight="1" x14ac:dyDescent="0.2">
      <c r="B18" s="68">
        <v>7</v>
      </c>
      <c r="C18" s="178">
        <f ca="1">IF($G18=0,0,SUM($K$12:$K18))</f>
        <v>873768</v>
      </c>
      <c r="D18" s="178"/>
      <c r="E18" s="183">
        <f ca="1">IF($I18=0,0,SUM($M$12:$M18))</f>
        <v>334872</v>
      </c>
      <c r="F18" s="183"/>
      <c r="G18" s="184">
        <f t="shared" ca="1" si="2"/>
        <v>10402</v>
      </c>
      <c r="H18" s="184"/>
      <c r="I18" s="183">
        <f ca="1">IF(OR($G$55="!",$B18&gt;$Q$68),0,$X$99)</f>
        <v>5331</v>
      </c>
      <c r="J18" s="183"/>
      <c r="K18" s="178">
        <f t="shared" ca="1" si="0"/>
        <v>124824</v>
      </c>
      <c r="L18" s="178"/>
      <c r="M18" s="183">
        <f t="shared" ca="1" si="1"/>
        <v>63972</v>
      </c>
      <c r="N18" s="183"/>
    </row>
    <row r="19" spans="2:14" ht="12.75" customHeight="1" x14ac:dyDescent="0.2">
      <c r="B19" s="68">
        <v>8</v>
      </c>
      <c r="C19" s="178">
        <f ca="1">IF($G19=0,0,SUM($K$12:$K19))</f>
        <v>998592</v>
      </c>
      <c r="D19" s="178"/>
      <c r="E19" s="183">
        <f ca="1">IF($I19=0,0,SUM($M$12:$M19))</f>
        <v>405984</v>
      </c>
      <c r="F19" s="183"/>
      <c r="G19" s="184">
        <f t="shared" ca="1" si="2"/>
        <v>10402</v>
      </c>
      <c r="H19" s="184"/>
      <c r="I19" s="183">
        <f ca="1">IF(OR($G$55="!",$B19&gt;$Q$68),0,$Y$99)</f>
        <v>5926</v>
      </c>
      <c r="J19" s="183"/>
      <c r="K19" s="178">
        <f t="shared" ca="1" si="0"/>
        <v>124824</v>
      </c>
      <c r="L19" s="178"/>
      <c r="M19" s="183">
        <f t="shared" ca="1" si="1"/>
        <v>71112</v>
      </c>
      <c r="N19" s="183"/>
    </row>
    <row r="20" spans="2:14" ht="12.75" customHeight="1" x14ac:dyDescent="0.2">
      <c r="B20" s="68">
        <v>9</v>
      </c>
      <c r="C20" s="178">
        <f ca="1">IF($G20=0,0,SUM($K$12:$K20))</f>
        <v>1123416</v>
      </c>
      <c r="D20" s="178"/>
      <c r="E20" s="183">
        <f ca="1">IF($I20=0,0,SUM($M$12:$M20))</f>
        <v>484536</v>
      </c>
      <c r="F20" s="183"/>
      <c r="G20" s="184">
        <f t="shared" ca="1" si="2"/>
        <v>10402</v>
      </c>
      <c r="H20" s="184"/>
      <c r="I20" s="183">
        <f ca="1">IF(OR($G$55="!",$B20&gt;$Q$68),0,$Z$99)</f>
        <v>6546</v>
      </c>
      <c r="J20" s="183"/>
      <c r="K20" s="178">
        <f t="shared" ca="1" si="0"/>
        <v>124824</v>
      </c>
      <c r="L20" s="178"/>
      <c r="M20" s="183">
        <f t="shared" ca="1" si="1"/>
        <v>78552</v>
      </c>
      <c r="N20" s="183"/>
    </row>
    <row r="21" spans="2:14" ht="12.75" customHeight="1" x14ac:dyDescent="0.2">
      <c r="B21" s="68">
        <v>10</v>
      </c>
      <c r="C21" s="178">
        <f ca="1">IF($G21=0,0,SUM($K$12:$K21))</f>
        <v>1248240</v>
      </c>
      <c r="D21" s="178"/>
      <c r="E21" s="183">
        <f ca="1">IF($I21=0,0,SUM($M$12:$M21))</f>
        <v>570504</v>
      </c>
      <c r="F21" s="183"/>
      <c r="G21" s="184">
        <f t="shared" ca="1" si="2"/>
        <v>10402</v>
      </c>
      <c r="H21" s="184"/>
      <c r="I21" s="183">
        <f ca="1">IF(OR($G$55="!",$B21&gt;$Q$68),0,$AA$99)</f>
        <v>7164</v>
      </c>
      <c r="J21" s="183"/>
      <c r="K21" s="178">
        <f t="shared" ca="1" si="0"/>
        <v>124824</v>
      </c>
      <c r="L21" s="178"/>
      <c r="M21" s="183">
        <f t="shared" ca="1" si="1"/>
        <v>85968</v>
      </c>
      <c r="N21" s="183"/>
    </row>
    <row r="22" spans="2:14" ht="12.75" customHeight="1" x14ac:dyDescent="0.2">
      <c r="B22" s="68">
        <v>11</v>
      </c>
      <c r="C22" s="178">
        <f ca="1">IF($G22=0,0,SUM($K$12:$K22))</f>
        <v>1373064</v>
      </c>
      <c r="D22" s="178"/>
      <c r="E22" s="183">
        <f ca="1">IF($I22=0,0,SUM($M$12:$M22))</f>
        <v>663972</v>
      </c>
      <c r="F22" s="183"/>
      <c r="G22" s="184">
        <f t="shared" ca="1" si="2"/>
        <v>10402</v>
      </c>
      <c r="H22" s="184"/>
      <c r="I22" s="183">
        <f ca="1">IF(OR($G$55="!",$B22&gt;$Q$68),0,$AB$99)</f>
        <v>7789</v>
      </c>
      <c r="J22" s="183"/>
      <c r="K22" s="178">
        <f t="shared" ca="1" si="0"/>
        <v>124824</v>
      </c>
      <c r="L22" s="178"/>
      <c r="M22" s="183">
        <f t="shared" ca="1" si="1"/>
        <v>93468</v>
      </c>
      <c r="N22" s="183"/>
    </row>
    <row r="23" spans="2:14" ht="12.75" customHeight="1" x14ac:dyDescent="0.2">
      <c r="B23" s="68">
        <v>12</v>
      </c>
      <c r="C23" s="178">
        <f ca="1">IF($G23=0,0,SUM($K$12:$K23))</f>
        <v>1497888</v>
      </c>
      <c r="D23" s="178"/>
      <c r="E23" s="183">
        <f ca="1">IF($I23=0,0,SUM($M$12:$M23))</f>
        <v>765168</v>
      </c>
      <c r="F23" s="183"/>
      <c r="G23" s="184">
        <f t="shared" ca="1" si="2"/>
        <v>10402</v>
      </c>
      <c r="H23" s="184"/>
      <c r="I23" s="183">
        <f ca="1">IF(OR($G$55="!",$B23&gt;$Q$68),0,$AC$99)</f>
        <v>8433</v>
      </c>
      <c r="J23" s="183"/>
      <c r="K23" s="178">
        <f t="shared" ca="1" si="0"/>
        <v>124824</v>
      </c>
      <c r="L23" s="178"/>
      <c r="M23" s="183">
        <f t="shared" ca="1" si="1"/>
        <v>101196</v>
      </c>
      <c r="N23" s="183"/>
    </row>
    <row r="24" spans="2:14" ht="12.75" customHeight="1" x14ac:dyDescent="0.2">
      <c r="B24" s="68">
        <v>13</v>
      </c>
      <c r="C24" s="178">
        <f ca="1">IF($G24=0,0,SUM($K$12:$K24))</f>
        <v>1622712</v>
      </c>
      <c r="D24" s="178"/>
      <c r="E24" s="183">
        <f ca="1">IF($I24=0,0,SUM($M$12:$M24))</f>
        <v>874212</v>
      </c>
      <c r="F24" s="183"/>
      <c r="G24" s="184">
        <f t="shared" ca="1" si="2"/>
        <v>10402</v>
      </c>
      <c r="H24" s="184"/>
      <c r="I24" s="183">
        <f ca="1">IF(OR($G$55="!",$B24&gt;$Q$68),0,$AD$99)</f>
        <v>9087</v>
      </c>
      <c r="J24" s="183"/>
      <c r="K24" s="178">
        <f t="shared" ca="1" si="0"/>
        <v>124824</v>
      </c>
      <c r="L24" s="178"/>
      <c r="M24" s="183">
        <f t="shared" ca="1" si="1"/>
        <v>109044</v>
      </c>
      <c r="N24" s="183"/>
    </row>
    <row r="25" spans="2:14" ht="12.75" customHeight="1" x14ac:dyDescent="0.2">
      <c r="B25" s="68">
        <v>14</v>
      </c>
      <c r="C25" s="178">
        <f ca="1">IF($G25=0,0,SUM($K$12:$K25))</f>
        <v>1747536</v>
      </c>
      <c r="D25" s="178"/>
      <c r="E25" s="183">
        <f ca="1">IF($I25=0,0,SUM($M$12:$M25))</f>
        <v>991284</v>
      </c>
      <c r="F25" s="183"/>
      <c r="G25" s="184">
        <f t="shared" ca="1" si="2"/>
        <v>10402</v>
      </c>
      <c r="H25" s="184"/>
      <c r="I25" s="183">
        <f ca="1">IF(OR($G$55="!",$B25&gt;$Q$68),0,$AE$99)</f>
        <v>9756</v>
      </c>
      <c r="J25" s="183"/>
      <c r="K25" s="178">
        <f t="shared" ca="1" si="0"/>
        <v>124824</v>
      </c>
      <c r="L25" s="178"/>
      <c r="M25" s="183">
        <f t="shared" ca="1" si="1"/>
        <v>117072</v>
      </c>
      <c r="N25" s="183"/>
    </row>
    <row r="26" spans="2:14" ht="12.75" customHeight="1" x14ac:dyDescent="0.2">
      <c r="B26" s="68">
        <v>15</v>
      </c>
      <c r="C26" s="178">
        <f ca="1">IF($G26=0,0,SUM($K$12:$K26))</f>
        <v>1872360</v>
      </c>
      <c r="D26" s="178"/>
      <c r="E26" s="183">
        <f ca="1">IF($I26=0,0,SUM($M$12:$M26))</f>
        <v>1116552</v>
      </c>
      <c r="F26" s="183"/>
      <c r="G26" s="184">
        <f t="shared" ca="1" si="2"/>
        <v>10402</v>
      </c>
      <c r="H26" s="184"/>
      <c r="I26" s="183">
        <f ca="1">IF(OR($G$55="!",$B26&gt;$Q$68),0,$AF$99)</f>
        <v>10439</v>
      </c>
      <c r="J26" s="183"/>
      <c r="K26" s="178">
        <f t="shared" ca="1" si="0"/>
        <v>124824</v>
      </c>
      <c r="L26" s="178"/>
      <c r="M26" s="183">
        <f t="shared" ca="1" si="1"/>
        <v>125268</v>
      </c>
      <c r="N26" s="183"/>
    </row>
    <row r="27" spans="2:14" ht="12.75" customHeight="1" x14ac:dyDescent="0.2">
      <c r="B27" s="68">
        <v>16</v>
      </c>
      <c r="C27" s="178">
        <f ca="1">IF($G27=0,0,SUM($K$12:$K27))</f>
        <v>1997184</v>
      </c>
      <c r="D27" s="178"/>
      <c r="E27" s="183">
        <f ca="1">IF($I27=0,0,SUM($M$12:$M27))</f>
        <v>1250076</v>
      </c>
      <c r="F27" s="183"/>
      <c r="G27" s="184">
        <f t="shared" ca="1" si="2"/>
        <v>10402</v>
      </c>
      <c r="H27" s="184"/>
      <c r="I27" s="183">
        <f ca="1">IF(OR($G$55="!",$B27&gt;$Q$68),0,$AG$99)</f>
        <v>11127</v>
      </c>
      <c r="J27" s="183"/>
      <c r="K27" s="178">
        <f t="shared" ca="1" si="0"/>
        <v>124824</v>
      </c>
      <c r="L27" s="178"/>
      <c r="M27" s="183">
        <f t="shared" ca="1" si="1"/>
        <v>133524</v>
      </c>
      <c r="N27" s="183"/>
    </row>
    <row r="28" spans="2:14" ht="12.75" customHeight="1" x14ac:dyDescent="0.2">
      <c r="B28" s="68">
        <v>17</v>
      </c>
      <c r="C28" s="178">
        <f ca="1">IF($G28=0,0,SUM($K$12:$K28))</f>
        <v>2122008</v>
      </c>
      <c r="D28" s="178"/>
      <c r="E28" s="183">
        <f ca="1">IF($I28=0,0,SUM($M$12:$M28))</f>
        <v>1392000</v>
      </c>
      <c r="F28" s="183"/>
      <c r="G28" s="184">
        <f t="shared" ca="1" si="2"/>
        <v>10402</v>
      </c>
      <c r="H28" s="184"/>
      <c r="I28" s="183">
        <f ca="1">IF(OR($G$55="!",$B28&gt;$Q$68),0,$AH$99)</f>
        <v>11827</v>
      </c>
      <c r="J28" s="183"/>
      <c r="K28" s="178">
        <f t="shared" ca="1" si="0"/>
        <v>124824</v>
      </c>
      <c r="L28" s="178"/>
      <c r="M28" s="183">
        <f t="shared" ca="1" si="1"/>
        <v>141924</v>
      </c>
      <c r="N28" s="183"/>
    </row>
    <row r="29" spans="2:14" ht="12.75" customHeight="1" x14ac:dyDescent="0.2">
      <c r="B29" s="68">
        <v>18</v>
      </c>
      <c r="C29" s="178">
        <f ca="1">IF($G29=0,0,SUM($K$12:$K29))</f>
        <v>2246832</v>
      </c>
      <c r="D29" s="178"/>
      <c r="E29" s="183">
        <f ca="1">IF($I29=0,0,SUM($M$12:$M29))</f>
        <v>1542444</v>
      </c>
      <c r="F29" s="183"/>
      <c r="G29" s="184">
        <f t="shared" ca="1" si="2"/>
        <v>10402</v>
      </c>
      <c r="H29" s="184"/>
      <c r="I29" s="183">
        <f ca="1">IF(OR($G$55="!",$B29&gt;$Q$68),0,$AI$99)</f>
        <v>12537</v>
      </c>
      <c r="J29" s="183"/>
      <c r="K29" s="178">
        <f t="shared" ca="1" si="0"/>
        <v>124824</v>
      </c>
      <c r="L29" s="178"/>
      <c r="M29" s="183">
        <f t="shared" ca="1" si="1"/>
        <v>150444</v>
      </c>
      <c r="N29" s="183"/>
    </row>
    <row r="30" spans="2:14" ht="12.75" customHeight="1" x14ac:dyDescent="0.2">
      <c r="B30" s="68">
        <v>19</v>
      </c>
      <c r="C30" s="178">
        <f ca="1">IF($G30=0,0,SUM($K$12:$K30))</f>
        <v>2371656</v>
      </c>
      <c r="D30" s="178"/>
      <c r="E30" s="183">
        <f ca="1">IF($I30=0,0,SUM($M$12:$M30))</f>
        <v>1701684</v>
      </c>
      <c r="F30" s="183"/>
      <c r="G30" s="184">
        <f t="shared" ca="1" si="2"/>
        <v>10402</v>
      </c>
      <c r="H30" s="184"/>
      <c r="I30" s="183">
        <f ca="1">IF(OR($G$55="!",$B30&gt;$Q$68),0,$AJ$99)</f>
        <v>13270</v>
      </c>
      <c r="J30" s="183"/>
      <c r="K30" s="178">
        <f t="shared" ca="1" si="0"/>
        <v>124824</v>
      </c>
      <c r="L30" s="178"/>
      <c r="M30" s="183">
        <f t="shared" ca="1" si="1"/>
        <v>159240</v>
      </c>
      <c r="N30" s="183"/>
    </row>
    <row r="31" spans="2:14" ht="12.75" customHeight="1" x14ac:dyDescent="0.2">
      <c r="B31" s="68">
        <v>20</v>
      </c>
      <c r="C31" s="178">
        <f ca="1">IF($G31=0,0,SUM($K$12:$K31))</f>
        <v>0</v>
      </c>
      <c r="D31" s="178"/>
      <c r="E31" s="183">
        <f ca="1">IF($I31=0,0,SUM($M$12:$M31))</f>
        <v>0</v>
      </c>
      <c r="F31" s="183"/>
      <c r="G31" s="184">
        <f t="shared" ca="1" si="2"/>
        <v>0</v>
      </c>
      <c r="H31" s="184"/>
      <c r="I31" s="183">
        <f ca="1">IF(OR($G$55="!",$B31&gt;$Q$68),0,$AK$99)</f>
        <v>0</v>
      </c>
      <c r="J31" s="183"/>
      <c r="K31" s="178">
        <f t="shared" ca="1" si="0"/>
        <v>0</v>
      </c>
      <c r="L31" s="178"/>
      <c r="M31" s="183">
        <f t="shared" ca="1" si="1"/>
        <v>0</v>
      </c>
      <c r="N31" s="183"/>
    </row>
    <row r="32" spans="2:14" ht="12.75" customHeight="1" x14ac:dyDescent="0.2">
      <c r="B32" s="68">
        <v>21</v>
      </c>
      <c r="C32" s="178">
        <f ca="1">IF($G32=0,0,SUM($K$12:$K32))</f>
        <v>0</v>
      </c>
      <c r="D32" s="178"/>
      <c r="E32" s="183">
        <f ca="1">IF($I32=0,0,SUM($M$12:$M32))</f>
        <v>0</v>
      </c>
      <c r="F32" s="183"/>
      <c r="G32" s="184">
        <f t="shared" ca="1" si="2"/>
        <v>0</v>
      </c>
      <c r="H32" s="184"/>
      <c r="I32" s="183">
        <f ca="1">IF(OR($G$55="!",$B32&gt;$Q$68),0,$AL$99)</f>
        <v>0</v>
      </c>
      <c r="J32" s="183"/>
      <c r="K32" s="178">
        <f t="shared" ca="1" si="0"/>
        <v>0</v>
      </c>
      <c r="L32" s="178"/>
      <c r="M32" s="183">
        <f t="shared" ca="1" si="1"/>
        <v>0</v>
      </c>
      <c r="N32" s="183"/>
    </row>
    <row r="33" spans="1:15" ht="12.75" customHeight="1" x14ac:dyDescent="0.2">
      <c r="B33" s="68">
        <v>22</v>
      </c>
      <c r="C33" s="178">
        <f ca="1">IF($G33=0,0,SUM($K$12:$K33))</f>
        <v>0</v>
      </c>
      <c r="D33" s="178"/>
      <c r="E33" s="183">
        <f ca="1">IF($I33=0,0,SUM($M$12:$M33))</f>
        <v>0</v>
      </c>
      <c r="F33" s="183"/>
      <c r="G33" s="184">
        <f t="shared" ca="1" si="2"/>
        <v>0</v>
      </c>
      <c r="H33" s="184"/>
      <c r="I33" s="183">
        <f ca="1">IF(OR($G$55="!",$B33&gt;$Q$68),0,$AM$99)</f>
        <v>0</v>
      </c>
      <c r="J33" s="183"/>
      <c r="K33" s="178">
        <f t="shared" ca="1" si="0"/>
        <v>0</v>
      </c>
      <c r="L33" s="178"/>
      <c r="M33" s="183">
        <f t="shared" ca="1" si="1"/>
        <v>0</v>
      </c>
      <c r="N33" s="183"/>
    </row>
    <row r="34" spans="1:15" ht="12.75" customHeight="1" x14ac:dyDescent="0.2">
      <c r="B34" s="68">
        <v>23</v>
      </c>
      <c r="C34" s="178">
        <f ca="1">IF($G34=0,0,SUM($K$12:$K34))</f>
        <v>0</v>
      </c>
      <c r="D34" s="178"/>
      <c r="E34" s="183">
        <f ca="1">IF($I34=0,0,SUM($M$12:$M34))</f>
        <v>0</v>
      </c>
      <c r="F34" s="183"/>
      <c r="G34" s="184">
        <f t="shared" ca="1" si="2"/>
        <v>0</v>
      </c>
      <c r="H34" s="184"/>
      <c r="I34" s="183">
        <f ca="1">IF(OR($G$55="!",$B34&gt;$Q$68),0,$AN$99)</f>
        <v>0</v>
      </c>
      <c r="J34" s="183"/>
      <c r="K34" s="178">
        <f t="shared" ca="1" si="0"/>
        <v>0</v>
      </c>
      <c r="L34" s="178"/>
      <c r="M34" s="183">
        <f t="shared" ca="1" si="1"/>
        <v>0</v>
      </c>
      <c r="N34" s="183"/>
    </row>
    <row r="35" spans="1:15" ht="12.75" customHeight="1" x14ac:dyDescent="0.2">
      <c r="B35" s="68">
        <v>24</v>
      </c>
      <c r="C35" s="178">
        <f ca="1">IF($G35=0,0,SUM($K$12:$K35))</f>
        <v>0</v>
      </c>
      <c r="D35" s="178"/>
      <c r="E35" s="183">
        <f ca="1">IF($I35=0,0,SUM($M$12:$M35))</f>
        <v>0</v>
      </c>
      <c r="F35" s="183"/>
      <c r="G35" s="184">
        <f t="shared" ca="1" si="2"/>
        <v>0</v>
      </c>
      <c r="H35" s="184"/>
      <c r="I35" s="183">
        <f ca="1">IF(OR($G$55="!",$B35&gt;$Q$68),0,$AO$99)</f>
        <v>0</v>
      </c>
      <c r="J35" s="183"/>
      <c r="K35" s="178">
        <f t="shared" ca="1" si="0"/>
        <v>0</v>
      </c>
      <c r="L35" s="178"/>
      <c r="M35" s="183">
        <f t="shared" ca="1" si="1"/>
        <v>0</v>
      </c>
      <c r="N35" s="183"/>
    </row>
    <row r="36" spans="1:15" ht="12.75" customHeight="1" x14ac:dyDescent="0.2">
      <c r="B36" s="68">
        <v>25</v>
      </c>
      <c r="C36" s="178">
        <f ca="1">IF($G36=0,0,SUM($K$12:$K36))</f>
        <v>0</v>
      </c>
      <c r="D36" s="178"/>
      <c r="E36" s="183">
        <f ca="1">IF($I36=0,0,SUM($M$12:$M36))</f>
        <v>0</v>
      </c>
      <c r="F36" s="183"/>
      <c r="G36" s="184">
        <f t="shared" ca="1" si="2"/>
        <v>0</v>
      </c>
      <c r="H36" s="184"/>
      <c r="I36" s="183">
        <f ca="1">IF(OR($G$55="!",$B36&gt;$Q$68),0,$AP$99)</f>
        <v>0</v>
      </c>
      <c r="J36" s="183"/>
      <c r="K36" s="178">
        <f t="shared" ca="1" si="0"/>
        <v>0</v>
      </c>
      <c r="L36" s="178"/>
      <c r="M36" s="183">
        <f t="shared" ca="1" si="1"/>
        <v>0</v>
      </c>
      <c r="N36" s="183"/>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08" t="s">
        <v>58</v>
      </c>
      <c r="C41" s="108"/>
      <c r="D41" s="108"/>
      <c r="E41" s="108"/>
      <c r="F41" s="108"/>
      <c r="G41" s="108"/>
      <c r="H41" s="108"/>
      <c r="I41" s="108"/>
      <c r="J41" s="108"/>
      <c r="K41" s="108"/>
      <c r="L41" s="108"/>
      <c r="M41" s="108"/>
      <c r="N41" s="108"/>
      <c r="O41" s="108"/>
    </row>
    <row r="42" spans="1:15" ht="12.75" customHeight="1" x14ac:dyDescent="0.2">
      <c r="B42" s="108"/>
      <c r="C42" s="108"/>
      <c r="D42" s="108"/>
      <c r="E42" s="108"/>
      <c r="F42" s="108"/>
      <c r="G42" s="108"/>
      <c r="H42" s="108"/>
      <c r="I42" s="108"/>
      <c r="J42" s="108"/>
      <c r="K42" s="108"/>
      <c r="L42" s="108"/>
      <c r="M42" s="108"/>
      <c r="N42" s="108"/>
      <c r="O42" s="108"/>
    </row>
    <row r="43" spans="1:15" ht="12.75" customHeight="1" x14ac:dyDescent="0.2">
      <c r="B43" s="108"/>
      <c r="C43" s="108"/>
      <c r="D43" s="108"/>
      <c r="E43" s="108"/>
      <c r="F43" s="108"/>
      <c r="G43" s="108"/>
      <c r="H43" s="108"/>
      <c r="I43" s="108"/>
      <c r="J43" s="108"/>
      <c r="K43" s="108"/>
      <c r="L43" s="108"/>
      <c r="M43" s="108"/>
      <c r="N43" s="108"/>
      <c r="O43" s="108"/>
    </row>
    <row r="44" spans="1:15" ht="12.75" customHeight="1" x14ac:dyDescent="0.2">
      <c r="B44" s="108"/>
      <c r="C44" s="108"/>
      <c r="D44" s="108"/>
      <c r="E44" s="108"/>
      <c r="F44" s="108"/>
      <c r="G44" s="108"/>
      <c r="H44" s="108"/>
      <c r="I44" s="108"/>
      <c r="J44" s="108"/>
      <c r="K44" s="108"/>
      <c r="L44" s="108"/>
      <c r="M44" s="108"/>
      <c r="N44" s="108"/>
      <c r="O44" s="108"/>
    </row>
    <row r="45" spans="1:15" ht="12.75" customHeight="1" x14ac:dyDescent="0.2">
      <c r="B45" s="108"/>
      <c r="C45" s="108"/>
      <c r="D45" s="108"/>
      <c r="E45" s="108"/>
      <c r="F45" s="108"/>
      <c r="G45" s="108"/>
      <c r="H45" s="108"/>
      <c r="I45" s="108"/>
      <c r="J45" s="108"/>
      <c r="K45" s="108"/>
      <c r="L45" s="108"/>
      <c r="M45" s="108"/>
      <c r="N45" s="108"/>
      <c r="O45" s="108"/>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91" t="s">
        <v>455</v>
      </c>
      <c r="C49" s="192"/>
      <c r="D49" s="192"/>
      <c r="E49" s="192"/>
      <c r="F49" s="192"/>
      <c r="G49" s="192"/>
      <c r="H49" s="193"/>
      <c r="J49" s="194" t="s">
        <v>457</v>
      </c>
      <c r="K49" s="195"/>
      <c r="L49" s="195"/>
      <c r="M49" s="196"/>
      <c r="N49" s="127" t="str">
        <f ca="1">IF(COUNTIF($L$70:$M$95,"Ezt kérem!")=0,"---",'PÜ. limitek'!$I$14)</f>
        <v>Nem szükséges</v>
      </c>
      <c r="O49" s="128"/>
    </row>
    <row r="50" spans="1:25" hidden="1" x14ac:dyDescent="0.2">
      <c r="A50" s="12" t="s">
        <v>406</v>
      </c>
      <c r="B50" s="179" t="s">
        <v>456</v>
      </c>
      <c r="C50" s="180"/>
      <c r="D50" s="180"/>
      <c r="E50" s="180"/>
      <c r="F50" s="180"/>
      <c r="G50" s="180"/>
      <c r="H50" s="181"/>
      <c r="J50" s="197"/>
      <c r="K50" s="198"/>
      <c r="L50" s="198"/>
      <c r="M50" s="199"/>
      <c r="N50" s="129"/>
      <c r="O50" s="130"/>
    </row>
    <row r="51" spans="1:25" hidden="1" x14ac:dyDescent="0.2">
      <c r="A51" s="12" t="s">
        <v>406</v>
      </c>
    </row>
    <row r="52" spans="1:25" ht="12.75" hidden="1" customHeight="1" x14ac:dyDescent="0.2">
      <c r="A52" s="12" t="s">
        <v>406</v>
      </c>
      <c r="B52" s="176" t="s">
        <v>405</v>
      </c>
      <c r="C52" s="176"/>
      <c r="D52" s="176"/>
      <c r="E52" s="177">
        <f>IF($G$5="MetMax",MetMax!$C$8,IF($G$5="MetCare",MetCare!$C$8,Nelson!$E$8))</f>
        <v>29025</v>
      </c>
      <c r="F52" s="177"/>
      <c r="R52" s="54"/>
      <c r="V52" s="61"/>
      <c r="W52" s="61"/>
      <c r="Y52" s="62"/>
    </row>
    <row r="53" spans="1:25" ht="12.75" hidden="1" customHeight="1" x14ac:dyDescent="0.2">
      <c r="A53" s="12" t="s">
        <v>406</v>
      </c>
      <c r="B53" s="176" t="s">
        <v>404</v>
      </c>
      <c r="C53" s="176"/>
      <c r="D53" s="176"/>
      <c r="E53" s="116">
        <f ca="1">IF(ISBLANK($E$52),"",IF(YEAR(TODAY())-YEAR($E$52)&lt;0,"",YEAR(TODAY())-YEAR($E$52)))</f>
        <v>41</v>
      </c>
      <c r="F53" s="116"/>
      <c r="V53" s="61"/>
      <c r="W53" s="61"/>
      <c r="Y53" s="62"/>
    </row>
    <row r="54" spans="1:25" ht="12.75" hidden="1" customHeight="1" x14ac:dyDescent="0.2">
      <c r="A54" s="12" t="s">
        <v>406</v>
      </c>
      <c r="V54" s="61"/>
      <c r="W54" s="61"/>
      <c r="Y54" s="62"/>
    </row>
    <row r="55" spans="1:25" ht="12.75" hidden="1" customHeight="1" x14ac:dyDescent="0.2">
      <c r="A55" s="12" t="s">
        <v>406</v>
      </c>
      <c r="B55" s="176" t="s">
        <v>407</v>
      </c>
      <c r="C55" s="176"/>
      <c r="D55" s="176"/>
      <c r="E55" s="116">
        <f ca="1">IF($G$5="Nelson",Nelson!$E$11,MIN(25,75-$E$53))</f>
        <v>25</v>
      </c>
      <c r="F55" s="116"/>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76" t="s">
        <v>403</v>
      </c>
      <c r="C57" s="176"/>
      <c r="D57" s="176"/>
      <c r="E57" s="132" t="str">
        <f>IF($G$5="MetMax",MetMax!$C$12,IF($G$5="MetCare",MetCare!$C$12,Nelson!$E$14))</f>
        <v>Havi</v>
      </c>
      <c r="F57" s="132"/>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76" t="s">
        <v>402</v>
      </c>
      <c r="C59" s="176"/>
      <c r="D59" s="176"/>
      <c r="E59" s="132" t="str">
        <f>IF($G$5="MetMax",MetMax!$C$14,IF($G$5="MetCare",MetCare!$C$14,Nelson!$E$15))</f>
        <v>Átutalás</v>
      </c>
      <c r="F59" s="132"/>
      <c r="T59" s="61"/>
      <c r="U59" s="61"/>
      <c r="V59" s="61"/>
      <c r="W59" s="61"/>
      <c r="X59" s="62"/>
      <c r="Y59" s="62"/>
    </row>
    <row r="60" spans="1:25" hidden="1" x14ac:dyDescent="0.2">
      <c r="A60" s="12" t="s">
        <v>406</v>
      </c>
    </row>
    <row r="61" spans="1:25" hidden="1" x14ac:dyDescent="0.2">
      <c r="A61" s="12" t="s">
        <v>406</v>
      </c>
      <c r="B61" s="176" t="s">
        <v>401</v>
      </c>
      <c r="C61" s="176"/>
      <c r="D61" s="176"/>
      <c r="E61" s="132" t="s">
        <v>37</v>
      </c>
      <c r="F61" s="132"/>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91" t="s">
        <v>421</v>
      </c>
      <c r="C64" s="192"/>
      <c r="D64" s="192"/>
      <c r="E64" s="192"/>
      <c r="F64" s="192"/>
      <c r="G64" s="192"/>
      <c r="H64" s="193"/>
      <c r="J64" s="194" t="s">
        <v>386</v>
      </c>
      <c r="K64" s="195"/>
      <c r="L64" s="195"/>
      <c r="M64" s="196"/>
      <c r="N64" s="127" t="str">
        <f ca="1">IF(COUNTIF($L$70:$M$94,"Ezt kérem!")=0,"---",'EÜ. limitek'!$J$17)</f>
        <v>Egészségi nyilatkozat</v>
      </c>
      <c r="O64" s="128"/>
      <c r="P64" s="36"/>
      <c r="Q64" s="36"/>
      <c r="R64" s="55"/>
      <c r="S64" s="36"/>
      <c r="T64" s="36"/>
    </row>
    <row r="65" spans="1:42" ht="12.75" hidden="1" customHeight="1" x14ac:dyDescent="0.2">
      <c r="A65" s="12" t="s">
        <v>406</v>
      </c>
      <c r="B65" s="179" t="str">
        <f>IF($G$5="MetMax",IF(MetMax!$B$23="","Egyéb",MetMax!$B$23),IF($G$5="MetCare",IF(MetCare!$B$23="","Egyéb",MetCare!$B$23),IF(Nelson!$B$21="","Egyéb",Nelson!$B$21)))</f>
        <v>Pénztáros</v>
      </c>
      <c r="C65" s="180"/>
      <c r="D65" s="180"/>
      <c r="E65" s="180"/>
      <c r="F65" s="180"/>
      <c r="G65" s="180"/>
      <c r="H65" s="181"/>
      <c r="J65" s="197"/>
      <c r="K65" s="198"/>
      <c r="L65" s="198"/>
      <c r="M65" s="199"/>
      <c r="N65" s="129"/>
      <c r="O65" s="130"/>
      <c r="P65" s="36"/>
      <c r="Q65" s="36"/>
      <c r="R65" s="55"/>
      <c r="S65" s="36"/>
      <c r="T65" s="36"/>
    </row>
    <row r="66" spans="1:42" ht="12.75" hidden="1" customHeight="1" x14ac:dyDescent="0.2">
      <c r="A66" s="12" t="s">
        <v>406</v>
      </c>
    </row>
    <row r="67" spans="1:42" hidden="1" x14ac:dyDescent="0.2">
      <c r="A67" s="12" t="s">
        <v>406</v>
      </c>
      <c r="B67" s="131" t="s">
        <v>130</v>
      </c>
      <c r="C67" s="131"/>
      <c r="D67" s="131"/>
      <c r="E67" s="131"/>
      <c r="F67" s="131"/>
      <c r="G67" s="131"/>
      <c r="H67" s="131"/>
      <c r="I67" s="131"/>
      <c r="J67" s="131" t="s">
        <v>40</v>
      </c>
      <c r="K67" s="131"/>
      <c r="L67" s="131" t="s">
        <v>41</v>
      </c>
      <c r="M67" s="131"/>
      <c r="O67" s="12" t="s">
        <v>387</v>
      </c>
      <c r="P67" s="75"/>
      <c r="Q67" s="75"/>
    </row>
    <row r="68" spans="1:42" hidden="1" x14ac:dyDescent="0.2">
      <c r="A68" s="12" t="s">
        <v>406</v>
      </c>
      <c r="B68" s="131"/>
      <c r="C68" s="131"/>
      <c r="D68" s="131"/>
      <c r="E68" s="131"/>
      <c r="F68" s="131"/>
      <c r="G68" s="131"/>
      <c r="H68" s="131"/>
      <c r="I68" s="131"/>
      <c r="J68" s="131"/>
      <c r="K68" s="131"/>
      <c r="L68" s="131"/>
      <c r="M68" s="131"/>
      <c r="O68" s="16"/>
      <c r="P68" s="75"/>
      <c r="Q68" s="75">
        <f ca="1">IF($Q$99&lt;$R$68,0,HLOOKUP($Q$99,$R$68:$AP$69,2,0))</f>
        <v>19</v>
      </c>
      <c r="R68" s="59">
        <f ca="1">$E$53-1+R$69</f>
        <v>41</v>
      </c>
      <c r="S68" s="59">
        <f t="shared" ref="S68:AP68" ca="1" si="3">$E$53-1+S$69</f>
        <v>42</v>
      </c>
      <c r="T68" s="59">
        <f t="shared" ca="1" si="3"/>
        <v>43</v>
      </c>
      <c r="U68" s="59">
        <f t="shared" ca="1" si="3"/>
        <v>44</v>
      </c>
      <c r="V68" s="59">
        <f t="shared" ca="1" si="3"/>
        <v>45</v>
      </c>
      <c r="W68" s="59">
        <f t="shared" ca="1" si="3"/>
        <v>46</v>
      </c>
      <c r="X68" s="59">
        <f t="shared" ca="1" si="3"/>
        <v>47</v>
      </c>
      <c r="Y68" s="59">
        <f t="shared" ca="1" si="3"/>
        <v>48</v>
      </c>
      <c r="Z68" s="59">
        <f t="shared" ca="1" si="3"/>
        <v>49</v>
      </c>
      <c r="AA68" s="59">
        <f t="shared" ca="1" si="3"/>
        <v>50</v>
      </c>
      <c r="AB68" s="59">
        <f t="shared" ca="1" si="3"/>
        <v>51</v>
      </c>
      <c r="AC68" s="59">
        <f t="shared" ca="1" si="3"/>
        <v>52</v>
      </c>
      <c r="AD68" s="59">
        <f t="shared" ca="1" si="3"/>
        <v>53</v>
      </c>
      <c r="AE68" s="59">
        <f t="shared" ca="1" si="3"/>
        <v>54</v>
      </c>
      <c r="AF68" s="59">
        <f t="shared" ca="1" si="3"/>
        <v>55</v>
      </c>
      <c r="AG68" s="59">
        <f t="shared" ca="1" si="3"/>
        <v>56</v>
      </c>
      <c r="AH68" s="59">
        <f t="shared" ca="1" si="3"/>
        <v>57</v>
      </c>
      <c r="AI68" s="59">
        <f t="shared" ca="1" si="3"/>
        <v>58</v>
      </c>
      <c r="AJ68" s="59">
        <f t="shared" ca="1" si="3"/>
        <v>59</v>
      </c>
      <c r="AK68" s="59">
        <f t="shared" ca="1" si="3"/>
        <v>60</v>
      </c>
      <c r="AL68" s="59">
        <f t="shared" ca="1" si="3"/>
        <v>61</v>
      </c>
      <c r="AM68" s="59">
        <f t="shared" ca="1" si="3"/>
        <v>62</v>
      </c>
      <c r="AN68" s="59">
        <f t="shared" ca="1" si="3"/>
        <v>63</v>
      </c>
      <c r="AO68" s="59">
        <f t="shared" ca="1" si="3"/>
        <v>64</v>
      </c>
      <c r="AP68" s="59">
        <f t="shared" ca="1" si="3"/>
        <v>65</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76" t="s">
        <v>413</v>
      </c>
      <c r="C70" s="176"/>
      <c r="D70" s="176"/>
      <c r="E70" s="105" t="s">
        <v>0</v>
      </c>
      <c r="F70" s="105"/>
      <c r="G70" s="105"/>
      <c r="H70" s="105"/>
      <c r="I70" s="105"/>
      <c r="J70" s="189">
        <f>IF($G$5="MetMax",MetMax!$H$28,IF($G$5="MetCare",MetCare!$H$28,Nelson!$J$26))</f>
        <v>5000000</v>
      </c>
      <c r="K70" s="190"/>
      <c r="L70" s="187" t="str">
        <f>IF($G$5="MetMax",MetMax!$J$28,IF($G$5="MetCare",MetCare!$J$28,Nelson!$N$26))</f>
        <v>Ezt kérem!</v>
      </c>
      <c r="M70" s="188"/>
      <c r="N70" s="73"/>
      <c r="O70" s="16">
        <f>IF(ISBLANK($B$65),0,VLOOKUP($B$65,'Foglalkozási pótdíjak'!$A$3:$K$494,2,0))</f>
        <v>0</v>
      </c>
      <c r="Q70" s="59">
        <f ca="1">IF($L$70="Ezt kérem!",MIN($E$53+$E$55-1,74,64),"")</f>
        <v>64</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1763</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2036</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2352</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2708</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3123</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3609</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4167</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4762</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5382</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6000</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6625</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7269</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7923</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8592</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9275</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9963</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10663</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11373</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12106</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12859</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13604</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14327</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15088</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15948</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76"/>
      <c r="C71" s="176"/>
      <c r="D71" s="176"/>
      <c r="E71" s="105" t="s">
        <v>1</v>
      </c>
      <c r="F71" s="105"/>
      <c r="G71" s="105"/>
      <c r="H71" s="105"/>
      <c r="I71" s="105"/>
      <c r="J71" s="189">
        <f>IF($G$5="MetMax",MetMax!$H$29,IF($G$5="MetCare",MetCare!$H$29,Nelson!$J$27))</f>
        <v>0</v>
      </c>
      <c r="K71" s="190"/>
      <c r="L71" s="186">
        <f>IF($G$5="MetMax",MetMax!$J$29,IF($G$5="MetCare",MetCare!$J$29,Nelson!$N$27))</f>
        <v>0</v>
      </c>
      <c r="M71" s="186"/>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76" t="s">
        <v>4</v>
      </c>
      <c r="C74" s="176"/>
      <c r="D74" s="176"/>
      <c r="E74" s="105" t="s">
        <v>62</v>
      </c>
      <c r="F74" s="105"/>
      <c r="G74" s="105"/>
      <c r="H74" s="105"/>
      <c r="I74" s="105"/>
      <c r="J74" s="185">
        <f>IF($G$5="MetMax",MetMax!$H$35,IF($G$5="MetCare",MetCare!$H$35,Nelson!$J$30))</f>
        <v>3000000</v>
      </c>
      <c r="K74" s="185"/>
      <c r="L74" s="186">
        <f>IF($G$5="MetMax",MetMax!$J$35,IF($G$5="MetCare",MetCare!$J$35,Nelson!$N$30))</f>
        <v>0</v>
      </c>
      <c r="M74" s="186"/>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1738</v>
      </c>
      <c r="S74" s="60">
        <f ca="1">IF(OR(ISBLANK($E$52),S$69&gt;$E$55),"",ROUND(VLOOKUP(S$68,'MM-MC Tarifák'!$A$3:$AQ$67,HLOOKUP($E74,'MM-MC Tarifák'!$B$1:$AQ$2,2,0),0)/1000*$J$74*IF(OR(AND($E$61="Forint",$J$74&gt;=1000000,$J$74&lt;=50000000),AND($E$61="Euró",$J$74&gt;=3400,$J$74&lt;=162500)),1,0)*VLOOKUP($E$58,Paraméterek!$K$1:$L$4,2,0)*IF($O$74="Kizárás",1,1+$O$74),IF($E$61="Forint",0,2)))</f>
        <v>1972</v>
      </c>
      <c r="T74" s="60">
        <f ca="1">IF(OR(ISBLANK($E$52),T$69&gt;$E$55),"",ROUND(VLOOKUP(T$68,'MM-MC Tarifák'!$A$3:$AQ$67,HLOOKUP($E74,'MM-MC Tarifák'!$B$1:$AQ$2,2,0),0)/1000*$J$74*IF(OR(AND($E$61="Forint",$J$74&gt;=1000000,$J$74&lt;=50000000),AND($E$61="Euró",$J$74&gt;=3400,$J$74&lt;=162500)),1,0)*VLOOKUP($E$58,Paraméterek!$K$1:$L$4,2,0)*IF($O$74="Kizárás",1,1+$O$74),IF($E$61="Forint",0,2)))</f>
        <v>2208</v>
      </c>
      <c r="U74" s="60">
        <f ca="1">IF(OR(ISBLANK($E$52),U$69&gt;$E$55),"",ROUND(VLOOKUP(U$68,'MM-MC Tarifák'!$A$3:$AQ$67,HLOOKUP($E74,'MM-MC Tarifák'!$B$1:$AQ$2,2,0),0)/1000*$J$74*IF(OR(AND($E$61="Forint",$J$74&gt;=1000000,$J$74&lt;=50000000),AND($E$61="Euró",$J$74&gt;=3400,$J$74&lt;=162500)),1,0)*VLOOKUP($E$58,Paraméterek!$K$1:$L$4,2,0)*IF($O$74="Kizárás",1,1+$O$74),IF($E$61="Forint",0,2)))</f>
        <v>2444</v>
      </c>
      <c r="V74" s="60">
        <f ca="1">IF(OR(ISBLANK($E$52),V$69&gt;$E$55),"",ROUND(VLOOKUP(V$68,'MM-MC Tarifák'!$A$3:$AQ$67,HLOOKUP($E74,'MM-MC Tarifák'!$B$1:$AQ$2,2,0),0)/1000*$J$74*IF(OR(AND($E$61="Forint",$J$74&gt;=1000000,$J$74&lt;=50000000),AND($E$61="Euró",$J$74&gt;=3400,$J$74&lt;=162500)),1,0)*VLOOKUP($E$58,Paraméterek!$K$1:$L$4,2,0)*IF($O$74="Kizárás",1,1+$O$74),IF($E$61="Forint",0,2)))</f>
        <v>2679</v>
      </c>
      <c r="W74" s="60">
        <f ca="1">IF(OR(ISBLANK($E$52),W$69&gt;$E$55),"",ROUND(VLOOKUP(W$68,'MM-MC Tarifák'!$A$3:$AQ$67,HLOOKUP($E74,'MM-MC Tarifák'!$B$1:$AQ$2,2,0),0)/1000*$J$74*IF(OR(AND($E$61="Forint",$J$74&gt;=1000000,$J$74&lt;=50000000),AND($E$61="Euró",$J$74&gt;=3400,$J$74&lt;=162500)),1,0)*VLOOKUP($E$58,Paraméterek!$K$1:$L$4,2,0)*IF($O$74="Kizárás",1,1+$O$74),IF($E$61="Forint",0,2)))</f>
        <v>2974</v>
      </c>
      <c r="X74" s="60">
        <f ca="1">IF(OR(ISBLANK($E$52),X$69&gt;$E$55),"",ROUND(VLOOKUP(X$68,'MM-MC Tarifák'!$A$3:$AQ$67,HLOOKUP($E74,'MM-MC Tarifák'!$B$1:$AQ$2,2,0),0)/1000*$J$74*IF(OR(AND($E$61="Forint",$J$74&gt;=1000000,$J$74&lt;=50000000),AND($E$61="Euró",$J$74&gt;=3400,$J$74&lt;=162500)),1,0)*VLOOKUP($E$58,Paraméterek!$K$1:$L$4,2,0)*IF($O$74="Kizárás",1,1+$O$74),IF($E$61="Forint",0,2)))</f>
        <v>3272</v>
      </c>
      <c r="Y74" s="60">
        <f ca="1">IF(OR(ISBLANK($E$52),Y$69&gt;$E$55),"",ROUND(VLOOKUP(Y$68,'MM-MC Tarifák'!$A$3:$AQ$67,HLOOKUP($E74,'MM-MC Tarifák'!$B$1:$AQ$2,2,0),0)/1000*$J$74*IF(OR(AND($E$61="Forint",$J$74&gt;=1000000,$J$74&lt;=50000000),AND($E$61="Euró",$J$74&gt;=3400,$J$74&lt;=162500)),1,0)*VLOOKUP($E$58,Paraméterek!$K$1:$L$4,2,0)*IF($O$74="Kizárás",1,1+$O$74),IF($E$61="Forint",0,2)))</f>
        <v>3567</v>
      </c>
      <c r="Z74" s="60">
        <f ca="1">IF(OR(ISBLANK($E$52),Z$69&gt;$E$55),"",ROUND(VLOOKUP(Z$68,'MM-MC Tarifák'!$A$3:$AQ$67,HLOOKUP($E74,'MM-MC Tarifák'!$B$1:$AQ$2,2,0),0)/1000*$J$74*IF(OR(AND($E$61="Forint",$J$74&gt;=1000000,$J$74&lt;=50000000),AND($E$61="Euró",$J$74&gt;=3400,$J$74&lt;=162500)),1,0)*VLOOKUP($E$58,Paraméterek!$K$1:$L$4,2,0)*IF($O$74="Kizárás",1,1+$O$74),IF($E$61="Forint",0,2)))</f>
        <v>3859</v>
      </c>
      <c r="AA74" s="60">
        <f ca="1">IF(OR(ISBLANK($E$52),AA$69&gt;$E$55),"",ROUND(VLOOKUP(AA$68,'MM-MC Tarifák'!$A$3:$AQ$67,HLOOKUP($E74,'MM-MC Tarifák'!$B$1:$AQ$2,2,0),0)/1000*$J$74*IF(OR(AND($E$61="Forint",$J$74&gt;=1000000,$J$74&lt;=50000000),AND($E$61="Euró",$J$74&gt;=3400,$J$74&lt;=162500)),1,0)*VLOOKUP($E$58,Paraméterek!$K$1:$L$4,2,0)*IF($O$74="Kizárás",1,1+$O$74),IF($E$61="Forint",0,2)))</f>
        <v>4154</v>
      </c>
      <c r="AB74" s="60">
        <f ca="1">IF(OR(ISBLANK($E$52),AB$69&gt;$E$55),"",ROUND(VLOOKUP(AB$68,'MM-MC Tarifák'!$A$3:$AQ$67,HLOOKUP($E74,'MM-MC Tarifák'!$B$1:$AQ$2,2,0),0)/1000*$J$74*IF(OR(AND($E$61="Forint",$J$74&gt;=1000000,$J$74&lt;=50000000),AND($E$61="Euró",$J$74&gt;=3400,$J$74&lt;=162500)),1,0)*VLOOKUP($E$58,Paraméterek!$K$1:$L$4,2,0)*IF($O$74="Kizárás",1,1+$O$74),IF($E$61="Forint",0,2)))</f>
        <v>4495</v>
      </c>
      <c r="AC74" s="60">
        <f ca="1">IF(OR(ISBLANK($E$52),AC$69&gt;$E$55),"",ROUND(VLOOKUP(AC$68,'MM-MC Tarifák'!$A$3:$AQ$67,HLOOKUP($E74,'MM-MC Tarifák'!$B$1:$AQ$2,2,0),0)/1000*$J$74*IF(OR(AND($E$61="Forint",$J$74&gt;=1000000,$J$74&lt;=50000000),AND($E$61="Euró",$J$74&gt;=3400,$J$74&lt;=162500)),1,0)*VLOOKUP($E$58,Paraméterek!$K$1:$L$4,2,0)*IF($O$74="Kizárás",1,1+$O$74),IF($E$61="Forint",0,2)))</f>
        <v>4836</v>
      </c>
      <c r="AD74" s="60">
        <f ca="1">IF(OR(ISBLANK($E$52),AD$69&gt;$E$55),"",ROUND(VLOOKUP(AD$68,'MM-MC Tarifák'!$A$3:$AQ$67,HLOOKUP($E74,'MM-MC Tarifák'!$B$1:$AQ$2,2,0),0)/1000*$J$74*IF(OR(AND($E$61="Forint",$J$74&gt;=1000000,$J$74&lt;=50000000),AND($E$61="Euró",$J$74&gt;=3400,$J$74&lt;=162500)),1,0)*VLOOKUP($E$58,Paraméterek!$K$1:$L$4,2,0)*IF($O$74="Kizárás",1,1+$O$74),IF($E$61="Forint",0,2)))</f>
        <v>5174</v>
      </c>
      <c r="AE74" s="60">
        <f ca="1">IF(OR(ISBLANK($E$52),AE$69&gt;$E$55),"",ROUND(VLOOKUP(AE$68,'MM-MC Tarifák'!$A$3:$AQ$67,HLOOKUP($E74,'MM-MC Tarifák'!$B$1:$AQ$2,2,0),0)/1000*$J$74*IF(OR(AND($E$61="Forint",$J$74&gt;=1000000,$J$74&lt;=50000000),AND($E$61="Euró",$J$74&gt;=3400,$J$74&lt;=162500)),1,0)*VLOOKUP($E$58,Paraméterek!$K$1:$L$4,2,0)*IF($O$74="Kizárás",1,1+$O$74),IF($E$61="Forint",0,2)))</f>
        <v>5515</v>
      </c>
      <c r="AF74" s="60">
        <f ca="1">IF(OR(ISBLANK($E$52),AF$69&gt;$E$55),"",ROUND(VLOOKUP(AF$68,'MM-MC Tarifák'!$A$3:$AQ$67,HLOOKUP($E74,'MM-MC Tarifák'!$B$1:$AQ$2,2,0),0)/1000*$J$74*IF(OR(AND($E$61="Forint",$J$74&gt;=1000000,$J$74&lt;=50000000),AND($E$61="Euró",$J$74&gt;=3400,$J$74&lt;=162500)),1,0)*VLOOKUP($E$58,Paraméterek!$K$1:$L$4,2,0)*IF($O$74="Kizárás",1,1+$O$74),IF($E$61="Forint",0,2)))</f>
        <v>5854</v>
      </c>
      <c r="AG74" s="60">
        <f ca="1">IF(OR(ISBLANK($E$52),AG$69&gt;$E$55),"",ROUND(VLOOKUP(AG$68,'MM-MC Tarifák'!$A$3:$AQ$67,HLOOKUP($E74,'MM-MC Tarifák'!$B$1:$AQ$2,2,0),0)/1000*$J$74*IF(OR(AND($E$61="Forint",$J$74&gt;=1000000,$J$74&lt;=50000000),AND($E$61="Euró",$J$74&gt;=3400,$J$74&lt;=162500)),1,0)*VLOOKUP($E$58,Paraméterek!$K$1:$L$4,2,0)*IF($O$74="Kizárás",1,1+$O$74),IF($E$61="Forint",0,2)))</f>
        <v>6336</v>
      </c>
      <c r="AH74" s="60">
        <f ca="1">IF(OR(ISBLANK($E$52),AH$69&gt;$E$55),"",ROUND(VLOOKUP(AH$68,'MM-MC Tarifák'!$A$3:$AQ$67,HLOOKUP($E74,'MM-MC Tarifák'!$B$1:$AQ$2,2,0),0)/1000*$J$74*IF(OR(AND($E$61="Forint",$J$74&gt;=1000000,$J$74&lt;=50000000),AND($E$61="Euró",$J$74&gt;=3400,$J$74&lt;=162500)),1,0)*VLOOKUP($E$58,Paraméterek!$K$1:$L$4,2,0)*IF($O$74="Kizárás",1,1+$O$74),IF($E$61="Forint",0,2)))</f>
        <v>6815</v>
      </c>
      <c r="AI74" s="60">
        <f ca="1">IF(OR(ISBLANK($E$52),AI$69&gt;$E$55),"",ROUND(VLOOKUP(AI$68,'MM-MC Tarifák'!$A$3:$AQ$67,HLOOKUP($E74,'MM-MC Tarifák'!$B$1:$AQ$2,2,0),0)/1000*$J$74*IF(OR(AND($E$61="Forint",$J$74&gt;=1000000,$J$74&lt;=50000000),AND($E$61="Euró",$J$74&gt;=3400,$J$74&lt;=162500)),1,0)*VLOOKUP($E$58,Paraméterek!$K$1:$L$4,2,0)*IF($O$74="Kizárás",1,1+$O$74),IF($E$61="Forint",0,2)))</f>
        <v>7297</v>
      </c>
      <c r="AJ74" s="60">
        <f ca="1">IF(OR(ISBLANK($E$52),AJ$69&gt;$E$55),"",ROUND(VLOOKUP(AJ$68,'MM-MC Tarifák'!$A$3:$AQ$67,HLOOKUP($E74,'MM-MC Tarifák'!$B$1:$AQ$2,2,0),0)/1000*$J$74*IF(OR(AND($E$61="Forint",$J$74&gt;=1000000,$J$74&lt;=50000000),AND($E$61="Euró",$J$74&gt;=3400,$J$74&lt;=162500)),1,0)*VLOOKUP($E$58,Paraméterek!$K$1:$L$4,2,0)*IF($O$74="Kizárás",1,1+$O$74),IF($E$61="Forint",0,2)))</f>
        <v>7777</v>
      </c>
      <c r="AK74" s="60">
        <f ca="1">IF(OR(ISBLANK($E$52),AK$69&gt;$E$55),"",ROUND(VLOOKUP(AK$68,'MM-MC Tarifák'!$A$3:$AQ$67,HLOOKUP($E74,'MM-MC Tarifák'!$B$1:$AQ$2,2,0),0)/1000*$J$74*IF(OR(AND($E$61="Forint",$J$74&gt;=1000000,$J$74&lt;=50000000),AND($E$61="Euró",$J$74&gt;=3400,$J$74&lt;=162500)),1,0)*VLOOKUP($E$58,Paraméterek!$K$1:$L$4,2,0)*IF($O$74="Kizárás",1,1+$O$74),IF($E$61="Forint",0,2)))</f>
        <v>8259</v>
      </c>
      <c r="AL74" s="60">
        <f ca="1">IF(OR(ISBLANK($E$52),AL$69&gt;$E$55),"",ROUND(VLOOKUP(AL$68,'MM-MC Tarifák'!$A$3:$AQ$67,HLOOKUP($E74,'MM-MC Tarifák'!$B$1:$AQ$2,2,0),0)/1000*$J$74*IF(OR(AND($E$61="Forint",$J$74&gt;=1000000,$J$74&lt;=50000000),AND($E$61="Euró",$J$74&gt;=3400,$J$74&lt;=162500)),1,0)*VLOOKUP($E$58,Paraméterek!$K$1:$L$4,2,0)*IF($O$74="Kizárás",1,1+$O$74),IF($E$61="Forint",0,2)))</f>
        <v>8787</v>
      </c>
      <c r="AM74" s="60">
        <f ca="1">IF(OR(ISBLANK($E$52),AM$69&gt;$E$55),"",ROUND(VLOOKUP(AM$68,'MM-MC Tarifák'!$A$3:$AQ$67,HLOOKUP($E74,'MM-MC Tarifák'!$B$1:$AQ$2,2,0),0)/1000*$J$74*IF(OR(AND($E$61="Forint",$J$74&gt;=1000000,$J$74&lt;=50000000),AND($E$61="Euró",$J$74&gt;=3400,$J$74&lt;=162500)),1,0)*VLOOKUP($E$58,Paraméterek!$K$1:$L$4,2,0)*IF($O$74="Kizárás",1,1+$O$74),IF($E$61="Forint",0,2)))</f>
        <v>9318</v>
      </c>
      <c r="AN74" s="60">
        <f ca="1">IF(OR(ISBLANK($E$52),AN$69&gt;$E$55),"",ROUND(VLOOKUP(AN$68,'MM-MC Tarifák'!$A$3:$AQ$67,HLOOKUP($E74,'MM-MC Tarifák'!$B$1:$AQ$2,2,0),0)/1000*$J$74*IF(OR(AND($E$61="Forint",$J$74&gt;=1000000,$J$74&lt;=50000000),AND($E$61="Euró",$J$74&gt;=3400,$J$74&lt;=162500)),1,0)*VLOOKUP($E$58,Paraméterek!$K$1:$L$4,2,0)*IF($O$74="Kizárás",1,1+$O$74),IF($E$61="Forint",0,2)))</f>
        <v>9849</v>
      </c>
      <c r="AO74" s="60">
        <f ca="1">IF(OR(ISBLANK($E$52),AO$69&gt;$E$55),"",ROUND(VLOOKUP(AO$68,'MM-MC Tarifák'!$A$3:$AQ$67,HLOOKUP($E74,'MM-MC Tarifák'!$B$1:$AQ$2,2,0),0)/1000*$J$74*IF(OR(AND($E$61="Forint",$J$74&gt;=1000000,$J$74&lt;=50000000),AND($E$61="Euró",$J$74&gt;=3400,$J$74&lt;=162500)),1,0)*VLOOKUP($E$58,Paraméterek!$K$1:$L$4,2,0)*IF($O$74="Kizárás",1,1+$O$74),IF($E$61="Forint",0,2)))</f>
        <v>10377</v>
      </c>
      <c r="AP74" s="60">
        <f ca="1">IF(OR(ISBLANK($E$52),AP$69&gt;$E$55),"",ROUND(VLOOKUP(AP$68,'MM-MC Tarifák'!$A$3:$AQ$67,HLOOKUP($E74,'MM-MC Tarifák'!$B$1:$AQ$2,2,0),0)/1000*$J$74*IF(OR(AND($E$61="Forint",$J$74&gt;=1000000,$J$74&lt;=50000000),AND($E$61="Euró",$J$74&gt;=3400,$J$74&lt;=162500)),1,0)*VLOOKUP($E$58,Paraméterek!$K$1:$L$4,2,0)*IF($O$74="Kizárás",1,1+$O$74),IF($E$61="Forint",0,2)))</f>
        <v>0</v>
      </c>
    </row>
    <row r="75" spans="1:42" hidden="1" x14ac:dyDescent="0.2">
      <c r="A75" s="12" t="s">
        <v>406</v>
      </c>
      <c r="B75" s="176"/>
      <c r="C75" s="176"/>
      <c r="D75" s="176"/>
      <c r="E75" s="105" t="s">
        <v>63</v>
      </c>
      <c r="F75" s="105"/>
      <c r="G75" s="105"/>
      <c r="H75" s="105"/>
      <c r="I75" s="105"/>
      <c r="J75" s="185"/>
      <c r="K75" s="185"/>
      <c r="L75" s="186">
        <f>IF($G$5="MetMax",MetMax!$J$36,IF($G$5="MetCare",MetCare!$J$36,Nelson!$N$31))</f>
        <v>0</v>
      </c>
      <c r="M75" s="186"/>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2487</v>
      </c>
      <c r="S75" s="60">
        <f ca="1">IF(OR(ISBLANK($E$52),S$69&gt;$E$55),"",ROUND(VLOOKUP(S$68,'MM-MC Tarifák'!$A$3:$AQ$67,HLOOKUP($E75,'MM-MC Tarifák'!$B$1:$AQ$2,2,0),0)/1000*$J$74*IF(OR(AND($E$61="Forint",$J$74&gt;=1000000,$J$74&lt;=50000000),AND($E$61="Euró",$J$74&gt;=3400,$J$74&lt;=162500)),1,0)*VLOOKUP($E$58,Paraméterek!$K$1:$L$4,2,0)*IF($O$75="Kizárás",1,1+$O$75),IF($E$61="Forint",0,2)))</f>
        <v>2831</v>
      </c>
      <c r="T75" s="60">
        <f ca="1">IF(OR(ISBLANK($E$52),T$69&gt;$E$55),"",ROUND(VLOOKUP(T$68,'MM-MC Tarifák'!$A$3:$AQ$67,HLOOKUP($E75,'MM-MC Tarifák'!$B$1:$AQ$2,2,0),0)/1000*$J$74*IF(OR(AND($E$61="Forint",$J$74&gt;=1000000,$J$74&lt;=50000000),AND($E$61="Euró",$J$74&gt;=3400,$J$74&lt;=162500)),1,0)*VLOOKUP($E$58,Paraméterek!$K$1:$L$4,2,0)*IF($O$75="Kizárás",1,1+$O$75),IF($E$61="Forint",0,2)))</f>
        <v>3172</v>
      </c>
      <c r="U75" s="60">
        <f ca="1">IF(OR(ISBLANK($E$52),U$69&gt;$E$55),"",ROUND(VLOOKUP(U$68,'MM-MC Tarifák'!$A$3:$AQ$67,HLOOKUP($E75,'MM-MC Tarifák'!$B$1:$AQ$2,2,0),0)/1000*$J$74*IF(OR(AND($E$61="Forint",$J$74&gt;=1000000,$J$74&lt;=50000000),AND($E$61="Euró",$J$74&gt;=3400,$J$74&lt;=162500)),1,0)*VLOOKUP($E$58,Paraméterek!$K$1:$L$4,2,0)*IF($O$75="Kizárás",1,1+$O$75),IF($E$61="Forint",0,2)))</f>
        <v>3513</v>
      </c>
      <c r="V75" s="60">
        <f ca="1">IF(OR(ISBLANK($E$52),V$69&gt;$E$55),"",ROUND(VLOOKUP(V$68,'MM-MC Tarifák'!$A$3:$AQ$67,HLOOKUP($E75,'MM-MC Tarifák'!$B$1:$AQ$2,2,0),0)/1000*$J$74*IF(OR(AND($E$61="Forint",$J$74&gt;=1000000,$J$74&lt;=50000000),AND($E$61="Euró",$J$74&gt;=3400,$J$74&lt;=162500)),1,0)*VLOOKUP($E$58,Paraméterek!$K$1:$L$4,2,0)*IF($O$75="Kizárás",1,1+$O$75),IF($E$61="Forint",0,2)))</f>
        <v>3938</v>
      </c>
      <c r="W75" s="60">
        <f ca="1">IF(OR(ISBLANK($E$52),W$69&gt;$E$55),"",ROUND(VLOOKUP(W$68,'MM-MC Tarifák'!$A$3:$AQ$67,HLOOKUP($E75,'MM-MC Tarifák'!$B$1:$AQ$2,2,0),0)/1000*$J$74*IF(OR(AND($E$61="Forint",$J$74&gt;=1000000,$J$74&lt;=50000000),AND($E$61="Euró",$J$74&gt;=3400,$J$74&lt;=162500)),1,0)*VLOOKUP($E$58,Paraméterek!$K$1:$L$4,2,0)*IF($O$75="Kizárás",1,1+$O$75),IF($E$61="Forint",0,2)))</f>
        <v>4377</v>
      </c>
      <c r="X75" s="60">
        <f ca="1">IF(OR(ISBLANK($E$52),X$69&gt;$E$55),"",ROUND(VLOOKUP(X$68,'MM-MC Tarifák'!$A$3:$AQ$67,HLOOKUP($E75,'MM-MC Tarifák'!$B$1:$AQ$2,2,0),0)/1000*$J$74*IF(OR(AND($E$61="Forint",$J$74&gt;=1000000,$J$74&lt;=50000000),AND($E$61="Euró",$J$74&gt;=3400,$J$74&lt;=162500)),1,0)*VLOOKUP($E$58,Paraméterek!$K$1:$L$4,2,0)*IF($O$75="Kizárás",1,1+$O$75),IF($E$61="Forint",0,2)))</f>
        <v>4818</v>
      </c>
      <c r="Y75" s="60">
        <f ca="1">IF(OR(ISBLANK($E$52),Y$69&gt;$E$55),"",ROUND(VLOOKUP(Y$68,'MM-MC Tarifák'!$A$3:$AQ$67,HLOOKUP($E75,'MM-MC Tarifák'!$B$1:$AQ$2,2,0),0)/1000*$J$74*IF(OR(AND($E$61="Forint",$J$74&gt;=1000000,$J$74&lt;=50000000),AND($E$61="Euró",$J$74&gt;=3400,$J$74&lt;=162500)),1,0)*VLOOKUP($E$58,Paraméterek!$K$1:$L$4,2,0)*IF($O$75="Kizárás",1,1+$O$75),IF($E$61="Forint",0,2)))</f>
        <v>5256</v>
      </c>
      <c r="Z75" s="60">
        <f ca="1">IF(OR(ISBLANK($E$52),Z$69&gt;$E$55),"",ROUND(VLOOKUP(Z$68,'MM-MC Tarifák'!$A$3:$AQ$67,HLOOKUP($E75,'MM-MC Tarifák'!$B$1:$AQ$2,2,0),0)/1000*$J$74*IF(OR(AND($E$61="Forint",$J$74&gt;=1000000,$J$74&lt;=50000000),AND($E$61="Euró",$J$74&gt;=3400,$J$74&lt;=162500)),1,0)*VLOOKUP($E$58,Paraméterek!$K$1:$L$4,2,0)*IF($O$75="Kizárás",1,1+$O$75),IF($E$61="Forint",0,2)))</f>
        <v>5697</v>
      </c>
      <c r="AA75" s="60">
        <f ca="1">IF(OR(ISBLANK($E$52),AA$69&gt;$E$55),"",ROUND(VLOOKUP(AA$68,'MM-MC Tarifák'!$A$3:$AQ$67,HLOOKUP($E75,'MM-MC Tarifák'!$B$1:$AQ$2,2,0),0)/1000*$J$74*IF(OR(AND($E$61="Forint",$J$74&gt;=1000000,$J$74&lt;=50000000),AND($E$61="Euró",$J$74&gt;=3400,$J$74&lt;=162500)),1,0)*VLOOKUP($E$58,Paraméterek!$K$1:$L$4,2,0)*IF($O$75="Kizárás",1,1+$O$75),IF($E$61="Forint",0,2)))</f>
        <v>6392</v>
      </c>
      <c r="AB75" s="60">
        <f ca="1">IF(OR(ISBLANK($E$52),AB$69&gt;$E$55),"",ROUND(VLOOKUP(AB$68,'MM-MC Tarifák'!$A$3:$AQ$67,HLOOKUP($E75,'MM-MC Tarifák'!$B$1:$AQ$2,2,0),0)/1000*$J$74*IF(OR(AND($E$61="Forint",$J$74&gt;=1000000,$J$74&lt;=50000000),AND($E$61="Euró",$J$74&gt;=3400,$J$74&lt;=162500)),1,0)*VLOOKUP($E$58,Paraméterek!$K$1:$L$4,2,0)*IF($O$75="Kizárás",1,1+$O$75),IF($E$61="Forint",0,2)))</f>
        <v>6928</v>
      </c>
      <c r="AC75" s="60">
        <f ca="1">IF(OR(ISBLANK($E$52),AC$69&gt;$E$55),"",ROUND(VLOOKUP(AC$68,'MM-MC Tarifák'!$A$3:$AQ$67,HLOOKUP($E75,'MM-MC Tarifák'!$B$1:$AQ$2,2,0),0)/1000*$J$74*IF(OR(AND($E$61="Forint",$J$74&gt;=1000000,$J$74&lt;=50000000),AND($E$61="Euró",$J$74&gt;=3400,$J$74&lt;=162500)),1,0)*VLOOKUP($E$58,Paraméterek!$K$1:$L$4,2,0)*IF($O$75="Kizárás",1,1+$O$75),IF($E$61="Forint",0,2)))</f>
        <v>7462</v>
      </c>
      <c r="AD75" s="60">
        <f ca="1">IF(OR(ISBLANK($E$52),AD$69&gt;$E$55),"",ROUND(VLOOKUP(AD$68,'MM-MC Tarifák'!$A$3:$AQ$67,HLOOKUP($E75,'MM-MC Tarifák'!$B$1:$AQ$2,2,0),0)/1000*$J$74*IF(OR(AND($E$61="Forint",$J$74&gt;=1000000,$J$74&lt;=50000000),AND($E$61="Euró",$J$74&gt;=3400,$J$74&lt;=162500)),1,0)*VLOOKUP($E$58,Paraméterek!$K$1:$L$4,2,0)*IF($O$75="Kizárás",1,1+$O$75),IF($E$61="Forint",0,2)))</f>
        <v>7992</v>
      </c>
      <c r="AE75" s="60">
        <f ca="1">IF(OR(ISBLANK($E$52),AE$69&gt;$E$55),"",ROUND(VLOOKUP(AE$68,'MM-MC Tarifák'!$A$3:$AQ$67,HLOOKUP($E75,'MM-MC Tarifák'!$B$1:$AQ$2,2,0),0)/1000*$J$74*IF(OR(AND($E$61="Forint",$J$74&gt;=1000000,$J$74&lt;=50000000),AND($E$61="Euró",$J$74&gt;=3400,$J$74&lt;=162500)),1,0)*VLOOKUP($E$58,Paraméterek!$K$1:$L$4,2,0)*IF($O$75="Kizárás",1,1+$O$75),IF($E$61="Forint",0,2)))</f>
        <v>8528</v>
      </c>
      <c r="AF75" s="60">
        <f ca="1">IF(OR(ISBLANK($E$52),AF$69&gt;$E$55),"",ROUND(VLOOKUP(AF$68,'MM-MC Tarifák'!$A$3:$AQ$67,HLOOKUP($E75,'MM-MC Tarifák'!$B$1:$AQ$2,2,0),0)/1000*$J$74*IF(OR(AND($E$61="Forint",$J$74&gt;=1000000,$J$74&lt;=50000000),AND($E$61="Euró",$J$74&gt;=3400,$J$74&lt;=162500)),1,0)*VLOOKUP($E$58,Paraméterek!$K$1:$L$4,2,0)*IF($O$75="Kizárás",1,1+$O$75),IF($E$61="Forint",0,2)))</f>
        <v>9359</v>
      </c>
      <c r="AG75" s="60">
        <f ca="1">IF(OR(ISBLANK($E$52),AG$69&gt;$E$55),"",ROUND(VLOOKUP(AG$68,'MM-MC Tarifák'!$A$3:$AQ$67,HLOOKUP($E75,'MM-MC Tarifák'!$B$1:$AQ$2,2,0),0)/1000*$J$74*IF(OR(AND($E$61="Forint",$J$74&gt;=1000000,$J$74&lt;=50000000),AND($E$61="Euró",$J$74&gt;=3400,$J$74&lt;=162500)),1,0)*VLOOKUP($E$58,Paraméterek!$K$1:$L$4,2,0)*IF($O$75="Kizárás",1,1+$O$75),IF($E$61="Forint",0,2)))</f>
        <v>10133</v>
      </c>
      <c r="AH75" s="60">
        <f ca="1">IF(OR(ISBLANK($E$52),AH$69&gt;$E$55),"",ROUND(VLOOKUP(AH$68,'MM-MC Tarifák'!$A$3:$AQ$67,HLOOKUP($E75,'MM-MC Tarifák'!$B$1:$AQ$2,2,0),0)/1000*$J$74*IF(OR(AND($E$61="Forint",$J$74&gt;=1000000,$J$74&lt;=50000000),AND($E$61="Euró",$J$74&gt;=3400,$J$74&lt;=162500)),1,0)*VLOOKUP($E$58,Paraméterek!$K$1:$L$4,2,0)*IF($O$75="Kizárás",1,1+$O$75),IF($E$61="Forint",0,2)))</f>
        <v>10908</v>
      </c>
      <c r="AI75" s="60">
        <f ca="1">IF(OR(ISBLANK($E$52),AI$69&gt;$E$55),"",ROUND(VLOOKUP(AI$68,'MM-MC Tarifák'!$A$3:$AQ$67,HLOOKUP($E75,'MM-MC Tarifák'!$B$1:$AQ$2,2,0),0)/1000*$J$74*IF(OR(AND($E$61="Forint",$J$74&gt;=1000000,$J$74&lt;=50000000),AND($E$61="Euró",$J$74&gt;=3400,$J$74&lt;=162500)),1,0)*VLOOKUP($E$58,Paraméterek!$K$1:$L$4,2,0)*IF($O$75="Kizárás",1,1+$O$75),IF($E$61="Forint",0,2)))</f>
        <v>11682</v>
      </c>
      <c r="AJ75" s="60">
        <f ca="1">IF(OR(ISBLANK($E$52),AJ$69&gt;$E$55),"",ROUND(VLOOKUP(AJ$68,'MM-MC Tarifák'!$A$3:$AQ$67,HLOOKUP($E75,'MM-MC Tarifák'!$B$1:$AQ$2,2,0),0)/1000*$J$74*IF(OR(AND($E$61="Forint",$J$74&gt;=1000000,$J$74&lt;=50000000),AND($E$61="Euró",$J$74&gt;=3400,$J$74&lt;=162500)),1,0)*VLOOKUP($E$58,Paraméterek!$K$1:$L$4,2,0)*IF($O$75="Kizárás",1,1+$O$75),IF($E$61="Forint",0,2)))</f>
        <v>12454</v>
      </c>
      <c r="AK75" s="60">
        <f ca="1">IF(OR(ISBLANK($E$52),AK$69&gt;$E$55),"",ROUND(VLOOKUP(AK$68,'MM-MC Tarifák'!$A$3:$AQ$67,HLOOKUP($E75,'MM-MC Tarifák'!$B$1:$AQ$2,2,0),0)/1000*$J$74*IF(OR(AND($E$61="Forint",$J$74&gt;=1000000,$J$74&lt;=50000000),AND($E$61="Euró",$J$74&gt;=3400,$J$74&lt;=162500)),1,0)*VLOOKUP($E$58,Paraméterek!$K$1:$L$4,2,0)*IF($O$75="Kizárás",1,1+$O$75),IF($E$61="Forint",0,2)))</f>
        <v>14182</v>
      </c>
      <c r="AL75" s="60">
        <f ca="1">IF(OR(ISBLANK($E$52),AL$69&gt;$E$55),"",ROUND(VLOOKUP(AL$68,'MM-MC Tarifák'!$A$3:$AQ$67,HLOOKUP($E75,'MM-MC Tarifák'!$B$1:$AQ$2,2,0),0)/1000*$J$74*IF(OR(AND($E$61="Forint",$J$74&gt;=1000000,$J$74&lt;=50000000),AND($E$61="Euró",$J$74&gt;=3400,$J$74&lt;=162500)),1,0)*VLOOKUP($E$58,Paraméterek!$K$1:$L$4,2,0)*IF($O$75="Kizárás",1,1+$O$75),IF($E$61="Forint",0,2)))</f>
        <v>15087</v>
      </c>
      <c r="AM75" s="60">
        <f ca="1">IF(OR(ISBLANK($E$52),AM$69&gt;$E$55),"",ROUND(VLOOKUP(AM$68,'MM-MC Tarifák'!$A$3:$AQ$67,HLOOKUP($E75,'MM-MC Tarifák'!$B$1:$AQ$2,2,0),0)/1000*$J$74*IF(OR(AND($E$61="Forint",$J$74&gt;=1000000,$J$74&lt;=50000000),AND($E$61="Euró",$J$74&gt;=3400,$J$74&lt;=162500)),1,0)*VLOOKUP($E$58,Paraméterek!$K$1:$L$4,2,0)*IF($O$75="Kizárás",1,1+$O$75),IF($E$61="Forint",0,2)))</f>
        <v>15992</v>
      </c>
      <c r="AN75" s="60">
        <f ca="1">IF(OR(ISBLANK($E$52),AN$69&gt;$E$55),"",ROUND(VLOOKUP(AN$68,'MM-MC Tarifák'!$A$3:$AQ$67,HLOOKUP($E75,'MM-MC Tarifák'!$B$1:$AQ$2,2,0),0)/1000*$J$74*IF(OR(AND($E$61="Forint",$J$74&gt;=1000000,$J$74&lt;=50000000),AND($E$61="Euró",$J$74&gt;=3400,$J$74&lt;=162500)),1,0)*VLOOKUP($E$58,Paraméterek!$K$1:$L$4,2,0)*IF($O$75="Kizárás",1,1+$O$75),IF($E$61="Forint",0,2)))</f>
        <v>16897</v>
      </c>
      <c r="AO75" s="60">
        <f ca="1">IF(OR(ISBLANK($E$52),AO$69&gt;$E$55),"",ROUND(VLOOKUP(AO$68,'MM-MC Tarifák'!$A$3:$AQ$67,HLOOKUP($E75,'MM-MC Tarifák'!$B$1:$AQ$2,2,0),0)/1000*$J$74*IF(OR(AND($E$61="Forint",$J$74&gt;=1000000,$J$74&lt;=50000000),AND($E$61="Euró",$J$74&gt;=3400,$J$74&lt;=162500)),1,0)*VLOOKUP($E$58,Paraméterek!$K$1:$L$4,2,0)*IF($O$75="Kizárás",1,1+$O$75),IF($E$61="Forint",0,2)))</f>
        <v>17805</v>
      </c>
      <c r="AP75" s="60">
        <f ca="1">IF(OR(ISBLANK($E$52),AP$69&gt;$E$55),"",ROUND(VLOOKUP(AP$68,'MM-MC Tarifák'!$A$3:$AQ$67,HLOOKUP($E75,'MM-MC Tarifák'!$B$1:$AQ$2,2,0),0)/1000*$J$74*IF(OR(AND($E$61="Forint",$J$74&gt;=1000000,$J$74&lt;=50000000),AND($E$61="Euró",$J$74&gt;=3400,$J$74&lt;=162500)),1,0)*VLOOKUP($E$58,Paraméterek!$K$1:$L$4,2,0)*IF($O$75="Kizárás",1,1+$O$75),IF($E$61="Forint",0,2)))</f>
        <v>0</v>
      </c>
    </row>
    <row r="76" spans="1:42" hidden="1" x14ac:dyDescent="0.2">
      <c r="A76" s="12" t="s">
        <v>406</v>
      </c>
      <c r="B76" s="176"/>
      <c r="C76" s="176"/>
      <c r="D76" s="176"/>
      <c r="E76" s="105" t="s">
        <v>64</v>
      </c>
      <c r="F76" s="105"/>
      <c r="G76" s="105"/>
      <c r="H76" s="105"/>
      <c r="I76" s="105"/>
      <c r="J76" s="185"/>
      <c r="K76" s="185"/>
      <c r="L76" s="186">
        <f>IF($G$5="MetMax",MetMax!$J$37,IF($G$5="MetCare",MetCare!$J$37,Nelson!$N$32))</f>
        <v>0</v>
      </c>
      <c r="M76" s="186"/>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3110</v>
      </c>
      <c r="S76" s="60">
        <f ca="1">IF(OR(ISBLANK($E$52),S$69&gt;$E$55),"",ROUND(VLOOKUP(S$68,'MM-MC Tarifák'!$A$3:$AQ$67,HLOOKUP($E76,'MM-MC Tarifák'!$B$1:$AQ$2,2,0),0)/1000*$J$74*IF(OR(AND($E$61="Forint",$J$74&gt;=1000000,$J$74&lt;=50000000),AND($E$61="Euró",$J$74&gt;=3400,$J$74&lt;=162500)),1,0)*VLOOKUP($E$58,Paraméterek!$K$1:$L$4,2,0)*IF($O$76="Kizárás",1,1+$O$76),IF($E$61="Forint",0,2)))</f>
        <v>3536</v>
      </c>
      <c r="T76" s="60">
        <f ca="1">IF(OR(ISBLANK($E$52),T$69&gt;$E$55),"",ROUND(VLOOKUP(T$68,'MM-MC Tarifák'!$A$3:$AQ$67,HLOOKUP($E76,'MM-MC Tarifák'!$B$1:$AQ$2,2,0),0)/1000*$J$74*IF(OR(AND($E$61="Forint",$J$74&gt;=1000000,$J$74&lt;=50000000),AND($E$61="Euró",$J$74&gt;=3400,$J$74&lt;=162500)),1,0)*VLOOKUP($E$58,Paraméterek!$K$1:$L$4,2,0)*IF($O$76="Kizárás",1,1+$O$76),IF($E$61="Forint",0,2)))</f>
        <v>3964</v>
      </c>
      <c r="U76" s="60">
        <f ca="1">IF(OR(ISBLANK($E$52),U$69&gt;$E$55),"",ROUND(VLOOKUP(U$68,'MM-MC Tarifák'!$A$3:$AQ$67,HLOOKUP($E76,'MM-MC Tarifák'!$B$1:$AQ$2,2,0),0)/1000*$J$74*IF(OR(AND($E$61="Forint",$J$74&gt;=1000000,$J$74&lt;=50000000),AND($E$61="Euró",$J$74&gt;=3400,$J$74&lt;=162500)),1,0)*VLOOKUP($E$58,Paraméterek!$K$1:$L$4,2,0)*IF($O$76="Kizárás",1,1+$O$76),IF($E$61="Forint",0,2)))</f>
        <v>4390</v>
      </c>
      <c r="V76" s="60">
        <f ca="1">IF(OR(ISBLANK($E$52),V$69&gt;$E$55),"",ROUND(VLOOKUP(V$68,'MM-MC Tarifák'!$A$3:$AQ$67,HLOOKUP($E76,'MM-MC Tarifák'!$B$1:$AQ$2,2,0),0)/1000*$J$74*IF(OR(AND($E$61="Forint",$J$74&gt;=1000000,$J$74&lt;=50000000),AND($E$61="Euró",$J$74&gt;=3400,$J$74&lt;=162500)),1,0)*VLOOKUP($E$58,Paraméterek!$K$1:$L$4,2,0)*IF($O$76="Kizárás",1,1+$O$76),IF($E$61="Forint",0,2)))</f>
        <v>4923</v>
      </c>
      <c r="W76" s="60">
        <f ca="1">IF(OR(ISBLANK($E$52),W$69&gt;$E$55),"",ROUND(VLOOKUP(W$68,'MM-MC Tarifák'!$A$3:$AQ$67,HLOOKUP($E76,'MM-MC Tarifák'!$B$1:$AQ$2,2,0),0)/1000*$J$74*IF(OR(AND($E$61="Forint",$J$74&gt;=1000000,$J$74&lt;=50000000),AND($E$61="Euró",$J$74&gt;=3400,$J$74&lt;=162500)),1,0)*VLOOKUP($E$58,Paraméterek!$K$1:$L$4,2,0)*IF($O$76="Kizárás",1,1+$O$76),IF($E$61="Forint",0,2)))</f>
        <v>5474</v>
      </c>
      <c r="X76" s="60">
        <f ca="1">IF(OR(ISBLANK($E$52),X$69&gt;$E$55),"",ROUND(VLOOKUP(X$68,'MM-MC Tarifák'!$A$3:$AQ$67,HLOOKUP($E76,'MM-MC Tarifák'!$B$1:$AQ$2,2,0),0)/1000*$J$74*IF(OR(AND($E$61="Forint",$J$74&gt;=1000000,$J$74&lt;=50000000),AND($E$61="Euró",$J$74&gt;=3400,$J$74&lt;=162500)),1,0)*VLOOKUP($E$58,Paraméterek!$K$1:$L$4,2,0)*IF($O$76="Kizárás",1,1+$O$76),IF($E$61="Forint",0,2)))</f>
        <v>6023</v>
      </c>
      <c r="Y76" s="60">
        <f ca="1">IF(OR(ISBLANK($E$52),Y$69&gt;$E$55),"",ROUND(VLOOKUP(Y$68,'MM-MC Tarifák'!$A$3:$AQ$67,HLOOKUP($E76,'MM-MC Tarifák'!$B$1:$AQ$2,2,0),0)/1000*$J$74*IF(OR(AND($E$61="Forint",$J$74&gt;=1000000,$J$74&lt;=50000000),AND($E$61="Euró",$J$74&gt;=3400,$J$74&lt;=162500)),1,0)*VLOOKUP($E$58,Paraméterek!$K$1:$L$4,2,0)*IF($O$76="Kizárás",1,1+$O$76),IF($E$61="Forint",0,2)))</f>
        <v>6572</v>
      </c>
      <c r="Z76" s="60">
        <f ca="1">IF(OR(ISBLANK($E$52),Z$69&gt;$E$55),"",ROUND(VLOOKUP(Z$68,'MM-MC Tarifák'!$A$3:$AQ$67,HLOOKUP($E76,'MM-MC Tarifák'!$B$1:$AQ$2,2,0),0)/1000*$J$74*IF(OR(AND($E$61="Forint",$J$74&gt;=1000000,$J$74&lt;=50000000),AND($E$61="Euró",$J$74&gt;=3400,$J$74&lt;=162500)),1,0)*VLOOKUP($E$58,Paraméterek!$K$1:$L$4,2,0)*IF($O$76="Kizárás",1,1+$O$76),IF($E$61="Forint",0,2)))</f>
        <v>7121</v>
      </c>
      <c r="AA76" s="60">
        <f ca="1">IF(OR(ISBLANK($E$52),AA$69&gt;$E$55),"",ROUND(VLOOKUP(AA$68,'MM-MC Tarifák'!$A$3:$AQ$67,HLOOKUP($E76,'MM-MC Tarifák'!$B$1:$AQ$2,2,0),0)/1000*$J$74*IF(OR(AND($E$61="Forint",$J$74&gt;=1000000,$J$74&lt;=50000000),AND($E$61="Euró",$J$74&gt;=3400,$J$74&lt;=162500)),1,0)*VLOOKUP($E$58,Paraméterek!$K$1:$L$4,2,0)*IF($O$76="Kizárás",1,1+$O$76),IF($E$61="Forint",0,2)))</f>
        <v>7992</v>
      </c>
      <c r="AB76" s="60">
        <f ca="1">IF(OR(ISBLANK($E$52),AB$69&gt;$E$55),"",ROUND(VLOOKUP(AB$68,'MM-MC Tarifák'!$A$3:$AQ$67,HLOOKUP($E76,'MM-MC Tarifák'!$B$1:$AQ$2,2,0),0)/1000*$J$74*IF(OR(AND($E$61="Forint",$J$74&gt;=1000000,$J$74&lt;=50000000),AND($E$61="Euró",$J$74&gt;=3400,$J$74&lt;=162500)),1,0)*VLOOKUP($E$58,Paraméterek!$K$1:$L$4,2,0)*IF($O$76="Kizárás",1,1+$O$76),IF($E$61="Forint",0,2)))</f>
        <v>8659</v>
      </c>
      <c r="AC76" s="60">
        <f ca="1">IF(OR(ISBLANK($E$52),AC$69&gt;$E$55),"",ROUND(VLOOKUP(AC$68,'MM-MC Tarifák'!$A$3:$AQ$67,HLOOKUP($E76,'MM-MC Tarifák'!$B$1:$AQ$2,2,0),0)/1000*$J$74*IF(OR(AND($E$61="Forint",$J$74&gt;=1000000,$J$74&lt;=50000000),AND($E$61="Euró",$J$74&gt;=3400,$J$74&lt;=162500)),1,0)*VLOOKUP($E$58,Paraméterek!$K$1:$L$4,2,0)*IF($O$76="Kizárás",1,1+$O$76),IF($E$61="Forint",0,2)))</f>
        <v>9326</v>
      </c>
      <c r="AD76" s="60">
        <f ca="1">IF(OR(ISBLANK($E$52),AD$69&gt;$E$55),"",ROUND(VLOOKUP(AD$68,'MM-MC Tarifák'!$A$3:$AQ$67,HLOOKUP($E76,'MM-MC Tarifák'!$B$1:$AQ$2,2,0),0)/1000*$J$74*IF(OR(AND($E$61="Forint",$J$74&gt;=1000000,$J$74&lt;=50000000),AND($E$61="Euró",$J$74&gt;=3400,$J$74&lt;=162500)),1,0)*VLOOKUP($E$58,Paraméterek!$K$1:$L$4,2,0)*IF($O$76="Kizárás",1,1+$O$76),IF($E$61="Forint",0,2)))</f>
        <v>9992</v>
      </c>
      <c r="AE76" s="60">
        <f ca="1">IF(OR(ISBLANK($E$52),AE$69&gt;$E$55),"",ROUND(VLOOKUP(AE$68,'MM-MC Tarifák'!$A$3:$AQ$67,HLOOKUP($E76,'MM-MC Tarifák'!$B$1:$AQ$2,2,0),0)/1000*$J$74*IF(OR(AND($E$61="Forint",$J$74&gt;=1000000,$J$74&lt;=50000000),AND($E$61="Euró",$J$74&gt;=3400,$J$74&lt;=162500)),1,0)*VLOOKUP($E$58,Paraméterek!$K$1:$L$4,2,0)*IF($O$76="Kizárás",1,1+$O$76),IF($E$61="Forint",0,2)))</f>
        <v>10659</v>
      </c>
      <c r="AF76" s="60">
        <f ca="1">IF(OR(ISBLANK($E$52),AF$69&gt;$E$55),"",ROUND(VLOOKUP(AF$68,'MM-MC Tarifák'!$A$3:$AQ$67,HLOOKUP($E76,'MM-MC Tarifák'!$B$1:$AQ$2,2,0),0)/1000*$J$74*IF(OR(AND($E$61="Forint",$J$74&gt;=1000000,$J$74&lt;=50000000),AND($E$61="Euró",$J$74&gt;=3400,$J$74&lt;=162500)),1,0)*VLOOKUP($E$58,Paraméterek!$K$1:$L$4,2,0)*IF($O$76="Kizárás",1,1+$O$76),IF($E$61="Forint",0,2)))</f>
        <v>11700</v>
      </c>
      <c r="AG76" s="60">
        <f ca="1">IF(OR(ISBLANK($E$52),AG$69&gt;$E$55),"",ROUND(VLOOKUP(AG$68,'MM-MC Tarifák'!$A$3:$AQ$67,HLOOKUP($E76,'MM-MC Tarifák'!$B$1:$AQ$2,2,0),0)/1000*$J$74*IF(OR(AND($E$61="Forint",$J$74&gt;=1000000,$J$74&lt;=50000000),AND($E$61="Euró",$J$74&gt;=3400,$J$74&lt;=162500)),1,0)*VLOOKUP($E$58,Paraméterek!$K$1:$L$4,2,0)*IF($O$76="Kizárás",1,1+$O$76),IF($E$61="Forint",0,2)))</f>
        <v>12667</v>
      </c>
      <c r="AH76" s="60">
        <f ca="1">IF(OR(ISBLANK($E$52),AH$69&gt;$E$55),"",ROUND(VLOOKUP(AH$68,'MM-MC Tarifák'!$A$3:$AQ$67,HLOOKUP($E76,'MM-MC Tarifák'!$B$1:$AQ$2,2,0),0)/1000*$J$74*IF(OR(AND($E$61="Forint",$J$74&gt;=1000000,$J$74&lt;=50000000),AND($E$61="Euró",$J$74&gt;=3400,$J$74&lt;=162500)),1,0)*VLOOKUP($E$58,Paraméterek!$K$1:$L$4,2,0)*IF($O$76="Kizárás",1,1+$O$76),IF($E$61="Forint",0,2)))</f>
        <v>13633</v>
      </c>
      <c r="AI76" s="60">
        <f ca="1">IF(OR(ISBLANK($E$52),AI$69&gt;$E$55),"",ROUND(VLOOKUP(AI$68,'MM-MC Tarifák'!$A$3:$AQ$67,HLOOKUP($E76,'MM-MC Tarifák'!$B$1:$AQ$2,2,0),0)/1000*$J$74*IF(OR(AND($E$61="Forint",$J$74&gt;=1000000,$J$74&lt;=50000000),AND($E$61="Euró",$J$74&gt;=3400,$J$74&lt;=162500)),1,0)*VLOOKUP($E$58,Paraméterek!$K$1:$L$4,2,0)*IF($O$76="Kizárás",1,1+$O$76),IF($E$61="Forint",0,2)))</f>
        <v>14603</v>
      </c>
      <c r="AJ76" s="60">
        <f ca="1">IF(OR(ISBLANK($E$52),AJ$69&gt;$E$55),"",ROUND(VLOOKUP(AJ$68,'MM-MC Tarifák'!$A$3:$AQ$67,HLOOKUP($E76,'MM-MC Tarifák'!$B$1:$AQ$2,2,0),0)/1000*$J$74*IF(OR(AND($E$61="Forint",$J$74&gt;=1000000,$J$74&lt;=50000000),AND($E$61="Euró",$J$74&gt;=3400,$J$74&lt;=162500)),1,0)*VLOOKUP($E$58,Paraméterek!$K$1:$L$4,2,0)*IF($O$76="Kizárás",1,1+$O$76),IF($E$61="Forint",0,2)))</f>
        <v>15569</v>
      </c>
      <c r="AK76" s="60">
        <f ca="1">IF(OR(ISBLANK($E$52),AK$69&gt;$E$55),"",ROUND(VLOOKUP(AK$68,'MM-MC Tarifák'!$A$3:$AQ$67,HLOOKUP($E76,'MM-MC Tarifák'!$B$1:$AQ$2,2,0),0)/1000*$J$74*IF(OR(AND($E$61="Forint",$J$74&gt;=1000000,$J$74&lt;=50000000),AND($E$61="Euró",$J$74&gt;=3400,$J$74&lt;=162500)),1,0)*VLOOKUP($E$58,Paraméterek!$K$1:$L$4,2,0)*IF($O$76="Kizárás",1,1+$O$76),IF($E$61="Forint",0,2)))</f>
        <v>17726</v>
      </c>
      <c r="AL76" s="60">
        <f ca="1">IF(OR(ISBLANK($E$52),AL$69&gt;$E$55),"",ROUND(VLOOKUP(AL$68,'MM-MC Tarifák'!$A$3:$AQ$67,HLOOKUP($E76,'MM-MC Tarifák'!$B$1:$AQ$2,2,0),0)/1000*$J$74*IF(OR(AND($E$61="Forint",$J$74&gt;=1000000,$J$74&lt;=50000000),AND($E$61="Euró",$J$74&gt;=3400,$J$74&lt;=162500)),1,0)*VLOOKUP($E$58,Paraméterek!$K$1:$L$4,2,0)*IF($O$76="Kizárás",1,1+$O$76),IF($E$61="Forint",0,2)))</f>
        <v>18859</v>
      </c>
      <c r="AM76" s="60">
        <f ca="1">IF(OR(ISBLANK($E$52),AM$69&gt;$E$55),"",ROUND(VLOOKUP(AM$68,'MM-MC Tarifák'!$A$3:$AQ$67,HLOOKUP($E76,'MM-MC Tarifák'!$B$1:$AQ$2,2,0),0)/1000*$J$74*IF(OR(AND($E$61="Forint",$J$74&gt;=1000000,$J$74&lt;=50000000),AND($E$61="Euró",$J$74&gt;=3400,$J$74&lt;=162500)),1,0)*VLOOKUP($E$58,Paraméterek!$K$1:$L$4,2,0)*IF($O$76="Kizárás",1,1+$O$76),IF($E$61="Forint",0,2)))</f>
        <v>19990</v>
      </c>
      <c r="AN76" s="60">
        <f ca="1">IF(OR(ISBLANK($E$52),AN$69&gt;$E$55),"",ROUND(VLOOKUP(AN$68,'MM-MC Tarifák'!$A$3:$AQ$67,HLOOKUP($E76,'MM-MC Tarifák'!$B$1:$AQ$2,2,0),0)/1000*$J$74*IF(OR(AND($E$61="Forint",$J$74&gt;=1000000,$J$74&lt;=50000000),AND($E$61="Euró",$J$74&gt;=3400,$J$74&lt;=162500)),1,0)*VLOOKUP($E$58,Paraméterek!$K$1:$L$4,2,0)*IF($O$76="Kizárás",1,1+$O$76),IF($E$61="Forint",0,2)))</f>
        <v>21120</v>
      </c>
      <c r="AO76" s="60">
        <f ca="1">IF(OR(ISBLANK($E$52),AO$69&gt;$E$55),"",ROUND(VLOOKUP(AO$68,'MM-MC Tarifák'!$A$3:$AQ$67,HLOOKUP($E76,'MM-MC Tarifák'!$B$1:$AQ$2,2,0),0)/1000*$J$74*IF(OR(AND($E$61="Forint",$J$74&gt;=1000000,$J$74&lt;=50000000),AND($E$61="Euró",$J$74&gt;=3400,$J$74&lt;=162500)),1,0)*VLOOKUP($E$58,Paraméterek!$K$1:$L$4,2,0)*IF($O$76="Kizárás",1,1+$O$76),IF($E$61="Forint",0,2)))</f>
        <v>22256</v>
      </c>
      <c r="AP76" s="60">
        <f ca="1">IF(OR(ISBLANK($E$52),AP$69&gt;$E$55),"",ROUND(VLOOKUP(AP$68,'MM-MC Tarifák'!$A$3:$AQ$67,HLOOKUP($E76,'MM-MC Tarifák'!$B$1:$AQ$2,2,0),0)/1000*$J$74*IF(OR(AND($E$61="Forint",$J$74&gt;=1000000,$J$74&lt;=50000000),AND($E$61="Euró",$J$74&gt;=3400,$J$74&lt;=162500)),1,0)*VLOOKUP($E$58,Paraméterek!$K$1:$L$4,2,0)*IF($O$76="Kizárás",1,1+$O$76),IF($E$61="Forint",0,2)))</f>
        <v>0</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05" t="s">
        <v>8</v>
      </c>
      <c r="F79" s="105"/>
      <c r="G79" s="105"/>
      <c r="H79" s="105"/>
      <c r="I79" s="105"/>
      <c r="J79" s="185">
        <f>IF($G$5="MetMax",MetMax!$H$42,IF($G$5="MetCare",MetCare!$H$42,Nelson!$J$35))</f>
        <v>2500000</v>
      </c>
      <c r="K79" s="185"/>
      <c r="L79" s="186">
        <f>IF($G$5="MetMax",MetMax!$J$42,IF($G$5="MetCare",MetCare!$J$42,Nelson!$N$35))</f>
        <v>0</v>
      </c>
      <c r="M79" s="186"/>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613</v>
      </c>
      <c r="AM79" s="60">
        <f ca="1">IF(OR(ISBLANK($E$52),AM$69&gt;$E$55),"",ROUND(VLOOKUP(AM$68,'MM-MC Tarifák'!$A$3:$AQ$67,HLOOKUP($E79,'MM-MC Tarifák'!$B$1:$AQ$2,2,0),0)/1000*$J$79*IF(OR(AND($E$61="Forint",$J$79&gt;=500000,$J$79&lt;=200000000),AND($E$61="Euró",$J$79&gt;=1700,$J$79&lt;=650000)),1,0)*VLOOKUP($E$58,Paraméterek!$K$1:$L$4,2,0)*IF($O$79="Kizárás",1,1+$O$79),IF($E$61="Forint",0,2)))</f>
        <v>613</v>
      </c>
      <c r="AN79" s="60">
        <f ca="1">IF(OR(ISBLANK($E$52),AN$69&gt;$E$55),"",ROUND(VLOOKUP(AN$68,'MM-MC Tarifák'!$A$3:$AQ$67,HLOOKUP($E79,'MM-MC Tarifák'!$B$1:$AQ$2,2,0),0)/1000*$J$79*IF(OR(AND($E$61="Forint",$J$79&gt;=500000,$J$79&lt;=200000000),AND($E$61="Euró",$J$79&gt;=1700,$J$79&lt;=650000)),1,0)*VLOOKUP($E$58,Paraméterek!$K$1:$L$4,2,0)*IF($O$79="Kizárás",1,1+$O$79),IF($E$61="Forint",0,2)))</f>
        <v>613</v>
      </c>
      <c r="AO79" s="60">
        <f ca="1">IF(OR(ISBLANK($E$52),AO$69&gt;$E$55),"",ROUND(VLOOKUP(AO$68,'MM-MC Tarifák'!$A$3:$AQ$67,HLOOKUP($E79,'MM-MC Tarifák'!$B$1:$AQ$2,2,0),0)/1000*$J$79*IF(OR(AND($E$61="Forint",$J$79&gt;=500000,$J$79&lt;=200000000),AND($E$61="Euró",$J$79&gt;=1700,$J$79&lt;=650000)),1,0)*VLOOKUP($E$58,Paraméterek!$K$1:$L$4,2,0)*IF($O$79="Kizárás",1,1+$O$79),IF($E$61="Forint",0,2)))</f>
        <v>613</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76" t="s">
        <v>11</v>
      </c>
      <c r="C82" s="176"/>
      <c r="D82" s="176"/>
      <c r="E82" s="105" t="s">
        <v>12</v>
      </c>
      <c r="F82" s="105"/>
      <c r="G82" s="105"/>
      <c r="H82" s="105"/>
      <c r="I82" s="105"/>
      <c r="J82" s="189">
        <f>IF($G$5="MetMax",MetMax!$H$57,IF($G$5="MetCare",MetCare!$H$61,Nelson!$J$39))</f>
        <v>0</v>
      </c>
      <c r="K82" s="190"/>
      <c r="L82" s="186">
        <f>IF($G$5="MetMax",MetMax!$J$57,IF($G$5="MetCare",MetCare!$J$61,Nelson!$N$39))</f>
        <v>0</v>
      </c>
      <c r="M82" s="186"/>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76"/>
      <c r="C83" s="176"/>
      <c r="D83" s="176"/>
      <c r="E83" s="105" t="s">
        <v>25</v>
      </c>
      <c r="F83" s="105"/>
      <c r="G83" s="105"/>
      <c r="H83" s="105"/>
      <c r="I83" s="105"/>
      <c r="J83" s="189">
        <f>IF($G$5="MetMax",MetMax!$H$59,IF($G$5="MetCare",MetCare!$H$63,Nelson!$J$40))</f>
        <v>150000</v>
      </c>
      <c r="K83" s="190"/>
      <c r="L83" s="186" t="str">
        <f>IF($G$5="MetMax",MetMax!$J$59,IF($G$5="MetCare",MetCare!$J$63,Nelson!$N$40))</f>
        <v>Ezt kérem!</v>
      </c>
      <c r="M83" s="186"/>
      <c r="N83" s="73"/>
      <c r="O83" s="16">
        <f>IF(ISBLANK($B$65),0,VLOOKUP($B$65,'Foglalkozási pótdíjak'!$A$3:$K$494,9,0))</f>
        <v>0</v>
      </c>
      <c r="Q83" s="59">
        <f ca="1">IF($L$83="Ezt kérem!",MIN($E$53+$E$55-1,59,64),"")</f>
        <v>59</v>
      </c>
      <c r="R83" s="60">
        <f ca="1">IF(OR(ISBLANK($E$52),R$69&gt;$E$55),"",ROUND(VLOOKUP(R$68,'MM-MC Tarifák'!$A$3:$AQ$67,HLOOKUP($E83,'MM-MC Tarifák'!$B$1:$AQ$2,2,0),0)/1000*$J$83*IF(OR(AND($E$61="Forint",$J$83&gt;=100000,$J$83&lt;=1000000),AND($E$61="Euró",$J$83&gt;=340,$J$83&lt;=3250)),1,0)*VLOOKUP($E$58,Paraméterek!$K$1:$L$4,2,0)*IF($O$83="Kizárás",1,1+$O$83),IF($E$61="Forint",0,2)))</f>
        <v>1164</v>
      </c>
      <c r="S83" s="60">
        <f ca="1">IF(OR(ISBLANK($E$52),S$69&gt;$E$55),"",IF(S$68&gt;64,0,$R$83))</f>
        <v>1164</v>
      </c>
      <c r="T83" s="60">
        <f t="shared" ref="T83:AP83" ca="1" si="4">IF(OR(ISBLANK($E$52),T$69&gt;$E$55),"",IF(T$68&gt;64,0,$R$83))</f>
        <v>1164</v>
      </c>
      <c r="U83" s="60">
        <f t="shared" ca="1" si="4"/>
        <v>1164</v>
      </c>
      <c r="V83" s="60">
        <f t="shared" ca="1" si="4"/>
        <v>1164</v>
      </c>
      <c r="W83" s="60">
        <f t="shared" ca="1" si="4"/>
        <v>1164</v>
      </c>
      <c r="X83" s="60">
        <f t="shared" ca="1" si="4"/>
        <v>1164</v>
      </c>
      <c r="Y83" s="60">
        <f t="shared" ca="1" si="4"/>
        <v>1164</v>
      </c>
      <c r="Z83" s="60">
        <f t="shared" ca="1" si="4"/>
        <v>1164</v>
      </c>
      <c r="AA83" s="60">
        <f t="shared" ca="1" si="4"/>
        <v>1164</v>
      </c>
      <c r="AB83" s="60">
        <f t="shared" ca="1" si="4"/>
        <v>1164</v>
      </c>
      <c r="AC83" s="60">
        <f t="shared" ca="1" si="4"/>
        <v>1164</v>
      </c>
      <c r="AD83" s="60">
        <f t="shared" ca="1" si="4"/>
        <v>1164</v>
      </c>
      <c r="AE83" s="60">
        <f t="shared" ca="1" si="4"/>
        <v>1164</v>
      </c>
      <c r="AF83" s="60">
        <f t="shared" ca="1" si="4"/>
        <v>1164</v>
      </c>
      <c r="AG83" s="60">
        <f t="shared" ca="1" si="4"/>
        <v>1164</v>
      </c>
      <c r="AH83" s="60">
        <f t="shared" ca="1" si="4"/>
        <v>1164</v>
      </c>
      <c r="AI83" s="60">
        <f t="shared" ca="1" si="4"/>
        <v>1164</v>
      </c>
      <c r="AJ83" s="60">
        <f t="shared" ca="1" si="4"/>
        <v>1164</v>
      </c>
      <c r="AK83" s="60">
        <f t="shared" ca="1" si="4"/>
        <v>1164</v>
      </c>
      <c r="AL83" s="60">
        <f t="shared" ca="1" si="4"/>
        <v>1164</v>
      </c>
      <c r="AM83" s="60">
        <f t="shared" ca="1" si="4"/>
        <v>1164</v>
      </c>
      <c r="AN83" s="60">
        <f t="shared" ca="1" si="4"/>
        <v>1164</v>
      </c>
      <c r="AO83" s="60">
        <f t="shared" ca="1" si="4"/>
        <v>1164</v>
      </c>
      <c r="AP83" s="60">
        <f t="shared" ca="1" si="4"/>
        <v>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76" t="s">
        <v>13</v>
      </c>
      <c r="C86" s="176"/>
      <c r="D86" s="176"/>
      <c r="E86" s="105" t="s">
        <v>14</v>
      </c>
      <c r="F86" s="105"/>
      <c r="G86" s="105"/>
      <c r="H86" s="105"/>
      <c r="I86" s="105"/>
      <c r="J86" s="189">
        <f>IF($G$5="MetMax",MetMax!$H$63,IF($G$5="MetCare",MetCare!$H$67,Nelson!$J$43))</f>
        <v>0</v>
      </c>
      <c r="K86" s="190"/>
      <c r="L86" s="186">
        <f>IF($G$5="MetMax",MetMax!$J$63,IF($G$5="MetCare",MetCare!$J$67,Nelson!$N$43))</f>
        <v>0</v>
      </c>
      <c r="M86" s="186"/>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76"/>
      <c r="C87" s="176"/>
      <c r="D87" s="176"/>
      <c r="E87" s="105" t="s">
        <v>16</v>
      </c>
      <c r="F87" s="105"/>
      <c r="G87" s="105"/>
      <c r="H87" s="105"/>
      <c r="I87" s="105"/>
      <c r="J87" s="189">
        <f>IF($G$5="MetMax",MetMax!$H$67,IF($G$5="MetCare",MetCare!$H$71,Nelson!$J$44))</f>
        <v>5000</v>
      </c>
      <c r="K87" s="190"/>
      <c r="L87" s="186">
        <f>IF($G$5="MetMax",MetMax!$J$67,IF($G$5="MetCare",MetCare!$J$71,Nelson!$N$44))</f>
        <v>0</v>
      </c>
      <c r="M87" s="186"/>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2228</v>
      </c>
      <c r="S87" s="60">
        <f ca="1">IF(OR(ISBLANK($E$52),S$69&gt;$E$55),"",IF(S$68&gt;64,0,$R$87))</f>
        <v>2228</v>
      </c>
      <c r="T87" s="60">
        <f t="shared" ref="T87:AP87" ca="1" si="5">IF(OR(ISBLANK($E$52),T$69&gt;$E$55),"",IF(T$68&gt;64,0,$R$87))</f>
        <v>2228</v>
      </c>
      <c r="U87" s="60">
        <f t="shared" ca="1" si="5"/>
        <v>2228</v>
      </c>
      <c r="V87" s="60">
        <f t="shared" ca="1" si="5"/>
        <v>2228</v>
      </c>
      <c r="W87" s="60">
        <f t="shared" ca="1" si="5"/>
        <v>2228</v>
      </c>
      <c r="X87" s="60">
        <f t="shared" ca="1" si="5"/>
        <v>2228</v>
      </c>
      <c r="Y87" s="60">
        <f t="shared" ca="1" si="5"/>
        <v>2228</v>
      </c>
      <c r="Z87" s="60">
        <f t="shared" ca="1" si="5"/>
        <v>2228</v>
      </c>
      <c r="AA87" s="60">
        <f t="shared" ca="1" si="5"/>
        <v>2228</v>
      </c>
      <c r="AB87" s="60">
        <f t="shared" ca="1" si="5"/>
        <v>2228</v>
      </c>
      <c r="AC87" s="60">
        <f t="shared" ca="1" si="5"/>
        <v>2228</v>
      </c>
      <c r="AD87" s="60">
        <f t="shared" ca="1" si="5"/>
        <v>2228</v>
      </c>
      <c r="AE87" s="60">
        <f t="shared" ca="1" si="5"/>
        <v>2228</v>
      </c>
      <c r="AF87" s="60">
        <f t="shared" ca="1" si="5"/>
        <v>2228</v>
      </c>
      <c r="AG87" s="60">
        <f t="shared" ca="1" si="5"/>
        <v>2228</v>
      </c>
      <c r="AH87" s="60">
        <f t="shared" ca="1" si="5"/>
        <v>2228</v>
      </c>
      <c r="AI87" s="60">
        <f t="shared" ca="1" si="5"/>
        <v>2228</v>
      </c>
      <c r="AJ87" s="60">
        <f t="shared" ca="1" si="5"/>
        <v>2228</v>
      </c>
      <c r="AK87" s="60">
        <f t="shared" ca="1" si="5"/>
        <v>2228</v>
      </c>
      <c r="AL87" s="60">
        <f t="shared" ca="1" si="5"/>
        <v>2228</v>
      </c>
      <c r="AM87" s="60">
        <f t="shared" ca="1" si="5"/>
        <v>2228</v>
      </c>
      <c r="AN87" s="60">
        <f t="shared" ca="1" si="5"/>
        <v>2228</v>
      </c>
      <c r="AO87" s="60">
        <f t="shared" ca="1" si="5"/>
        <v>2228</v>
      </c>
      <c r="AP87" s="60">
        <f t="shared" ca="1" si="5"/>
        <v>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76" t="s">
        <v>20</v>
      </c>
      <c r="C90" s="176"/>
      <c r="D90" s="176"/>
      <c r="E90" s="105" t="s">
        <v>21</v>
      </c>
      <c r="F90" s="105"/>
      <c r="G90" s="105"/>
      <c r="H90" s="105"/>
      <c r="I90" s="105"/>
      <c r="J90" s="185">
        <f>IF($G$5="MetMax",MetMax!$H$76,IF($G$5="MetCare",MetCare!$H$80,Nelson!$J$47))</f>
        <v>200000</v>
      </c>
      <c r="K90" s="185"/>
      <c r="L90" s="186">
        <f>IF($G$5="MetMax",MetMax!$J$76,IF($G$5="MetCare",MetCare!$J$80,Nelson!$N$47))</f>
        <v>0</v>
      </c>
      <c r="M90" s="186"/>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308</v>
      </c>
      <c r="AM90" s="60">
        <f ca="1">IF(OR(ISBLANK($E$52),AM$69&gt;$E$55),"",ROUND(VLOOKUP(AM$68,'MM-MC Tarifák'!$A$3:$AQ$67,HLOOKUP($E90,'MM-MC Tarifák'!$B$1:$AQ$2,2,0),0)/1000*$J$90*IF(OR(AND($E$61="Forint",$J$90&gt;=100000,$J$90&lt;=1000000),AND($E$61="Euró",$J$90&gt;=340,$J$90&lt;=3250)),1,0)*VLOOKUP($E$58,Paraméterek!$K$1:$L$4,2,0)*IF($O$90="Kizárás",1,1+$O$90),IF($E$61="Forint",0,2)))</f>
        <v>308</v>
      </c>
      <c r="AN90" s="60">
        <f ca="1">IF(OR(ISBLANK($E$52),AN$69&gt;$E$55),"",ROUND(VLOOKUP(AN$68,'MM-MC Tarifák'!$A$3:$AQ$67,HLOOKUP($E90,'MM-MC Tarifák'!$B$1:$AQ$2,2,0),0)/1000*$J$90*IF(OR(AND($E$61="Forint",$J$90&gt;=100000,$J$90&lt;=1000000),AND($E$61="Euró",$J$90&gt;=340,$J$90&lt;=3250)),1,0)*VLOOKUP($E$58,Paraméterek!$K$1:$L$4,2,0)*IF($O$90="Kizárás",1,1+$O$90),IF($E$61="Forint",0,2)))</f>
        <v>308</v>
      </c>
      <c r="AO90" s="60">
        <f ca="1">IF(OR(ISBLANK($E$52),AO$69&gt;$E$55),"",ROUND(VLOOKUP(AO$68,'MM-MC Tarifák'!$A$3:$AQ$67,HLOOKUP($E90,'MM-MC Tarifák'!$B$1:$AQ$2,2,0),0)/1000*$J$90*IF(OR(AND($E$61="Forint",$J$90&gt;=100000,$J$90&lt;=1000000),AND($E$61="Euró",$J$90&gt;=340,$J$90&lt;=3250)),1,0)*VLOOKUP($E$58,Paraméterek!$K$1:$L$4,2,0)*IF($O$90="Kizárás",1,1+$O$90),IF($E$61="Forint",0,2)))</f>
        <v>308</v>
      </c>
      <c r="AP90" s="60">
        <f ca="1">IF(OR(ISBLANK($E$52),AP$69&gt;$E$55),"",ROUND(VLOOKUP(AP$68,'MM-MC Tarifák'!$A$3:$AQ$67,HLOOKUP($E90,'MM-MC Tarifák'!$B$1:$AQ$2,2,0),0)/1000*$J$90*IF(OR(AND($E$61="Forint",$J$90&gt;=100000,$J$90&lt;=1000000),AND($E$61="Euró",$J$90&gt;=340,$J$90&lt;=3250)),1,0)*VLOOKUP($E$58,Paraméterek!$K$1:$L$4,2,0)*IF($O$90="Kizárás",1,1+$O$90),IF($E$61="Forint",0,2)))</f>
        <v>0</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203" t="s">
        <v>22</v>
      </c>
      <c r="C93" s="203"/>
      <c r="D93" s="203"/>
      <c r="E93" s="139" t="s">
        <v>79</v>
      </c>
      <c r="F93" s="140"/>
      <c r="G93" s="140"/>
      <c r="H93" s="140"/>
      <c r="I93" s="140"/>
      <c r="J93" s="140"/>
      <c r="K93" s="141"/>
      <c r="L93" s="186">
        <f>IF($G$5="MetMax",MetMax!$J$79,IF($G$5="MetCare",MetCare!$J$83,Nelson!$N$50))</f>
        <v>0</v>
      </c>
      <c r="M93" s="186"/>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203"/>
      <c r="C94" s="203"/>
      <c r="D94" s="203"/>
      <c r="E94" s="139" t="s">
        <v>23</v>
      </c>
      <c r="F94" s="140"/>
      <c r="G94" s="140"/>
      <c r="H94" s="140"/>
      <c r="I94" s="140"/>
      <c r="J94" s="140"/>
      <c r="K94" s="141"/>
      <c r="L94" s="186">
        <f>IF($G$5="MetMax",MetMax!$J$80,IF($G$5="MetCare",MetCare!$J$84,Nelson!$N$51))</f>
        <v>0</v>
      </c>
      <c r="M94" s="186"/>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59</v>
      </c>
      <c r="R99" s="60">
        <f ca="1">IF(SUMIF($L$70:$M$94,"Ezt kérem!",R$70:R$94)-SUMIF($N$70:$N$94,"!",R$70:R$94)&lt;IF($E$61="Forint",VLOOKUP($E$58,Paraméterek!$K$1:$Q$4,4,0),IF($E$59="Postai",SUMIF($L$70:$M$94,"Ezt kérem!",R$70:R$94)-SUMIF($N$70:$N$94,"!",R$70:R$94)+1,VLOOKUP($E$58,Paraméterek!$K$1:$Q$4,7,0))),0,SUMIF($L$70:$M$94,"Ezt kérem!",R$70:R$94)-SUMIF($N$70:$N$94,"!",R$70:R$94))</f>
        <v>2927</v>
      </c>
      <c r="S99" s="60">
        <f ca="1">IF(SUMIF($L$70:$M$94,"Ezt kérem!",S$70:S$94)-SUMIF($N$70:$N$94,"!",S$70:S$94)&lt;IF($E$61="Forint",VLOOKUP($E$58,Paraméterek!$K$1:$Q$4,4,0),IF($E$59="Postai",SUMIF($L$70:$M$94,"Ezt kérem!",S$70:S$94)-SUMIF($N$70:$N$94,"!",S$70:S$94)+1,VLOOKUP($E$58,Paraméterek!$K$1:$Q$4,7,0))),0,SUMIF($L$70:$M$94,"Ezt kérem!",S$70:S$94)-SUMIF($N$70:$N$94,"!",S$70:S$94))</f>
        <v>3200</v>
      </c>
      <c r="T99" s="60">
        <f ca="1">IF(SUMIF($L$70:$M$94,"Ezt kérem!",T$70:T$94)-SUMIF($N$70:$N$94,"!",T$70:T$94)&lt;IF($E$61="Forint",VLOOKUP($E$58,Paraméterek!$K$1:$Q$4,4,0),IF($E$59="Postai",SUMIF($L$70:$M$94,"Ezt kérem!",T$70:T$94)-SUMIF($N$70:$N$94,"!",T$70:T$94)+1,VLOOKUP($E$58,Paraméterek!$K$1:$Q$4,7,0))),0,SUMIF($L$70:$M$94,"Ezt kérem!",T$70:T$94)-SUMIF($N$70:$N$94,"!",T$70:T$94))</f>
        <v>3516</v>
      </c>
      <c r="U99" s="60">
        <f ca="1">IF(SUMIF($L$70:$M$94,"Ezt kérem!",U$70:U$94)-SUMIF($N$70:$N$94,"!",U$70:U$94)&lt;IF($E$61="Forint",VLOOKUP($E$58,Paraméterek!$K$1:$Q$4,4,0),IF($E$59="Postai",SUMIF($L$70:$M$94,"Ezt kérem!",U$70:U$94)-SUMIF($N$70:$N$94,"!",U$70:U$94)+1,VLOOKUP($E$58,Paraméterek!$K$1:$Q$4,7,0))),0,SUMIF($L$70:$M$94,"Ezt kérem!",U$70:U$94)-SUMIF($N$70:$N$94,"!",U$70:U$94))</f>
        <v>3872</v>
      </c>
      <c r="V99" s="60">
        <f ca="1">IF(SUMIF($L$70:$M$94,"Ezt kérem!",V$70:V$94)-SUMIF($N$70:$N$94,"!",V$70:V$94)&lt;IF($E$61="Forint",VLOOKUP($E$58,Paraméterek!$K$1:$Q$4,4,0),IF($E$59="Postai",SUMIF($L$70:$M$94,"Ezt kérem!",V$70:V$94)-SUMIF($N$70:$N$94,"!",V$70:V$94)+1,VLOOKUP($E$58,Paraméterek!$K$1:$Q$4,7,0))),0,SUMIF($L$70:$M$94,"Ezt kérem!",V$70:V$94)-SUMIF($N$70:$N$94,"!",V$70:V$94))</f>
        <v>4287</v>
      </c>
      <c r="W99" s="60">
        <f ca="1">IF(SUMIF($L$70:$M$94,"Ezt kérem!",W$70:W$94)-SUMIF($N$70:$N$94,"!",W$70:W$94)&lt;IF($E$61="Forint",VLOOKUP($E$58,Paraméterek!$K$1:$Q$4,4,0),IF($E$59="Postai",SUMIF($L$70:$M$94,"Ezt kérem!",W$70:W$94)-SUMIF($N$70:$N$94,"!",W$70:W$94)+1,VLOOKUP($E$58,Paraméterek!$K$1:$Q$4,7,0))),0,SUMIF($L$70:$M$94,"Ezt kérem!",W$70:W$94)-SUMIF($N$70:$N$94,"!",W$70:W$94))</f>
        <v>4773</v>
      </c>
      <c r="X99" s="60">
        <f ca="1">IF(SUMIF($L$70:$M$94,"Ezt kérem!",X$70:X$94)-SUMIF($N$70:$N$94,"!",X$70:X$94)&lt;IF($E$61="Forint",VLOOKUP($E$58,Paraméterek!$K$1:$Q$4,4,0),IF($E$59="Postai",SUMIF($L$70:$M$94,"Ezt kérem!",X$70:X$94)-SUMIF($N$70:$N$94,"!",X$70:X$94)+1,VLOOKUP($E$58,Paraméterek!$K$1:$Q$4,7,0))),0,SUMIF($L$70:$M$94,"Ezt kérem!",X$70:X$94)-SUMIF($N$70:$N$94,"!",X$70:X$94))</f>
        <v>5331</v>
      </c>
      <c r="Y99" s="60">
        <f ca="1">IF(SUMIF($L$70:$M$94,"Ezt kérem!",Y$70:Y$94)-SUMIF($N$70:$N$94,"!",Y$70:Y$94)&lt;IF($E$61="Forint",VLOOKUP($E$58,Paraméterek!$K$1:$Q$4,4,0),IF($E$59="Postai",SUMIF($L$70:$M$94,"Ezt kérem!",Y$70:Y$94)-SUMIF($N$70:$N$94,"!",Y$70:Y$94)+1,VLOOKUP($E$58,Paraméterek!$K$1:$Q$4,7,0))),0,SUMIF($L$70:$M$94,"Ezt kérem!",Y$70:Y$94)-SUMIF($N$70:$N$94,"!",Y$70:Y$94))</f>
        <v>5926</v>
      </c>
      <c r="Z99" s="60">
        <f ca="1">IF(SUMIF($L$70:$M$94,"Ezt kérem!",Z$70:Z$94)-SUMIF($N$70:$N$94,"!",Z$70:Z$94)&lt;IF($E$61="Forint",VLOOKUP($E$58,Paraméterek!$K$1:$Q$4,4,0),IF($E$59="Postai",SUMIF($L$70:$M$94,"Ezt kérem!",Z$70:Z$94)-SUMIF($N$70:$N$94,"!",Z$70:Z$94)+1,VLOOKUP($E$58,Paraméterek!$K$1:$Q$4,7,0))),0,SUMIF($L$70:$M$94,"Ezt kérem!",Z$70:Z$94)-SUMIF($N$70:$N$94,"!",Z$70:Z$94))</f>
        <v>6546</v>
      </c>
      <c r="AA99" s="60">
        <f ca="1">IF(SUMIF($L$70:$M$94,"Ezt kérem!",AA$70:AA$94)-SUMIF($N$70:$N$94,"!",AA$70:AA$94)&lt;IF($E$61="Forint",VLOOKUP($E$58,Paraméterek!$K$1:$Q$4,4,0),IF($E$59="Postai",SUMIF($L$70:$M$94,"Ezt kérem!",AA$70:AA$94)-SUMIF($N$70:$N$94,"!",AA$70:AA$94)+1,VLOOKUP($E$58,Paraméterek!$K$1:$Q$4,7,0))),0,SUMIF($L$70:$M$94,"Ezt kérem!",AA$70:AA$94)-SUMIF($N$70:$N$94,"!",AA$70:AA$94))</f>
        <v>7164</v>
      </c>
      <c r="AB99" s="60">
        <f ca="1">IF(SUMIF($L$70:$M$94,"Ezt kérem!",AB$70:AB$94)-SUMIF($N$70:$N$94,"!",AB$70:AB$94)&lt;IF($E$61="Forint",VLOOKUP($E$58,Paraméterek!$K$1:$Q$4,4,0),IF($E$59="Postai",SUMIF($L$70:$M$94,"Ezt kérem!",AB$70:AB$94)-SUMIF($N$70:$N$94,"!",AB$70:AB$94)+1,VLOOKUP($E$58,Paraméterek!$K$1:$Q$4,7,0))),0,SUMIF($L$70:$M$94,"Ezt kérem!",AB$70:AB$94)-SUMIF($N$70:$N$94,"!",AB$70:AB$94))</f>
        <v>7789</v>
      </c>
      <c r="AC99" s="60">
        <f ca="1">IF(SUMIF($L$70:$M$94,"Ezt kérem!",AC$70:AC$94)-SUMIF($N$70:$N$94,"!",AC$70:AC$94)&lt;IF($E$61="Forint",VLOOKUP($E$58,Paraméterek!$K$1:$Q$4,4,0),IF($E$59="Postai",SUMIF($L$70:$M$94,"Ezt kérem!",AC$70:AC$94)-SUMIF($N$70:$N$94,"!",AC$70:AC$94)+1,VLOOKUP($E$58,Paraméterek!$K$1:$Q$4,7,0))),0,SUMIF($L$70:$M$94,"Ezt kérem!",AC$70:AC$94)-SUMIF($N$70:$N$94,"!",AC$70:AC$94))</f>
        <v>8433</v>
      </c>
      <c r="AD99" s="60">
        <f ca="1">IF(SUMIF($L$70:$M$94,"Ezt kérem!",AD$70:AD$94)-SUMIF($N$70:$N$94,"!",AD$70:AD$94)&lt;IF($E$61="Forint",VLOOKUP($E$58,Paraméterek!$K$1:$Q$4,4,0),IF($E$59="Postai",SUMIF($L$70:$M$94,"Ezt kérem!",AD$70:AD$94)-SUMIF($N$70:$N$94,"!",AD$70:AD$94)+1,VLOOKUP($E$58,Paraméterek!$K$1:$Q$4,7,0))),0,SUMIF($L$70:$M$94,"Ezt kérem!",AD$70:AD$94)-SUMIF($N$70:$N$94,"!",AD$70:AD$94))</f>
        <v>9087</v>
      </c>
      <c r="AE99" s="60">
        <f ca="1">IF(SUMIF($L$70:$M$94,"Ezt kérem!",AE$70:AE$94)-SUMIF($N$70:$N$94,"!",AE$70:AE$94)&lt;IF($E$61="Forint",VLOOKUP($E$58,Paraméterek!$K$1:$Q$4,4,0),IF($E$59="Postai",SUMIF($L$70:$M$94,"Ezt kérem!",AE$70:AE$94)-SUMIF($N$70:$N$94,"!",AE$70:AE$94)+1,VLOOKUP($E$58,Paraméterek!$K$1:$Q$4,7,0))),0,SUMIF($L$70:$M$94,"Ezt kérem!",AE$70:AE$94)-SUMIF($N$70:$N$94,"!",AE$70:AE$94))</f>
        <v>9756</v>
      </c>
      <c r="AF99" s="60">
        <f ca="1">IF(SUMIF($L$70:$M$94,"Ezt kérem!",AF$70:AF$94)-SUMIF($N$70:$N$94,"!",AF$70:AF$94)&lt;IF($E$61="Forint",VLOOKUP($E$58,Paraméterek!$K$1:$Q$4,4,0),IF($E$59="Postai",SUMIF($L$70:$M$94,"Ezt kérem!",AF$70:AF$94)-SUMIF($N$70:$N$94,"!",AF$70:AF$94)+1,VLOOKUP($E$58,Paraméterek!$K$1:$Q$4,7,0))),0,SUMIF($L$70:$M$94,"Ezt kérem!",AF$70:AF$94)-SUMIF($N$70:$N$94,"!",AF$70:AF$94))</f>
        <v>10439</v>
      </c>
      <c r="AG99" s="60">
        <f ca="1">IF(SUMIF($L$70:$M$94,"Ezt kérem!",AG$70:AG$94)-SUMIF($N$70:$N$94,"!",AG$70:AG$94)&lt;IF($E$61="Forint",VLOOKUP($E$58,Paraméterek!$K$1:$Q$4,4,0),IF($E$59="Postai",SUMIF($L$70:$M$94,"Ezt kérem!",AG$70:AG$94)-SUMIF($N$70:$N$94,"!",AG$70:AG$94)+1,VLOOKUP($E$58,Paraméterek!$K$1:$Q$4,7,0))),0,SUMIF($L$70:$M$94,"Ezt kérem!",AG$70:AG$94)-SUMIF($N$70:$N$94,"!",AG$70:AG$94))</f>
        <v>11127</v>
      </c>
      <c r="AH99" s="60">
        <f ca="1">IF(SUMIF($L$70:$M$94,"Ezt kérem!",AH$70:AH$94)-SUMIF($N$70:$N$94,"!",AH$70:AH$94)&lt;IF($E$61="Forint",VLOOKUP($E$58,Paraméterek!$K$1:$Q$4,4,0),IF($E$59="Postai",SUMIF($L$70:$M$94,"Ezt kérem!",AH$70:AH$94)-SUMIF($N$70:$N$94,"!",AH$70:AH$94)+1,VLOOKUP($E$58,Paraméterek!$K$1:$Q$4,7,0))),0,SUMIF($L$70:$M$94,"Ezt kérem!",AH$70:AH$94)-SUMIF($N$70:$N$94,"!",AH$70:AH$94))</f>
        <v>11827</v>
      </c>
      <c r="AI99" s="60">
        <f ca="1">IF(SUMIF($L$70:$M$94,"Ezt kérem!",AI$70:AI$94)-SUMIF($N$70:$N$94,"!",AI$70:AI$94)&lt;IF($E$61="Forint",VLOOKUP($E$58,Paraméterek!$K$1:$Q$4,4,0),IF($E$59="Postai",SUMIF($L$70:$M$94,"Ezt kérem!",AI$70:AI$94)-SUMIF($N$70:$N$94,"!",AI$70:AI$94)+1,VLOOKUP($E$58,Paraméterek!$K$1:$Q$4,7,0))),0,SUMIF($L$70:$M$94,"Ezt kérem!",AI$70:AI$94)-SUMIF($N$70:$N$94,"!",AI$70:AI$94))</f>
        <v>12537</v>
      </c>
      <c r="AJ99" s="60">
        <f ca="1">IF(SUMIF($L$70:$M$94,"Ezt kérem!",AJ$70:AJ$94)-SUMIF($N$70:$N$94,"!",AJ$70:AJ$94)&lt;IF($E$61="Forint",VLOOKUP($E$58,Paraméterek!$K$1:$Q$4,4,0),IF($E$59="Postai",SUMIF($L$70:$M$94,"Ezt kérem!",AJ$70:AJ$94)-SUMIF($N$70:$N$94,"!",AJ$70:AJ$94)+1,VLOOKUP($E$58,Paraméterek!$K$1:$Q$4,7,0))),0,SUMIF($L$70:$M$94,"Ezt kérem!",AJ$70:AJ$94)-SUMIF($N$70:$N$94,"!",AJ$70:AJ$94))</f>
        <v>13270</v>
      </c>
      <c r="AK99" s="60">
        <f ca="1">IF(SUMIF($L$70:$M$94,"Ezt kérem!",AK$70:AK$94)-SUMIF($N$70:$N$94,"!",AK$70:AK$94)&lt;IF($E$61="Forint",VLOOKUP($E$58,Paraméterek!$K$1:$Q$4,4,0),IF($E$59="Postai",SUMIF($L$70:$M$94,"Ezt kérem!",AK$70:AK$94)-SUMIF($N$70:$N$94,"!",AK$70:AK$94)+1,VLOOKUP($E$58,Paraméterek!$K$1:$Q$4,7,0))),0,SUMIF($L$70:$M$94,"Ezt kérem!",AK$70:AK$94)-SUMIF($N$70:$N$94,"!",AK$70:AK$94))</f>
        <v>14023</v>
      </c>
      <c r="AL99" s="60">
        <f ca="1">IF(SUMIF($L$70:$M$94,"Ezt kérem!",AL$70:AL$94)-SUMIF($N$70:$N$94,"!",AL$70:AL$94)&lt;IF($E$61="Forint",VLOOKUP($E$58,Paraméterek!$K$1:$Q$4,4,0),IF($E$59="Postai",SUMIF($L$70:$M$94,"Ezt kérem!",AL$70:AL$94)-SUMIF($N$70:$N$94,"!",AL$70:AL$94)+1,VLOOKUP($E$58,Paraméterek!$K$1:$Q$4,7,0))),0,SUMIF($L$70:$M$94,"Ezt kérem!",AL$70:AL$94)-SUMIF($N$70:$N$94,"!",AL$70:AL$94))</f>
        <v>14768</v>
      </c>
      <c r="AM99" s="60">
        <f ca="1">IF(SUMIF($L$70:$M$94,"Ezt kérem!",AM$70:AM$94)-SUMIF($N$70:$N$94,"!",AM$70:AM$94)&lt;IF($E$61="Forint",VLOOKUP($E$58,Paraméterek!$K$1:$Q$4,4,0),IF($E$59="Postai",SUMIF($L$70:$M$94,"Ezt kérem!",AM$70:AM$94)-SUMIF($N$70:$N$94,"!",AM$70:AM$94)+1,VLOOKUP($E$58,Paraméterek!$K$1:$Q$4,7,0))),0,SUMIF($L$70:$M$94,"Ezt kérem!",AM$70:AM$94)-SUMIF($N$70:$N$94,"!",AM$70:AM$94))</f>
        <v>15491</v>
      </c>
      <c r="AN99" s="60">
        <f ca="1">IF(SUMIF($L$70:$M$94,"Ezt kérem!",AN$70:AN$94)-SUMIF($N$70:$N$94,"!",AN$70:AN$94)&lt;IF($E$61="Forint",VLOOKUP($E$58,Paraméterek!$K$1:$Q$4,4,0),IF($E$59="Postai",SUMIF($L$70:$M$94,"Ezt kérem!",AN$70:AN$94)-SUMIF($N$70:$N$94,"!",AN$70:AN$94)+1,VLOOKUP($E$58,Paraméterek!$K$1:$Q$4,7,0))),0,SUMIF($L$70:$M$94,"Ezt kérem!",AN$70:AN$94)-SUMIF($N$70:$N$94,"!",AN$70:AN$94))</f>
        <v>16252</v>
      </c>
      <c r="AO99" s="60">
        <f ca="1">IF(SUMIF($L$70:$M$94,"Ezt kérem!",AO$70:AO$94)-SUMIF($N$70:$N$94,"!",AO$70:AO$94)&lt;IF($E$61="Forint",VLOOKUP($E$58,Paraméterek!$K$1:$Q$4,4,0),IF($E$59="Postai",SUMIF($L$70:$M$94,"Ezt kérem!",AO$70:AO$94)-SUMIF($N$70:$N$94,"!",AO$70:AO$94)+1,VLOOKUP($E$58,Paraméterek!$K$1:$Q$4,7,0))),0,SUMIF($L$70:$M$94,"Ezt kérem!",AO$70:AO$94)-SUMIF($N$70:$N$94,"!",AO$70:AO$94))</f>
        <v>17112</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92000</v>
      </c>
      <c r="S104" s="62">
        <f ca="1">$R$104</f>
        <v>92000</v>
      </c>
      <c r="T104" s="62">
        <f t="shared" ref="T104:AP104" ca="1" si="6">$R$104</f>
        <v>92000</v>
      </c>
      <c r="U104" s="62">
        <f t="shared" ca="1" si="6"/>
        <v>92000</v>
      </c>
      <c r="V104" s="62">
        <f t="shared" ca="1" si="6"/>
        <v>92000</v>
      </c>
      <c r="W104" s="62">
        <f t="shared" ca="1" si="6"/>
        <v>92000</v>
      </c>
      <c r="X104" s="62">
        <f t="shared" ca="1" si="6"/>
        <v>92000</v>
      </c>
      <c r="Y104" s="62">
        <f t="shared" ca="1" si="6"/>
        <v>92000</v>
      </c>
      <c r="Z104" s="62">
        <f t="shared" ca="1" si="6"/>
        <v>92000</v>
      </c>
      <c r="AA104" s="62">
        <f t="shared" ca="1" si="6"/>
        <v>92000</v>
      </c>
      <c r="AB104" s="62">
        <f t="shared" ca="1" si="6"/>
        <v>92000</v>
      </c>
      <c r="AC104" s="62">
        <f t="shared" ca="1" si="6"/>
        <v>92000</v>
      </c>
      <c r="AD104" s="62">
        <f t="shared" ca="1" si="6"/>
        <v>92000</v>
      </c>
      <c r="AE104" s="62">
        <f t="shared" ca="1" si="6"/>
        <v>92000</v>
      </c>
      <c r="AF104" s="62">
        <f t="shared" ca="1" si="6"/>
        <v>92000</v>
      </c>
      <c r="AG104" s="62">
        <f t="shared" ca="1" si="6"/>
        <v>92000</v>
      </c>
      <c r="AH104" s="62">
        <f t="shared" ca="1" si="6"/>
        <v>92000</v>
      </c>
      <c r="AI104" s="62">
        <f t="shared" ca="1" si="6"/>
        <v>92000</v>
      </c>
      <c r="AJ104" s="62">
        <f t="shared" ca="1" si="6"/>
        <v>92000</v>
      </c>
      <c r="AK104" s="62">
        <f t="shared" ca="1" si="6"/>
        <v>92000</v>
      </c>
      <c r="AL104" s="62">
        <f t="shared" ca="1" si="6"/>
        <v>92000</v>
      </c>
      <c r="AM104" s="62">
        <f t="shared" ca="1" si="6"/>
        <v>92000</v>
      </c>
      <c r="AN104" s="62">
        <f t="shared" ca="1" si="6"/>
        <v>92000</v>
      </c>
      <c r="AO104" s="62">
        <f t="shared" ca="1" si="6"/>
        <v>92000</v>
      </c>
      <c r="AP104" s="62">
        <f t="shared" ca="1" si="6"/>
        <v>92000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41400</v>
      </c>
      <c r="S108" s="62">
        <f t="shared" ref="S108:AP108" ca="1" si="8">IF(S$68&gt;64,0,$R$108)</f>
        <v>41400</v>
      </c>
      <c r="T108" s="62">
        <f t="shared" ca="1" si="8"/>
        <v>41400</v>
      </c>
      <c r="U108" s="62">
        <f t="shared" ca="1" si="8"/>
        <v>41400</v>
      </c>
      <c r="V108" s="62">
        <f t="shared" ca="1" si="8"/>
        <v>41400</v>
      </c>
      <c r="W108" s="62">
        <f t="shared" ca="1" si="8"/>
        <v>41400</v>
      </c>
      <c r="X108" s="62">
        <f t="shared" ca="1" si="8"/>
        <v>41400</v>
      </c>
      <c r="Y108" s="62">
        <f t="shared" ca="1" si="8"/>
        <v>41400</v>
      </c>
      <c r="Z108" s="62">
        <f t="shared" ca="1" si="8"/>
        <v>41400</v>
      </c>
      <c r="AA108" s="62">
        <f t="shared" ca="1" si="8"/>
        <v>41400</v>
      </c>
      <c r="AB108" s="62">
        <f t="shared" ca="1" si="8"/>
        <v>41400</v>
      </c>
      <c r="AC108" s="62">
        <f t="shared" ca="1" si="8"/>
        <v>41400</v>
      </c>
      <c r="AD108" s="62">
        <f t="shared" ca="1" si="8"/>
        <v>41400</v>
      </c>
      <c r="AE108" s="62">
        <f t="shared" ca="1" si="8"/>
        <v>41400</v>
      </c>
      <c r="AF108" s="62">
        <f t="shared" ca="1" si="8"/>
        <v>41400</v>
      </c>
      <c r="AG108" s="62">
        <f t="shared" ca="1" si="8"/>
        <v>41400</v>
      </c>
      <c r="AH108" s="62">
        <f t="shared" ca="1" si="8"/>
        <v>41400</v>
      </c>
      <c r="AI108" s="62">
        <f t="shared" ca="1" si="8"/>
        <v>41400</v>
      </c>
      <c r="AJ108" s="62">
        <f t="shared" ca="1" si="8"/>
        <v>41400</v>
      </c>
      <c r="AK108" s="62">
        <f t="shared" ca="1" si="8"/>
        <v>41400</v>
      </c>
      <c r="AL108" s="62">
        <f t="shared" ca="1" si="8"/>
        <v>41400</v>
      </c>
      <c r="AM108" s="62">
        <f t="shared" ca="1" si="8"/>
        <v>41400</v>
      </c>
      <c r="AN108" s="62">
        <f t="shared" ca="1" si="8"/>
        <v>41400</v>
      </c>
      <c r="AO108" s="62">
        <f t="shared" ca="1" si="8"/>
        <v>41400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59400</v>
      </c>
      <c r="S109" s="62">
        <f t="shared" ref="S109:AP109" ca="1" si="9">IF(S$68&gt;64,0,$R$109)</f>
        <v>59400</v>
      </c>
      <c r="T109" s="62">
        <f t="shared" ca="1" si="9"/>
        <v>59400</v>
      </c>
      <c r="U109" s="62">
        <f t="shared" ca="1" si="9"/>
        <v>59400</v>
      </c>
      <c r="V109" s="62">
        <f t="shared" ca="1" si="9"/>
        <v>59400</v>
      </c>
      <c r="W109" s="62">
        <f t="shared" ca="1" si="9"/>
        <v>59400</v>
      </c>
      <c r="X109" s="62">
        <f t="shared" ca="1" si="9"/>
        <v>59400</v>
      </c>
      <c r="Y109" s="62">
        <f t="shared" ca="1" si="9"/>
        <v>59400</v>
      </c>
      <c r="Z109" s="62">
        <f t="shared" ca="1" si="9"/>
        <v>59400</v>
      </c>
      <c r="AA109" s="62">
        <f t="shared" ca="1" si="9"/>
        <v>59400</v>
      </c>
      <c r="AB109" s="62">
        <f t="shared" ca="1" si="9"/>
        <v>59400</v>
      </c>
      <c r="AC109" s="62">
        <f t="shared" ca="1" si="9"/>
        <v>59400</v>
      </c>
      <c r="AD109" s="62">
        <f t="shared" ca="1" si="9"/>
        <v>59400</v>
      </c>
      <c r="AE109" s="62">
        <f t="shared" ca="1" si="9"/>
        <v>59400</v>
      </c>
      <c r="AF109" s="62">
        <f t="shared" ca="1" si="9"/>
        <v>59400</v>
      </c>
      <c r="AG109" s="62">
        <f t="shared" ca="1" si="9"/>
        <v>59400</v>
      </c>
      <c r="AH109" s="62">
        <f t="shared" ca="1" si="9"/>
        <v>59400</v>
      </c>
      <c r="AI109" s="62">
        <f t="shared" ca="1" si="9"/>
        <v>59400</v>
      </c>
      <c r="AJ109" s="62">
        <f t="shared" ca="1" si="9"/>
        <v>59400</v>
      </c>
      <c r="AK109" s="62">
        <f t="shared" ca="1" si="9"/>
        <v>59400</v>
      </c>
      <c r="AL109" s="62">
        <f t="shared" ca="1" si="9"/>
        <v>59400</v>
      </c>
      <c r="AM109" s="62">
        <f t="shared" ca="1" si="9"/>
        <v>59400</v>
      </c>
      <c r="AN109" s="62">
        <f t="shared" ca="1" si="9"/>
        <v>59400</v>
      </c>
      <c r="AO109" s="62">
        <f t="shared" ca="1" si="9"/>
        <v>59400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74100</v>
      </c>
      <c r="S110" s="62">
        <f t="shared" ref="S110:AP110" ca="1" si="10">IF(S$68&gt;64,0,$R$110)</f>
        <v>74100</v>
      </c>
      <c r="T110" s="62">
        <f t="shared" ca="1" si="10"/>
        <v>74100</v>
      </c>
      <c r="U110" s="62">
        <f t="shared" ca="1" si="10"/>
        <v>74100</v>
      </c>
      <c r="V110" s="62">
        <f t="shared" ca="1" si="10"/>
        <v>74100</v>
      </c>
      <c r="W110" s="62">
        <f t="shared" ca="1" si="10"/>
        <v>74100</v>
      </c>
      <c r="X110" s="62">
        <f t="shared" ca="1" si="10"/>
        <v>74100</v>
      </c>
      <c r="Y110" s="62">
        <f t="shared" ca="1" si="10"/>
        <v>74100</v>
      </c>
      <c r="Z110" s="62">
        <f t="shared" ca="1" si="10"/>
        <v>74100</v>
      </c>
      <c r="AA110" s="62">
        <f t="shared" ca="1" si="10"/>
        <v>74100</v>
      </c>
      <c r="AB110" s="62">
        <f t="shared" ca="1" si="10"/>
        <v>74100</v>
      </c>
      <c r="AC110" s="62">
        <f t="shared" ca="1" si="10"/>
        <v>74100</v>
      </c>
      <c r="AD110" s="62">
        <f t="shared" ca="1" si="10"/>
        <v>74100</v>
      </c>
      <c r="AE110" s="62">
        <f t="shared" ca="1" si="10"/>
        <v>74100</v>
      </c>
      <c r="AF110" s="62">
        <f t="shared" ca="1" si="10"/>
        <v>74100</v>
      </c>
      <c r="AG110" s="62">
        <f t="shared" ca="1" si="10"/>
        <v>74100</v>
      </c>
      <c r="AH110" s="62">
        <f t="shared" ca="1" si="10"/>
        <v>74100</v>
      </c>
      <c r="AI110" s="62">
        <f t="shared" ca="1" si="10"/>
        <v>74100</v>
      </c>
      <c r="AJ110" s="62">
        <f t="shared" ca="1" si="10"/>
        <v>74100</v>
      </c>
      <c r="AK110" s="62">
        <f t="shared" ca="1" si="10"/>
        <v>74100</v>
      </c>
      <c r="AL110" s="62">
        <f t="shared" ca="1" si="10"/>
        <v>74100</v>
      </c>
      <c r="AM110" s="62">
        <f t="shared" ca="1" si="10"/>
        <v>74100</v>
      </c>
      <c r="AN110" s="62">
        <f t="shared" ca="1" si="10"/>
        <v>74100</v>
      </c>
      <c r="AO110" s="62">
        <f t="shared" ca="1" si="10"/>
        <v>74100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9500</v>
      </c>
      <c r="AM113" s="62">
        <f t="shared" ca="1" si="11"/>
        <v>9500</v>
      </c>
      <c r="AN113" s="62">
        <f t="shared" ca="1" si="11"/>
        <v>9500</v>
      </c>
      <c r="AO113" s="62">
        <f t="shared" ca="1" si="11"/>
        <v>9500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38640</v>
      </c>
      <c r="S117" s="62">
        <f ca="1">IF(S$68&gt;59,0,$R$117)</f>
        <v>38640</v>
      </c>
      <c r="T117" s="62">
        <f t="shared" ref="T117:AP117" ca="1" si="13">IF(T$68&gt;59,0,$R$117)</f>
        <v>38640</v>
      </c>
      <c r="U117" s="62">
        <f t="shared" ca="1" si="13"/>
        <v>38640</v>
      </c>
      <c r="V117" s="62">
        <f t="shared" ca="1" si="13"/>
        <v>38640</v>
      </c>
      <c r="W117" s="62">
        <f t="shared" ca="1" si="13"/>
        <v>38640</v>
      </c>
      <c r="X117" s="62">
        <f t="shared" ca="1" si="13"/>
        <v>38640</v>
      </c>
      <c r="Y117" s="62">
        <f t="shared" ca="1" si="13"/>
        <v>38640</v>
      </c>
      <c r="Z117" s="62">
        <f t="shared" ca="1" si="13"/>
        <v>38640</v>
      </c>
      <c r="AA117" s="62">
        <f t="shared" ca="1" si="13"/>
        <v>38640</v>
      </c>
      <c r="AB117" s="62">
        <f t="shared" ca="1" si="13"/>
        <v>38640</v>
      </c>
      <c r="AC117" s="62">
        <f t="shared" ca="1" si="13"/>
        <v>38640</v>
      </c>
      <c r="AD117" s="62">
        <f t="shared" ca="1" si="13"/>
        <v>38640</v>
      </c>
      <c r="AE117" s="62">
        <f t="shared" ca="1" si="13"/>
        <v>38640</v>
      </c>
      <c r="AF117" s="62">
        <f t="shared" ca="1" si="13"/>
        <v>38640</v>
      </c>
      <c r="AG117" s="62">
        <f t="shared" ca="1" si="13"/>
        <v>38640</v>
      </c>
      <c r="AH117" s="62">
        <f t="shared" ca="1" si="13"/>
        <v>38640</v>
      </c>
      <c r="AI117" s="62">
        <f t="shared" ca="1" si="13"/>
        <v>38640</v>
      </c>
      <c r="AJ117" s="62">
        <f t="shared" ca="1" si="13"/>
        <v>38640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49280</v>
      </c>
      <c r="S121" s="62">
        <f ca="1">IF(S$68&gt;59,0,$R$121)</f>
        <v>49280</v>
      </c>
      <c r="T121" s="62">
        <f t="shared" ref="T121:AP121" ca="1" si="15">IF(T$68&gt;59,0,$R$121)</f>
        <v>49280</v>
      </c>
      <c r="U121" s="62">
        <f t="shared" ca="1" si="15"/>
        <v>49280</v>
      </c>
      <c r="V121" s="62">
        <f t="shared" ca="1" si="15"/>
        <v>49280</v>
      </c>
      <c r="W121" s="62">
        <f t="shared" ca="1" si="15"/>
        <v>49280</v>
      </c>
      <c r="X121" s="62">
        <f t="shared" ca="1" si="15"/>
        <v>49280</v>
      </c>
      <c r="Y121" s="62">
        <f t="shared" ca="1" si="15"/>
        <v>49280</v>
      </c>
      <c r="Z121" s="62">
        <f t="shared" ca="1" si="15"/>
        <v>49280</v>
      </c>
      <c r="AA121" s="62">
        <f t="shared" ca="1" si="15"/>
        <v>49280</v>
      </c>
      <c r="AB121" s="62">
        <f t="shared" ca="1" si="15"/>
        <v>49280</v>
      </c>
      <c r="AC121" s="62">
        <f t="shared" ca="1" si="15"/>
        <v>49280</v>
      </c>
      <c r="AD121" s="62">
        <f t="shared" ca="1" si="15"/>
        <v>49280</v>
      </c>
      <c r="AE121" s="62">
        <f t="shared" ca="1" si="15"/>
        <v>49280</v>
      </c>
      <c r="AF121" s="62">
        <f t="shared" ca="1" si="15"/>
        <v>49280</v>
      </c>
      <c r="AG121" s="62">
        <f t="shared" ca="1" si="15"/>
        <v>49280</v>
      </c>
      <c r="AH121" s="62">
        <f t="shared" ca="1" si="15"/>
        <v>49280</v>
      </c>
      <c r="AI121" s="62">
        <f t="shared" ca="1" si="15"/>
        <v>49280</v>
      </c>
      <c r="AJ121" s="62">
        <f t="shared" ca="1" si="15"/>
        <v>49280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5760</v>
      </c>
      <c r="AM124" s="62">
        <f t="shared" ca="1" si="16"/>
        <v>5760</v>
      </c>
      <c r="AN124" s="62">
        <f t="shared" ca="1" si="16"/>
        <v>5760</v>
      </c>
      <c r="AO124" s="62">
        <f t="shared" ca="1" si="16"/>
        <v>5760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130640</v>
      </c>
      <c r="S130" s="62">
        <f ca="1">IF(OR(ISBLANK($E$52),ISBLANK($E$55)),"",SUMIF($L$70:$M$94,"Ezt kérem!",S$104:S$128)-SUMIF($N$70:$N$94,"!",S$104:S$128))</f>
        <v>130640</v>
      </c>
      <c r="T130" s="62">
        <f t="shared" ref="T130:AP130" ca="1" si="19">IF(OR(ISBLANK($E$52),ISBLANK($E$55)),"",SUMIF($L$70:$M$94,"Ezt kérem!",T$104:T$128)-SUMIF($N$70:$N$94,"!",T$104:T$128))</f>
        <v>130640</v>
      </c>
      <c r="U130" s="62">
        <f t="shared" ca="1" si="19"/>
        <v>130640</v>
      </c>
      <c r="V130" s="62">
        <f t="shared" ca="1" si="19"/>
        <v>130640</v>
      </c>
      <c r="W130" s="62">
        <f t="shared" ca="1" si="19"/>
        <v>130640</v>
      </c>
      <c r="X130" s="62">
        <f t="shared" ca="1" si="19"/>
        <v>130640</v>
      </c>
      <c r="Y130" s="62">
        <f t="shared" ca="1" si="19"/>
        <v>130640</v>
      </c>
      <c r="Z130" s="62">
        <f t="shared" ca="1" si="19"/>
        <v>130640</v>
      </c>
      <c r="AA130" s="62">
        <f t="shared" ca="1" si="19"/>
        <v>130640</v>
      </c>
      <c r="AB130" s="62">
        <f t="shared" ca="1" si="19"/>
        <v>130640</v>
      </c>
      <c r="AC130" s="62">
        <f t="shared" ca="1" si="19"/>
        <v>130640</v>
      </c>
      <c r="AD130" s="62">
        <f t="shared" ca="1" si="19"/>
        <v>130640</v>
      </c>
      <c r="AE130" s="62">
        <f t="shared" ca="1" si="19"/>
        <v>130640</v>
      </c>
      <c r="AF130" s="62">
        <f t="shared" ca="1" si="19"/>
        <v>130640</v>
      </c>
      <c r="AG130" s="62">
        <f t="shared" ca="1" si="19"/>
        <v>130640</v>
      </c>
      <c r="AH130" s="62">
        <f t="shared" ca="1" si="19"/>
        <v>130640</v>
      </c>
      <c r="AI130" s="62">
        <f t="shared" ca="1" si="19"/>
        <v>130640</v>
      </c>
      <c r="AJ130" s="62">
        <f t="shared" ca="1" si="19"/>
        <v>130640</v>
      </c>
      <c r="AK130" s="62">
        <f t="shared" ca="1" si="19"/>
        <v>92000</v>
      </c>
      <c r="AL130" s="62">
        <f t="shared" ca="1" si="19"/>
        <v>92000</v>
      </c>
      <c r="AM130" s="62">
        <f t="shared" ca="1" si="19"/>
        <v>92000</v>
      </c>
      <c r="AN130" s="62">
        <f t="shared" ca="1" si="19"/>
        <v>92000</v>
      </c>
      <c r="AO130" s="62">
        <f t="shared" ca="1" si="19"/>
        <v>92000</v>
      </c>
      <c r="AP130" s="62">
        <f t="shared" ca="1" si="19"/>
        <v>92000</v>
      </c>
    </row>
    <row r="131" spans="1:42" hidden="1" x14ac:dyDescent="0.2">
      <c r="A131" s="12" t="s">
        <v>406</v>
      </c>
      <c r="Q131" s="61" t="s">
        <v>88</v>
      </c>
      <c r="R131" s="62">
        <f ca="1">IF(OR(ISBLANK($E$52),ISBLANK($E$55)),"",IF(R$130&gt;365500,(R$130-365500)*50%+161590,IF(R$130&gt;116900,(R$130-116900)*65%,0)))</f>
        <v>8931</v>
      </c>
      <c r="S131" s="62">
        <f ca="1">IF(OR(ISBLANK($E$52),ISBLANK($E$55)),"",IF(S$130&gt;365500,(S$130-365500)*50%+161590,IF(S$130&gt;116900,(S$130-116900)*65%,0)))</f>
        <v>8931</v>
      </c>
      <c r="T131" s="62">
        <f t="shared" ref="T131:AP131" ca="1" si="20">IF(OR(ISBLANK($E$52),ISBLANK($E$55)),"",IF(T$130&gt;365500,(T$130-365500)*50%+161590,IF(T$130&gt;116900,(T$130-116900)*65%,0)))</f>
        <v>8931</v>
      </c>
      <c r="U131" s="62">
        <f t="shared" ca="1" si="20"/>
        <v>8931</v>
      </c>
      <c r="V131" s="62">
        <f t="shared" ca="1" si="20"/>
        <v>8931</v>
      </c>
      <c r="W131" s="62">
        <f t="shared" ca="1" si="20"/>
        <v>8931</v>
      </c>
      <c r="X131" s="62">
        <f t="shared" ca="1" si="20"/>
        <v>8931</v>
      </c>
      <c r="Y131" s="62">
        <f t="shared" ca="1" si="20"/>
        <v>8931</v>
      </c>
      <c r="Z131" s="62">
        <f t="shared" ca="1" si="20"/>
        <v>8931</v>
      </c>
      <c r="AA131" s="62">
        <f t="shared" ca="1" si="20"/>
        <v>8931</v>
      </c>
      <c r="AB131" s="62">
        <f t="shared" ca="1" si="20"/>
        <v>8931</v>
      </c>
      <c r="AC131" s="62">
        <f t="shared" ca="1" si="20"/>
        <v>8931</v>
      </c>
      <c r="AD131" s="62">
        <f t="shared" ca="1" si="20"/>
        <v>8931</v>
      </c>
      <c r="AE131" s="62">
        <f t="shared" ca="1" si="20"/>
        <v>8931</v>
      </c>
      <c r="AF131" s="62">
        <f t="shared" ca="1" si="20"/>
        <v>8931</v>
      </c>
      <c r="AG131" s="62">
        <f t="shared" ca="1" si="20"/>
        <v>8931</v>
      </c>
      <c r="AH131" s="62">
        <f t="shared" ca="1" si="20"/>
        <v>8931</v>
      </c>
      <c r="AI131" s="62">
        <f t="shared" ca="1" si="20"/>
        <v>8931</v>
      </c>
      <c r="AJ131" s="62">
        <f t="shared" ca="1" si="20"/>
        <v>8931</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121709</v>
      </c>
      <c r="S132" s="62">
        <f ca="1">IF(OR(ISBLANK($E$52),ISBLANK($E$55)),"",S$130-S$131)</f>
        <v>121709</v>
      </c>
      <c r="T132" s="62">
        <f t="shared" ref="T132:AP132" ca="1" si="21">IF(OR(ISBLANK($E$52),ISBLANK($E$55)),"",T$130-T$131)</f>
        <v>121709</v>
      </c>
      <c r="U132" s="62">
        <f t="shared" ca="1" si="21"/>
        <v>121709</v>
      </c>
      <c r="V132" s="62">
        <f t="shared" ca="1" si="21"/>
        <v>121709</v>
      </c>
      <c r="W132" s="62">
        <f t="shared" ca="1" si="21"/>
        <v>121709</v>
      </c>
      <c r="X132" s="62">
        <f t="shared" ca="1" si="21"/>
        <v>121709</v>
      </c>
      <c r="Y132" s="62">
        <f t="shared" ca="1" si="21"/>
        <v>121709</v>
      </c>
      <c r="Z132" s="62">
        <f t="shared" ca="1" si="21"/>
        <v>121709</v>
      </c>
      <c r="AA132" s="62">
        <f t="shared" ca="1" si="21"/>
        <v>121709</v>
      </c>
      <c r="AB132" s="62">
        <f t="shared" ca="1" si="21"/>
        <v>121709</v>
      </c>
      <c r="AC132" s="62">
        <f t="shared" ca="1" si="21"/>
        <v>121709</v>
      </c>
      <c r="AD132" s="62">
        <f t="shared" ca="1" si="21"/>
        <v>121709</v>
      </c>
      <c r="AE132" s="62">
        <f t="shared" ca="1" si="21"/>
        <v>121709</v>
      </c>
      <c r="AF132" s="62">
        <f t="shared" ca="1" si="21"/>
        <v>121709</v>
      </c>
      <c r="AG132" s="62">
        <f t="shared" ca="1" si="21"/>
        <v>121709</v>
      </c>
      <c r="AH132" s="62">
        <f t="shared" ca="1" si="21"/>
        <v>121709</v>
      </c>
      <c r="AI132" s="62">
        <f t="shared" ca="1" si="21"/>
        <v>121709</v>
      </c>
      <c r="AJ132" s="62">
        <f t="shared" ca="1" si="21"/>
        <v>121709</v>
      </c>
      <c r="AK132" s="62">
        <f t="shared" ca="1" si="21"/>
        <v>92000</v>
      </c>
      <c r="AL132" s="62">
        <f t="shared" ca="1" si="21"/>
        <v>92000</v>
      </c>
      <c r="AM132" s="62">
        <f t="shared" ca="1" si="21"/>
        <v>92000</v>
      </c>
      <c r="AN132" s="62">
        <f t="shared" ca="1" si="21"/>
        <v>92000</v>
      </c>
      <c r="AO132" s="62">
        <f t="shared" ca="1" si="21"/>
        <v>92000</v>
      </c>
      <c r="AP132" s="62">
        <f t="shared" ca="1" si="21"/>
        <v>92000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10402.46823</v>
      </c>
      <c r="S133" s="62">
        <f ca="1">IF(OR(ISBLANK($E$52),ISBLANK($E$55)),"",IF(ISBLANK($J$70),"",$R$132*VLOOKUP($E$58,Paraméterek!$K$1:$L$4,2,0)*(1-SUMIF($L$93:$M$94,"Ezt kérem!",S$127:S$128)/S$130)+SUMIF($L$93:$M$94,"Ezt kérem!",S$127:S$128)/S$130*S$132/VLOOKUP($E$58,Paraméterek!$K$1:$M$4,3,0)))</f>
        <v>10402.46823</v>
      </c>
      <c r="T133" s="62">
        <f ca="1">IF(OR(ISBLANK($E$52),ISBLANK($E$55)),"",IF(ISBLANK($J$70),"",$R$132*VLOOKUP($E$58,Paraméterek!$K$1:$L$4,2,0)*(1-SUMIF($L$93:$M$94,"Ezt kérem!",T$127:T$128)/T$130)+SUMIF($L$93:$M$94,"Ezt kérem!",T$127:T$128)/T$130*T$132/VLOOKUP($E$58,Paraméterek!$K$1:$M$4,3,0)))</f>
        <v>10402.46823</v>
      </c>
      <c r="U133" s="62">
        <f ca="1">IF(OR(ISBLANK($E$52),ISBLANK($E$55)),"",IF(ISBLANK($J$70),"",$R$132*VLOOKUP($E$58,Paraméterek!$K$1:$L$4,2,0)*(1-SUMIF($L$93:$M$94,"Ezt kérem!",U$127:U$128)/U$130)+SUMIF($L$93:$M$94,"Ezt kérem!",U$127:U$128)/U$130*U$132/VLOOKUP($E$58,Paraméterek!$K$1:$M$4,3,0)))</f>
        <v>10402.46823</v>
      </c>
      <c r="V133" s="62">
        <f ca="1">IF(OR(ISBLANK($E$52),ISBLANK($E$55)),"",IF(ISBLANK($J$70),"",$R$132*VLOOKUP($E$58,Paraméterek!$K$1:$L$4,2,0)*(1-SUMIF($L$93:$M$94,"Ezt kérem!",V$127:V$128)/V$130)+SUMIF($L$93:$M$94,"Ezt kérem!",V$127:V$128)/V$130*V$132/VLOOKUP($E$58,Paraméterek!$K$1:$M$4,3,0)))</f>
        <v>10402.46823</v>
      </c>
      <c r="W133" s="62">
        <f ca="1">IF(OR(ISBLANK($E$52),ISBLANK($E$55)),"",IF(ISBLANK($J$70),"",$R$132*VLOOKUP($E$58,Paraméterek!$K$1:$L$4,2,0)*(1-SUMIF($L$93:$M$94,"Ezt kérem!",W$127:W$128)/W$130)+SUMIF($L$93:$M$94,"Ezt kérem!",W$127:W$128)/W$130*W$132/VLOOKUP($E$58,Paraméterek!$K$1:$M$4,3,0)))</f>
        <v>10402.46823</v>
      </c>
      <c r="X133" s="62">
        <f ca="1">IF(OR(ISBLANK($E$52),ISBLANK($E$55)),"",IF(ISBLANK($J$70),"",$R$132*VLOOKUP($E$58,Paraméterek!$K$1:$L$4,2,0)*(1-SUMIF($L$93:$M$94,"Ezt kérem!",X$127:X$128)/X$130)+SUMIF($L$93:$M$94,"Ezt kérem!",X$127:X$128)/X$130*X$132/VLOOKUP($E$58,Paraméterek!$K$1:$M$4,3,0)))</f>
        <v>10402.46823</v>
      </c>
      <c r="Y133" s="62">
        <f ca="1">IF(OR(ISBLANK($E$52),ISBLANK($E$55)),"",IF(ISBLANK($J$70),"",$R$132*VLOOKUP($E$58,Paraméterek!$K$1:$L$4,2,0)*(1-SUMIF($L$93:$M$94,"Ezt kérem!",Y$127:Y$128)/Y$130)+SUMIF($L$93:$M$94,"Ezt kérem!",Y$127:Y$128)/Y$130*Y$132/VLOOKUP($E$58,Paraméterek!$K$1:$M$4,3,0)))</f>
        <v>10402.46823</v>
      </c>
      <c r="Z133" s="62">
        <f ca="1">IF(OR(ISBLANK($E$52),ISBLANK($E$55)),"",IF(ISBLANK($J$70),"",$R$132*VLOOKUP($E$58,Paraméterek!$K$1:$L$4,2,0)*(1-SUMIF($L$93:$M$94,"Ezt kérem!",Z$127:Z$128)/Z$130)+SUMIF($L$93:$M$94,"Ezt kérem!",Z$127:Z$128)/Z$130*Z$132/VLOOKUP($E$58,Paraméterek!$K$1:$M$4,3,0)))</f>
        <v>10402.46823</v>
      </c>
      <c r="AA133" s="62">
        <f ca="1">IF(OR(ISBLANK($E$52),ISBLANK($E$55)),"",IF(ISBLANK($J$70),"",$R$132*VLOOKUP($E$58,Paraméterek!$K$1:$L$4,2,0)*(1-SUMIF($L$93:$M$94,"Ezt kérem!",AA$127:AA$128)/AA$130)+SUMIF($L$93:$M$94,"Ezt kérem!",AA$127:AA$128)/AA$130*AA$132/VLOOKUP($E$58,Paraméterek!$K$1:$M$4,3,0)))</f>
        <v>10402.46823</v>
      </c>
      <c r="AB133" s="62">
        <f ca="1">IF(OR(ISBLANK($E$52),ISBLANK($E$55)),"",IF(ISBLANK($J$70),"",$R$132*VLOOKUP($E$58,Paraméterek!$K$1:$L$4,2,0)*(1-SUMIF($L$93:$M$94,"Ezt kérem!",AB$127:AB$128)/AB$130)+SUMIF($L$93:$M$94,"Ezt kérem!",AB$127:AB$128)/AB$130*AB$132/VLOOKUP($E$58,Paraméterek!$K$1:$M$4,3,0)))</f>
        <v>10402.46823</v>
      </c>
      <c r="AC133" s="62">
        <f ca="1">IF(OR(ISBLANK($E$52),ISBLANK($E$55)),"",IF(ISBLANK($J$70),"",$R$132*VLOOKUP($E$58,Paraméterek!$K$1:$L$4,2,0)*(1-SUMIF($L$93:$M$94,"Ezt kérem!",AC$127:AC$128)/AC$130)+SUMIF($L$93:$M$94,"Ezt kérem!",AC$127:AC$128)/AC$130*AC$132/VLOOKUP($E$58,Paraméterek!$K$1:$M$4,3,0)))</f>
        <v>10402.46823</v>
      </c>
      <c r="AD133" s="62">
        <f ca="1">IF(OR(ISBLANK($E$52),ISBLANK($E$55)),"",IF(ISBLANK($J$70),"",$R$132*VLOOKUP($E$58,Paraméterek!$K$1:$L$4,2,0)*(1-SUMIF($L$93:$M$94,"Ezt kérem!",AD$127:AD$128)/AD$130)+SUMIF($L$93:$M$94,"Ezt kérem!",AD$127:AD$128)/AD$130*AD$132/VLOOKUP($E$58,Paraméterek!$K$1:$M$4,3,0)))</f>
        <v>10402.46823</v>
      </c>
      <c r="AE133" s="62">
        <f ca="1">IF(OR(ISBLANK($E$52),ISBLANK($E$55)),"",IF(ISBLANK($J$70),"",$R$132*VLOOKUP($E$58,Paraméterek!$K$1:$L$4,2,0)*(1-SUMIF($L$93:$M$94,"Ezt kérem!",AE$127:AE$128)/AE$130)+SUMIF($L$93:$M$94,"Ezt kérem!",AE$127:AE$128)/AE$130*AE$132/VLOOKUP($E$58,Paraméterek!$K$1:$M$4,3,0)))</f>
        <v>10402.46823</v>
      </c>
      <c r="AF133" s="62">
        <f ca="1">IF(OR(ISBLANK($E$52),ISBLANK($E$55)),"",IF(ISBLANK($J$70),"",$R$132*VLOOKUP($E$58,Paraméterek!$K$1:$L$4,2,0)*(1-SUMIF($L$93:$M$94,"Ezt kérem!",AF$127:AF$128)/AF$130)+SUMIF($L$93:$M$94,"Ezt kérem!",AF$127:AF$128)/AF$130*AF$132/VLOOKUP($E$58,Paraméterek!$K$1:$M$4,3,0)))</f>
        <v>10402.46823</v>
      </c>
      <c r="AG133" s="62">
        <f ca="1">IF(OR(ISBLANK($E$52),ISBLANK($E$55)),"",IF(ISBLANK($J$70),"",$R$132*VLOOKUP($E$58,Paraméterek!$K$1:$L$4,2,0)*(1-SUMIF($L$93:$M$94,"Ezt kérem!",AG$127:AG$128)/AG$130)+SUMIF($L$93:$M$94,"Ezt kérem!",AG$127:AG$128)/AG$130*AG$132/VLOOKUP($E$58,Paraméterek!$K$1:$M$4,3,0)))</f>
        <v>10402.46823</v>
      </c>
      <c r="AH133" s="62">
        <f ca="1">IF(OR(ISBLANK($E$52),ISBLANK($E$55)),"",IF(ISBLANK($J$70),"",$R$132*VLOOKUP($E$58,Paraméterek!$K$1:$L$4,2,0)*(1-SUMIF($L$93:$M$94,"Ezt kérem!",AH$127:AH$128)/AH$130)+SUMIF($L$93:$M$94,"Ezt kérem!",AH$127:AH$128)/AH$130*AH$132/VLOOKUP($E$58,Paraméterek!$K$1:$M$4,3,0)))</f>
        <v>10402.46823</v>
      </c>
      <c r="AI133" s="62">
        <f ca="1">IF(OR(ISBLANK($E$52),ISBLANK($E$55)),"",IF(ISBLANK($J$70),"",$R$132*VLOOKUP($E$58,Paraméterek!$K$1:$L$4,2,0)*(1-SUMIF($L$93:$M$94,"Ezt kérem!",AI$127:AI$128)/AI$130)+SUMIF($L$93:$M$94,"Ezt kérem!",AI$127:AI$128)/AI$130*AI$132/VLOOKUP($E$58,Paraméterek!$K$1:$M$4,3,0)))</f>
        <v>10402.46823</v>
      </c>
      <c r="AJ133" s="62">
        <f ca="1">IF(OR(ISBLANK($E$52),ISBLANK($E$55)),"",IF(ISBLANK($J$70),"",$R$132*VLOOKUP($E$58,Paraméterek!$K$1:$L$4,2,0)*(1-SUMIF($L$93:$M$94,"Ezt kérem!",AJ$127:AJ$128)/AJ$130)+SUMIF($L$93:$M$94,"Ezt kérem!",AJ$127:AJ$128)/AJ$130*AJ$132/VLOOKUP($E$58,Paraméterek!$K$1:$M$4,3,0)))</f>
        <v>10402.46823</v>
      </c>
      <c r="AK133" s="62">
        <f ca="1">IF(OR(ISBLANK($E$52),ISBLANK($E$55)),"",IF(ISBLANK($J$70),"",$R$132*VLOOKUP($E$58,Paraméterek!$K$1:$L$4,2,0)*(1-SUMIF($L$93:$M$94,"Ezt kérem!",AK$127:AK$128)/AK$130)+SUMIF($L$93:$M$94,"Ezt kérem!",AK$127:AK$128)/AK$130*AK$132/VLOOKUP($E$58,Paraméterek!$K$1:$M$4,3,0)))</f>
        <v>10402.46823</v>
      </c>
      <c r="AL133" s="62">
        <f ca="1">IF(OR(ISBLANK($E$52),ISBLANK($E$55)),"",IF(ISBLANK($J$70),"",$R$132*VLOOKUP($E$58,Paraméterek!$K$1:$L$4,2,0)*(1-SUMIF($L$93:$M$94,"Ezt kérem!",AL$127:AL$128)/AL$130)+SUMIF($L$93:$M$94,"Ezt kérem!",AL$127:AL$128)/AL$130*AL$132/VLOOKUP($E$58,Paraméterek!$K$1:$M$4,3,0)))</f>
        <v>10402.46823</v>
      </c>
      <c r="AM133" s="62">
        <f ca="1">IF(OR(ISBLANK($E$52),ISBLANK($E$55)),"",IF(ISBLANK($J$70),"",$R$132*VLOOKUP($E$58,Paraméterek!$K$1:$L$4,2,0)*(1-SUMIF($L$93:$M$94,"Ezt kérem!",AM$127:AM$128)/AM$130)+SUMIF($L$93:$M$94,"Ezt kérem!",AM$127:AM$128)/AM$130*AM$132/VLOOKUP($E$58,Paraméterek!$K$1:$M$4,3,0)))</f>
        <v>10402.46823</v>
      </c>
      <c r="AN133" s="62">
        <f ca="1">IF(OR(ISBLANK($E$52),ISBLANK($E$55)),"",IF(ISBLANK($J$70),"",$R$132*VLOOKUP($E$58,Paraméterek!$K$1:$L$4,2,0)*(1-SUMIF($L$93:$M$94,"Ezt kérem!",AN$127:AN$128)/AN$130)+SUMIF($L$93:$M$94,"Ezt kérem!",AN$127:AN$128)/AN$130*AN$132/VLOOKUP($E$58,Paraméterek!$K$1:$M$4,3,0)))</f>
        <v>10402.46823</v>
      </c>
      <c r="AO133" s="62">
        <f ca="1">IF(OR(ISBLANK($E$52),ISBLANK($E$55)),"",IF(ISBLANK($J$70),"",$R$132*VLOOKUP($E$58,Paraméterek!$K$1:$L$4,2,0)*(1-SUMIF($L$93:$M$94,"Ezt kérem!",AO$127:AO$128)/AO$130)+SUMIF($L$93:$M$94,"Ezt kérem!",AO$127:AO$128)/AO$130*AO$132/VLOOKUP($E$58,Paraméterek!$K$1:$M$4,3,0)))</f>
        <v>10402.46823</v>
      </c>
      <c r="AP133" s="62">
        <f ca="1">IF(OR(ISBLANK($E$52),ISBLANK($E$55)),"",IF(ISBLANK($J$70),"",$R$132*VLOOKUP($E$58,Paraméterek!$K$1:$L$4,2,0)*(1-SUMIF($L$93:$M$94,"Ezt kérem!",AP$127:AP$128)/AP$130)+SUMIF($L$93:$M$94,"Ezt kérem!",AP$127:AP$128)/AP$130*AP$132/VLOOKUP($E$58,Paraméterek!$K$1:$M$4,3,0)))</f>
        <v>10402.46823</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 ref="M27:N27"/>
    <mergeCell ref="M28:N28"/>
    <mergeCell ref="M29:N29"/>
    <mergeCell ref="M18:N18"/>
    <mergeCell ref="M19:N19"/>
    <mergeCell ref="M20:N20"/>
    <mergeCell ref="M21:N21"/>
    <mergeCell ref="M22:N22"/>
    <mergeCell ref="M23:N23"/>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G36:H36"/>
    <mergeCell ref="I36:J36"/>
    <mergeCell ref="K36:L36"/>
    <mergeCell ref="G33:H33"/>
    <mergeCell ref="I33:J33"/>
    <mergeCell ref="K33:L33"/>
    <mergeCell ref="G34:H34"/>
    <mergeCell ref="I34:J34"/>
    <mergeCell ref="K34:L34"/>
    <mergeCell ref="K27:L27"/>
    <mergeCell ref="G28:H28"/>
    <mergeCell ref="I28:J28"/>
    <mergeCell ref="K28:L28"/>
    <mergeCell ref="G25:H25"/>
    <mergeCell ref="I25:J25"/>
    <mergeCell ref="K25:L25"/>
    <mergeCell ref="G26:H26"/>
    <mergeCell ref="I26:J26"/>
    <mergeCell ref="K26:L2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B93:D94"/>
    <mergeCell ref="E93:K93"/>
    <mergeCell ref="L93:M93"/>
    <mergeCell ref="E94:K94"/>
    <mergeCell ref="L94:M94"/>
    <mergeCell ref="B90:D90"/>
    <mergeCell ref="E90:I90"/>
    <mergeCell ref="J90:K90"/>
    <mergeCell ref="L90:M90"/>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5000000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150000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4500000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41</v>
      </c>
      <c r="D16" s="23">
        <f ca="1">IF(AND(MetCare!$I$28&gt;0,MetCare!$J$28="Ezt kérem!"),MetCare!$H$28,0)+IF(AND(MetCare!$I$31&gt;0,MetCare!$J$31="Ezt kérem!"),MetCare!$H$28,0)</f>
        <v>5000000</v>
      </c>
      <c r="E16" s="23">
        <f ca="1">IF(OR(AND(MetCare!$I$35&gt;0,MetCare!$J$35="Ezt kérem!"),AND(MetCare!$I$36&gt;0,MetCare!$J$36="Ezt kérem!"),AND(MetCare!$I$37&gt;0,MetCare!$J$37="Ezt kérem!")),MetCare!$H$35,0)+IF(AND(MetCare!$I$77&gt;0,MetCare!$J$77="Ezt kérem!"),MetCare!$H$77,0)</f>
        <v>0</v>
      </c>
      <c r="F16" s="23">
        <v>1</v>
      </c>
      <c r="G16" s="23">
        <f>IF(OR(MetCare!$J$44="Ezt kérem!",COUNTIF(MetCare!$J$56:$K$58,"Ezt kérem!")&gt;0,COUNTIF(MetCare!$J$63:$K$64,"Ezt kérem!")&gt;0,COUNTIF(MetCare!$J$71:$K$74,"Ezt kérem!")&gt;0),2,0)</f>
        <v>2</v>
      </c>
      <c r="H16" s="23">
        <f ca="1">VLOOKUP($C$16,$A$7:$G$10,IF($B$16="Forint",HLOOKUP($D$16,$B$4:$G$6,3),HLOOKUP($D$16,$B$5:$G$6,2)))</f>
        <v>1</v>
      </c>
      <c r="I16" s="23">
        <f ca="1">VLOOKUP($C$16,$A$7:$G$10,IF($B$16="Forint",HLOOKUP($E$16,$B$4:$G$6,3),HLOOKUP($E$16,$B$5:$G$6,2)))</f>
        <v>0</v>
      </c>
      <c r="J16" t="str">
        <f ca="1">VLOOKUP(MAX($F$16:$I$16),$J$5:$K$10,2)</f>
        <v>Egészségi nyilatkozat</v>
      </c>
    </row>
    <row r="17" spans="1:10" x14ac:dyDescent="0.2">
      <c r="A17" t="s">
        <v>132</v>
      </c>
      <c r="B17" t="s">
        <v>37</v>
      </c>
      <c r="C17" s="23">
        <f ca="1">Nelson!$E$9</f>
        <v>46</v>
      </c>
      <c r="D17" s="23">
        <f>IF(Nelson!$J$26&gt;0,Nelson!$J$26,0)</f>
        <v>5000000</v>
      </c>
      <c r="E17" s="23">
        <f>IF(OR(AND(Nelson!$J$30&gt;0,Nelson!$N$30="Ezt kérem!"),AND(Nelson!$J$30&gt;0,Nelson!$N$31="Ezt kérem!"),AND(Nelson!$J$30&gt;0,Nelson!$N$32="Ezt kérem!")),Nelson!$J$30,0)</f>
        <v>10000000</v>
      </c>
      <c r="F17" s="23">
        <v>1</v>
      </c>
      <c r="G17" s="23">
        <f>IF(OR(Nelson!$N$36="Ezt kérem!",Nelson!$N$40="Ezt kérem!",Nelson!$N$44="Ezt kérem!"),2,0)</f>
        <v>0</v>
      </c>
      <c r="H17" s="23">
        <f ca="1">VLOOKUP($C$17,$A$7:$G$10,IF($B$17="Forint",HLOOKUP($D$17,$B$4:$G$6,3),HLOOKUP($D$17,$B$5:$G$6,2)))</f>
        <v>1</v>
      </c>
      <c r="I17" s="23">
        <f ca="1">VLOOKUP($C$17,$A$7:$G$10,IF($B$17="Forint",HLOOKUP($E$17,$B$4:$G$6,3),HLOOKUP($E$17,$B$5:$G$6,2)))</f>
        <v>2</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5000000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Ferenc Dajka</cp:lastModifiedBy>
  <cp:lastPrinted>2019-06-06T09:31:11Z</cp:lastPrinted>
  <dcterms:created xsi:type="dcterms:W3CDTF">2017-05-18T07:38:05Z</dcterms:created>
  <dcterms:modified xsi:type="dcterms:W3CDTF">2020-02-25T16:05:19Z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