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style8.xml" ContentType="application/vnd.ms-office.chartstyle+xml"/>
  <Override PartName="/xl/charts/colors8.xml" ContentType="application/vnd.ms-office.chartcolorstyle+xml"/>
  <Override PartName="/xl/charts/chart11.xml" ContentType="application/vnd.openxmlformats-officedocument.drawingml.chart+xml"/>
  <Override PartName="/xl/charts/style9.xml" ContentType="application/vnd.ms-office.chartstyle+xml"/>
  <Override PartName="/xl/charts/colors9.xml" ContentType="application/vnd.ms-office.chartcolorstyle+xml"/>
  <Override PartName="/xl/charts/chart12.xml" ContentType="application/vnd.openxmlformats-officedocument.drawingml.chart+xml"/>
  <Override PartName="/xl/charts/style10.xml" ContentType="application/vnd.ms-office.chartstyle+xml"/>
  <Override PartName="/xl/charts/colors10.xml" ContentType="application/vnd.ms-office.chartcolorstyle+xml"/>
  <Override PartName="/xl/charts/chart13.xml" ContentType="application/vnd.openxmlformats-officedocument.drawingml.chart+xml"/>
  <Override PartName="/xl/charts/style11.xml" ContentType="application/vnd.ms-office.chartstyle+xml"/>
  <Override PartName="/xl/charts/colors11.xml" ContentType="application/vnd.ms-office.chartcolorstyle+xml"/>
  <Override PartName="/xl/charts/chart14.xml" ContentType="application/vnd.openxmlformats-officedocument.drawingml.chart+xml"/>
  <Override PartName="/xl/charts/style12.xml" ContentType="application/vnd.ms-office.chartstyle+xml"/>
  <Override PartName="/xl/charts/colors12.xml" ContentType="application/vnd.ms-office.chartcolorstyle+xml"/>
  <Override PartName="/xl/comments4.xml" ContentType="application/vnd.openxmlformats-officedocument.spreadsheetml.comments+xml"/>
  <Override PartName="/xl/drawings/drawing2.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312"/>
  <workbookPr autoCompressPictures="0"/>
  <mc:AlternateContent xmlns:mc="http://schemas.openxmlformats.org/markup-compatibility/2006">
    <mc:Choice Requires="x15">
      <x15ac:absPath xmlns:x15ac="http://schemas.microsoft.com/office/spreadsheetml/2010/11/ac" url="/Users/jse10/Desktop/"/>
    </mc:Choice>
  </mc:AlternateContent>
  <xr:revisionPtr revIDLastSave="0" documentId="13_ncr:1_{977EDAE1-A26A-1C47-B4C0-AA8954137468}" xr6:coauthVersionLast="47" xr6:coauthVersionMax="47" xr10:uidLastSave="{00000000-0000-0000-0000-000000000000}"/>
  <bookViews>
    <workbookView xWindow="0" yWindow="740" windowWidth="29400" windowHeight="18380" xr2:uid="{00000000-000D-0000-FFFF-FFFF00000000}"/>
  </bookViews>
  <sheets>
    <sheet name="EmissionsDashboard" sheetId="1" r:id="rId1"/>
    <sheet name="ActualEmissionsData" sheetId="2" r:id="rId2"/>
    <sheet name="CommuterAndAirTravelData" sheetId="3" r:id="rId3"/>
    <sheet name="Graphs" sheetId="14" r:id="rId4"/>
    <sheet name="Non_GHG Data" sheetId="6" r:id="rId5"/>
    <sheet name="ESRI_MAPINFO_SHEET" sheetId="10" state="veryHidden"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30" i="3" l="1"/>
  <c r="F30" i="3"/>
  <c r="G30" i="3"/>
  <c r="H30" i="3"/>
  <c r="I30" i="3"/>
  <c r="E31" i="3"/>
  <c r="E35" i="3" s="1"/>
  <c r="E37" i="3" s="1"/>
  <c r="F31" i="3"/>
  <c r="F35" i="3" s="1"/>
  <c r="F37" i="3" s="1"/>
  <c r="G31" i="3"/>
  <c r="G35" i="3" s="1"/>
  <c r="G37" i="3" s="1"/>
  <c r="H31" i="3"/>
  <c r="I31" i="3"/>
  <c r="H35" i="3"/>
  <c r="H37" i="3" s="1"/>
  <c r="I35" i="3"/>
  <c r="I37" i="3" s="1"/>
  <c r="E40" i="3"/>
  <c r="E42" i="3"/>
  <c r="F38" i="3" l="1"/>
  <c r="F40" i="3"/>
  <c r="F42" i="3" s="1"/>
  <c r="F43" i="3"/>
  <c r="G38" i="3"/>
  <c r="G40" i="3"/>
  <c r="G42" i="3" s="1"/>
  <c r="G43" i="3" s="1"/>
  <c r="I38" i="3"/>
  <c r="I44" i="3" s="1"/>
  <c r="I43" i="3"/>
  <c r="I40" i="3"/>
  <c r="I42" i="3" s="1"/>
  <c r="E43" i="3"/>
  <c r="E38" i="3"/>
  <c r="E44" i="3" s="1"/>
  <c r="H38" i="3"/>
  <c r="H40" i="3"/>
  <c r="H42" i="3" s="1"/>
  <c r="H43" i="3" s="1"/>
  <c r="V18" i="6"/>
  <c r="G44" i="3" l="1"/>
  <c r="H44" i="3"/>
  <c r="F44" i="3"/>
  <c r="J20" i="1"/>
  <c r="J21" i="1"/>
  <c r="T18" i="6" l="1"/>
  <c r="W18" i="6" s="1"/>
  <c r="S18" i="6"/>
  <c r="R18" i="6"/>
  <c r="R20" i="2" l="1"/>
  <c r="B18" i="3" l="1"/>
  <c r="B19" i="3"/>
  <c r="S19" i="3"/>
  <c r="Y18" i="6" l="1"/>
  <c r="X18" i="6"/>
  <c r="L20" i="1" l="1"/>
  <c r="L21" i="1"/>
  <c r="N20" i="1"/>
  <c r="P20" i="1"/>
  <c r="O20" i="1"/>
  <c r="AA20" i="2"/>
  <c r="AK20" i="2" s="1"/>
  <c r="Q21" i="1"/>
  <c r="AJ20" i="2"/>
  <c r="V21" i="1" s="1"/>
  <c r="E37" i="14" l="1"/>
  <c r="I21" i="1"/>
  <c r="H21" i="1"/>
  <c r="K21" i="1"/>
  <c r="I20" i="1"/>
  <c r="K20" i="1"/>
  <c r="G21" i="1"/>
  <c r="C21" i="1"/>
  <c r="AH20" i="2"/>
  <c r="U21" i="1" s="1"/>
  <c r="F37" i="14" s="1"/>
  <c r="O68" i="14" s="1"/>
  <c r="E18" i="14" l="1"/>
  <c r="C37" i="14" s="1"/>
  <c r="O62" i="14" s="1"/>
  <c r="D37" i="14"/>
  <c r="J37" i="14"/>
  <c r="O66" i="14"/>
  <c r="L18" i="6"/>
  <c r="Q20" i="2"/>
  <c r="M21" i="1" s="1"/>
  <c r="L20" i="2"/>
  <c r="B78" i="14" l="1"/>
  <c r="D78" i="14"/>
  <c r="C78" i="14"/>
  <c r="O76" i="14"/>
  <c r="O64" i="14"/>
  <c r="X20" i="2"/>
  <c r="P21" i="1" s="1"/>
  <c r="B21" i="1" s="1"/>
  <c r="T20" i="2"/>
  <c r="N21" i="1" s="1"/>
  <c r="V20" i="2"/>
  <c r="O21" i="1" s="1"/>
  <c r="AM20" i="2"/>
  <c r="W21" i="1" s="1"/>
  <c r="AO20" i="2"/>
  <c r="X21" i="1" s="1"/>
  <c r="I18" i="14" l="1"/>
  <c r="K37" i="14"/>
  <c r="O78" i="14" s="1"/>
  <c r="G20" i="1"/>
  <c r="H20" i="1"/>
  <c r="O17" i="6"/>
  <c r="V17" i="6" s="1"/>
  <c r="AM19" i="2"/>
  <c r="W20" i="1" s="1"/>
  <c r="AO19" i="2"/>
  <c r="X20" i="1" s="1"/>
  <c r="AJ19" i="2"/>
  <c r="AC20" i="2"/>
  <c r="AA19" i="2"/>
  <c r="Q20" i="1" s="1"/>
  <c r="AH19" i="2"/>
  <c r="U20" i="1" s="1"/>
  <c r="Q19" i="2"/>
  <c r="R16" i="6"/>
  <c r="S16" i="6" s="1"/>
  <c r="T16" i="6" s="1"/>
  <c r="Y16" i="6" s="1"/>
  <c r="AS19" i="3"/>
  <c r="AF20" i="2" s="1"/>
  <c r="T21" i="1" s="1"/>
  <c r="I37" i="14" s="1"/>
  <c r="AC19" i="2"/>
  <c r="AS18" i="3"/>
  <c r="AF19" i="2" s="1"/>
  <c r="T20" i="1" s="1"/>
  <c r="O18" i="3"/>
  <c r="Q18" i="3" s="1"/>
  <c r="AK18" i="3" s="1"/>
  <c r="K18" i="3"/>
  <c r="M18" i="3" s="1"/>
  <c r="G18" i="3"/>
  <c r="I18" i="3" s="1"/>
  <c r="AA18" i="2"/>
  <c r="F19" i="1"/>
  <c r="G19" i="1"/>
  <c r="H19" i="1"/>
  <c r="I19" i="1"/>
  <c r="J19" i="1"/>
  <c r="M19" i="1"/>
  <c r="N19" i="1"/>
  <c r="O19" i="1"/>
  <c r="P19" i="1"/>
  <c r="Q19" i="1"/>
  <c r="AK18" i="2"/>
  <c r="N18" i="2"/>
  <c r="L19" i="1" s="1"/>
  <c r="AH18" i="2"/>
  <c r="U19" i="1" s="1"/>
  <c r="AJ18" i="2"/>
  <c r="V19" i="1" s="1"/>
  <c r="AM18" i="2"/>
  <c r="W19" i="1" s="1"/>
  <c r="AO18" i="2"/>
  <c r="X19" i="1" s="1"/>
  <c r="AC18" i="2"/>
  <c r="S17" i="3"/>
  <c r="X17" i="3" s="1"/>
  <c r="Z17" i="3" s="1"/>
  <c r="B17" i="3"/>
  <c r="G17" i="3" s="1"/>
  <c r="I17" i="3" s="1"/>
  <c r="V16" i="6"/>
  <c r="AS17" i="3"/>
  <c r="AF18" i="2"/>
  <c r="T19" i="1" s="1"/>
  <c r="I35" i="14" s="1"/>
  <c r="U7" i="1"/>
  <c r="V7" i="1"/>
  <c r="F23" i="14" s="1"/>
  <c r="U8" i="1"/>
  <c r="V8" i="1"/>
  <c r="U9" i="1"/>
  <c r="V9" i="1"/>
  <c r="U10" i="1"/>
  <c r="V10" i="1"/>
  <c r="U11" i="1"/>
  <c r="V11" i="1"/>
  <c r="U12" i="1"/>
  <c r="V12" i="1"/>
  <c r="U13" i="1"/>
  <c r="V13" i="1"/>
  <c r="U14" i="1"/>
  <c r="V14" i="1"/>
  <c r="U15" i="1"/>
  <c r="V15" i="1"/>
  <c r="V6" i="1"/>
  <c r="U6" i="1"/>
  <c r="I6" i="1"/>
  <c r="AH16" i="2"/>
  <c r="U17" i="1" s="1"/>
  <c r="AH17" i="2"/>
  <c r="U18" i="1" s="1"/>
  <c r="AH15" i="2"/>
  <c r="U16" i="1"/>
  <c r="AJ16" i="2"/>
  <c r="V17" i="1" s="1"/>
  <c r="AJ17" i="2"/>
  <c r="V18" i="1" s="1"/>
  <c r="AJ15" i="2"/>
  <c r="V16" i="1" s="1"/>
  <c r="B16" i="3"/>
  <c r="V15" i="6"/>
  <c r="R15" i="6"/>
  <c r="S15" i="6" s="1"/>
  <c r="T15" i="6" s="1"/>
  <c r="X15" i="6" s="1"/>
  <c r="L17" i="2" s="1"/>
  <c r="K18" i="1" s="1"/>
  <c r="F18" i="1"/>
  <c r="G18" i="1"/>
  <c r="H18" i="1"/>
  <c r="I18" i="1"/>
  <c r="J18" i="1"/>
  <c r="M18" i="1"/>
  <c r="N18" i="1"/>
  <c r="O18" i="1"/>
  <c r="P18" i="1"/>
  <c r="Q18" i="1"/>
  <c r="E34" i="14" s="1"/>
  <c r="AM17" i="2"/>
  <c r="W18" i="1"/>
  <c r="AO17" i="2"/>
  <c r="X18" i="1" s="1"/>
  <c r="AC17" i="2"/>
  <c r="AS16" i="3"/>
  <c r="AF17" i="2" s="1"/>
  <c r="T18" i="1" s="1"/>
  <c r="I34" i="14" s="1"/>
  <c r="AS15" i="3"/>
  <c r="AF16" i="2" s="1"/>
  <c r="T17" i="1" s="1"/>
  <c r="B15" i="3"/>
  <c r="AM16" i="2"/>
  <c r="W17" i="1" s="1"/>
  <c r="AO16" i="2"/>
  <c r="X17" i="1" s="1"/>
  <c r="R14" i="6"/>
  <c r="S15" i="3" s="1"/>
  <c r="V14" i="6"/>
  <c r="M14" i="6"/>
  <c r="I17" i="1"/>
  <c r="G17" i="1"/>
  <c r="F17" i="1"/>
  <c r="H17" i="1"/>
  <c r="AC16" i="2"/>
  <c r="J17" i="1"/>
  <c r="K17" i="1"/>
  <c r="L17" i="1"/>
  <c r="M17" i="1"/>
  <c r="N17" i="1"/>
  <c r="O17" i="1"/>
  <c r="P17" i="1"/>
  <c r="Q17" i="1"/>
  <c r="J16" i="1"/>
  <c r="K16" i="1"/>
  <c r="G14" i="3"/>
  <c r="I14" i="3" s="1"/>
  <c r="K14" i="3"/>
  <c r="M14" i="3" s="1"/>
  <c r="X14" i="3"/>
  <c r="Z14" i="3"/>
  <c r="AB14" i="3"/>
  <c r="AD14" i="3"/>
  <c r="AC15" i="2"/>
  <c r="O14" i="3"/>
  <c r="Q14" i="3" s="1"/>
  <c r="AK14" i="3" s="1"/>
  <c r="AF14" i="3"/>
  <c r="AH14" i="3" s="1"/>
  <c r="AM14" i="3" s="1"/>
  <c r="AS14" i="3"/>
  <c r="AF15" i="2" s="1"/>
  <c r="T16" i="1" s="1"/>
  <c r="L16" i="1"/>
  <c r="M16" i="1"/>
  <c r="N16" i="1"/>
  <c r="O16" i="1"/>
  <c r="P16" i="1"/>
  <c r="AM15" i="2"/>
  <c r="W16" i="1" s="1"/>
  <c r="AO15" i="2"/>
  <c r="X16" i="1"/>
  <c r="F7" i="1"/>
  <c r="G7" i="1"/>
  <c r="H7" i="1"/>
  <c r="I7" i="1"/>
  <c r="Q7" i="1"/>
  <c r="C7" i="1" s="1"/>
  <c r="J7" i="1"/>
  <c r="K7" i="1"/>
  <c r="B5" i="3"/>
  <c r="K5" i="3" s="1"/>
  <c r="M5" i="3" s="1"/>
  <c r="S5" i="3"/>
  <c r="X5" i="3" s="1"/>
  <c r="Z5" i="3" s="1"/>
  <c r="AC6" i="2"/>
  <c r="AF5" i="3"/>
  <c r="AH5" i="3" s="1"/>
  <c r="AM5" i="3" s="1"/>
  <c r="AF6" i="2"/>
  <c r="T7" i="1" s="1"/>
  <c r="I23" i="14" s="1"/>
  <c r="L7" i="1"/>
  <c r="M7" i="1"/>
  <c r="N7" i="1"/>
  <c r="O7" i="1"/>
  <c r="P7" i="1"/>
  <c r="AM6" i="2"/>
  <c r="W7" i="1" s="1"/>
  <c r="AO6" i="2"/>
  <c r="X7" i="1" s="1"/>
  <c r="F8" i="1"/>
  <c r="G8" i="1"/>
  <c r="H8" i="1"/>
  <c r="I8" i="1"/>
  <c r="Q8" i="1"/>
  <c r="J8" i="1"/>
  <c r="K8" i="1"/>
  <c r="B6" i="3"/>
  <c r="O6" i="3" s="1"/>
  <c r="Q6" i="3" s="1"/>
  <c r="AK6" i="3" s="1"/>
  <c r="G6" i="3"/>
  <c r="I6" i="3" s="1"/>
  <c r="S6" i="3"/>
  <c r="X6" i="3" s="1"/>
  <c r="Z6" i="3" s="1"/>
  <c r="AC7" i="2"/>
  <c r="AF7" i="2"/>
  <c r="T8" i="1" s="1"/>
  <c r="L8" i="1"/>
  <c r="M8" i="1"/>
  <c r="N8" i="1"/>
  <c r="O8" i="1"/>
  <c r="P8" i="1"/>
  <c r="AM7" i="2"/>
  <c r="W8" i="1" s="1"/>
  <c r="AO7" i="2"/>
  <c r="X8" i="1" s="1"/>
  <c r="F9" i="1"/>
  <c r="G9" i="1"/>
  <c r="H9" i="1"/>
  <c r="I9" i="1"/>
  <c r="Q9" i="1"/>
  <c r="C9" i="1" s="1"/>
  <c r="J9" i="1"/>
  <c r="K9" i="1"/>
  <c r="B7" i="3"/>
  <c r="K7" i="3" s="1"/>
  <c r="M7" i="3" s="1"/>
  <c r="S7" i="3"/>
  <c r="X7" i="3" s="1"/>
  <c r="Z7" i="3" s="1"/>
  <c r="AC8" i="2"/>
  <c r="AF8" i="2"/>
  <c r="T9" i="1"/>
  <c r="I25" i="14" s="1"/>
  <c r="L9" i="1"/>
  <c r="M9" i="1"/>
  <c r="N9" i="1"/>
  <c r="O9" i="1"/>
  <c r="P9" i="1"/>
  <c r="AM8" i="2"/>
  <c r="W9" i="1" s="1"/>
  <c r="AO8" i="2"/>
  <c r="X9" i="1"/>
  <c r="F10" i="1"/>
  <c r="G10" i="1"/>
  <c r="H10" i="1"/>
  <c r="I10" i="1"/>
  <c r="Q10" i="1"/>
  <c r="E26" i="14" s="1"/>
  <c r="J10" i="1"/>
  <c r="K10" i="1"/>
  <c r="B8" i="3"/>
  <c r="O8" i="3" s="1"/>
  <c r="Q8" i="3" s="1"/>
  <c r="AK8" i="3" s="1"/>
  <c r="S8" i="3"/>
  <c r="AB8" i="3" s="1"/>
  <c r="AD8" i="3" s="1"/>
  <c r="AC9" i="2"/>
  <c r="AF9" i="2"/>
  <c r="T10" i="1" s="1"/>
  <c r="L10" i="1"/>
  <c r="M10" i="1"/>
  <c r="N10" i="1"/>
  <c r="O10" i="1"/>
  <c r="P10" i="1"/>
  <c r="AM9" i="2"/>
  <c r="W10" i="1" s="1"/>
  <c r="AO9" i="2"/>
  <c r="X10" i="1"/>
  <c r="F11" i="1"/>
  <c r="G11" i="1"/>
  <c r="H11" i="1"/>
  <c r="I11" i="1"/>
  <c r="Q11" i="1"/>
  <c r="J11" i="1"/>
  <c r="K11" i="1"/>
  <c r="B9" i="3"/>
  <c r="O9" i="3" s="1"/>
  <c r="S9" i="3"/>
  <c r="AB9" i="3" s="1"/>
  <c r="AD9" i="3" s="1"/>
  <c r="AC10" i="2"/>
  <c r="AF10" i="2"/>
  <c r="T11" i="1"/>
  <c r="I27" i="14" s="1"/>
  <c r="L11" i="1"/>
  <c r="M11" i="1"/>
  <c r="N11" i="1"/>
  <c r="O11" i="1"/>
  <c r="P11" i="1"/>
  <c r="AM10" i="2"/>
  <c r="W11" i="1" s="1"/>
  <c r="AO10" i="2"/>
  <c r="X11" i="1"/>
  <c r="F12" i="1"/>
  <c r="G12" i="1"/>
  <c r="H12" i="1"/>
  <c r="I12" i="1"/>
  <c r="Q12" i="1"/>
  <c r="C12" i="1" s="1"/>
  <c r="J12" i="1"/>
  <c r="K12" i="1"/>
  <c r="B10" i="3"/>
  <c r="O10" i="3" s="1"/>
  <c r="Q10" i="3" s="1"/>
  <c r="AK10" i="3" s="1"/>
  <c r="S10" i="3"/>
  <c r="AB10" i="3" s="1"/>
  <c r="AD10" i="3" s="1"/>
  <c r="AC11" i="2"/>
  <c r="AS10" i="3"/>
  <c r="AF11" i="2" s="1"/>
  <c r="T12" i="1" s="1"/>
  <c r="L12" i="1"/>
  <c r="M12" i="1"/>
  <c r="N12" i="1"/>
  <c r="O12" i="1"/>
  <c r="P12" i="1"/>
  <c r="AM11" i="2"/>
  <c r="W12" i="1" s="1"/>
  <c r="AO11" i="2"/>
  <c r="X12" i="1"/>
  <c r="F13" i="1"/>
  <c r="G13" i="1"/>
  <c r="H13" i="1"/>
  <c r="I13" i="1"/>
  <c r="Q13" i="1"/>
  <c r="J13" i="1"/>
  <c r="J29" i="14" s="1"/>
  <c r="K13" i="1"/>
  <c r="B11" i="3"/>
  <c r="S11" i="3"/>
  <c r="AC12" i="2"/>
  <c r="AS11" i="3"/>
  <c r="AF12" i="2" s="1"/>
  <c r="T13" i="1" s="1"/>
  <c r="L13" i="1"/>
  <c r="M13" i="1"/>
  <c r="N13" i="1"/>
  <c r="O13" i="1"/>
  <c r="P13" i="1"/>
  <c r="AM12" i="2"/>
  <c r="W13" i="1" s="1"/>
  <c r="AO12" i="2"/>
  <c r="X13" i="1" s="1"/>
  <c r="F14" i="1"/>
  <c r="G14" i="1"/>
  <c r="H14" i="1"/>
  <c r="I14" i="1"/>
  <c r="Q14" i="1"/>
  <c r="J14" i="1"/>
  <c r="K14" i="1"/>
  <c r="B12" i="3"/>
  <c r="K12" i="3" s="1"/>
  <c r="M12" i="3" s="1"/>
  <c r="S12" i="3"/>
  <c r="AF12" i="3" s="1"/>
  <c r="AH12" i="3" s="1"/>
  <c r="AM12" i="3" s="1"/>
  <c r="AC13" i="2"/>
  <c r="AS12" i="3"/>
  <c r="AF13" i="2" s="1"/>
  <c r="T14" i="1" s="1"/>
  <c r="L14" i="1"/>
  <c r="M14" i="1"/>
  <c r="N14" i="1"/>
  <c r="O14" i="1"/>
  <c r="P14" i="1"/>
  <c r="AM13" i="2"/>
  <c r="W14" i="1" s="1"/>
  <c r="AO13" i="2"/>
  <c r="X14" i="1"/>
  <c r="F15" i="1"/>
  <c r="G15" i="1"/>
  <c r="H15" i="1"/>
  <c r="I15" i="1"/>
  <c r="Q15" i="1"/>
  <c r="J15" i="1"/>
  <c r="K15" i="1"/>
  <c r="G13" i="3"/>
  <c r="I13" i="3" s="1"/>
  <c r="K13" i="3"/>
  <c r="M13" i="3" s="1"/>
  <c r="X13" i="3"/>
  <c r="Z13" i="3" s="1"/>
  <c r="AB13" i="3"/>
  <c r="AD13" i="3"/>
  <c r="AC14" i="2"/>
  <c r="O13" i="3"/>
  <c r="Q13" i="3" s="1"/>
  <c r="AK13" i="3" s="1"/>
  <c r="AF13" i="3"/>
  <c r="AH13" i="3" s="1"/>
  <c r="AM13" i="3" s="1"/>
  <c r="AS13" i="3"/>
  <c r="AF14" i="2" s="1"/>
  <c r="T15" i="1" s="1"/>
  <c r="L15" i="1"/>
  <c r="M15" i="1"/>
  <c r="N15" i="1"/>
  <c r="O15" i="1"/>
  <c r="P15" i="1"/>
  <c r="AM14" i="2"/>
  <c r="W15" i="1"/>
  <c r="AO14" i="2"/>
  <c r="X15" i="1" s="1"/>
  <c r="F16" i="1"/>
  <c r="G16" i="1"/>
  <c r="F15" i="2"/>
  <c r="H16" i="1" s="1"/>
  <c r="I16" i="1"/>
  <c r="Q16" i="1"/>
  <c r="C16" i="1" s="1"/>
  <c r="F6" i="1"/>
  <c r="G6" i="1"/>
  <c r="H6" i="1"/>
  <c r="Q6" i="1"/>
  <c r="E22" i="14" s="1"/>
  <c r="E39" i="14" s="1"/>
  <c r="J6" i="1"/>
  <c r="K6" i="1"/>
  <c r="B4" i="3"/>
  <c r="G4" i="3" s="1"/>
  <c r="I4" i="3" s="1"/>
  <c r="S4" i="3"/>
  <c r="AB4" i="3" s="1"/>
  <c r="AD4" i="3" s="1"/>
  <c r="AC5" i="2"/>
  <c r="AF5" i="2"/>
  <c r="T6" i="1" s="1"/>
  <c r="L6" i="1"/>
  <c r="M6" i="1"/>
  <c r="N6" i="1"/>
  <c r="O6" i="1"/>
  <c r="P6" i="1"/>
  <c r="AM5" i="2"/>
  <c r="W6" i="1" s="1"/>
  <c r="AO5" i="2"/>
  <c r="X6" i="1" s="1"/>
  <c r="V13" i="6"/>
  <c r="S13" i="6"/>
  <c r="T13" i="6"/>
  <c r="Y13" i="6" s="1"/>
  <c r="M13" i="6"/>
  <c r="V12" i="6"/>
  <c r="V3" i="6"/>
  <c r="M4" i="6"/>
  <c r="M5" i="6"/>
  <c r="M6" i="6"/>
  <c r="M7" i="6"/>
  <c r="M8" i="6"/>
  <c r="M9" i="6"/>
  <c r="M10" i="6"/>
  <c r="M11" i="6"/>
  <c r="M12" i="6"/>
  <c r="M3" i="6"/>
  <c r="S12" i="6"/>
  <c r="T12" i="6"/>
  <c r="S4" i="6"/>
  <c r="T4" i="6" s="1"/>
  <c r="S5" i="6"/>
  <c r="T5" i="6" s="1"/>
  <c r="Y5" i="6" s="1"/>
  <c r="S6" i="6"/>
  <c r="T6" i="6" s="1"/>
  <c r="X6" i="6" s="1"/>
  <c r="S7" i="6"/>
  <c r="T7" i="6" s="1"/>
  <c r="X7" i="6" s="1"/>
  <c r="S8" i="6"/>
  <c r="T8" i="6" s="1"/>
  <c r="S9" i="6"/>
  <c r="T9" i="6" s="1"/>
  <c r="S10" i="6"/>
  <c r="T10" i="6" s="1"/>
  <c r="S11" i="6"/>
  <c r="T11" i="6"/>
  <c r="Y11" i="6" s="1"/>
  <c r="S3" i="6"/>
  <c r="T3" i="6" s="1"/>
  <c r="Y3" i="6" s="1"/>
  <c r="V4" i="6"/>
  <c r="V5" i="6"/>
  <c r="V6" i="6"/>
  <c r="V7" i="6"/>
  <c r="V8" i="6"/>
  <c r="V9" i="6"/>
  <c r="V10" i="6"/>
  <c r="V11" i="6"/>
  <c r="AB5" i="3"/>
  <c r="AD5" i="3" s="1"/>
  <c r="C8" i="1"/>
  <c r="E28" i="14"/>
  <c r="X5" i="6"/>
  <c r="Q9" i="3"/>
  <c r="AK9" i="3" s="1"/>
  <c r="X4" i="3"/>
  <c r="Z4" i="3" s="1"/>
  <c r="R17" i="6" l="1"/>
  <c r="S17" i="6" s="1"/>
  <c r="T17" i="6" s="1"/>
  <c r="AB6" i="3"/>
  <c r="AD6" i="3" s="1"/>
  <c r="S14" i="6"/>
  <c r="T14" i="6" s="1"/>
  <c r="AB12" i="3"/>
  <c r="AD12" i="3" s="1"/>
  <c r="G12" i="3"/>
  <c r="I12" i="3" s="1"/>
  <c r="G9" i="3"/>
  <c r="I9" i="3" s="1"/>
  <c r="O12" i="3"/>
  <c r="Q12" i="3" s="1"/>
  <c r="AK12" i="3" s="1"/>
  <c r="AD13" i="2" s="1"/>
  <c r="S14" i="1" s="1"/>
  <c r="AL14" i="3"/>
  <c r="AF4" i="3"/>
  <c r="AH4" i="3" s="1"/>
  <c r="AM4" i="3" s="1"/>
  <c r="AL5" i="3"/>
  <c r="AF6" i="3"/>
  <c r="AH6" i="3" s="1"/>
  <c r="AM6" i="3" s="1"/>
  <c r="AD7" i="2" s="1"/>
  <c r="S8" i="1" s="1"/>
  <c r="J26" i="14"/>
  <c r="C10" i="1"/>
  <c r="F30" i="14"/>
  <c r="E25" i="14"/>
  <c r="C5" i="6"/>
  <c r="D5" i="6" s="1"/>
  <c r="X10" i="3"/>
  <c r="Z10" i="3" s="1"/>
  <c r="AL6" i="3"/>
  <c r="AF10" i="3"/>
  <c r="AH10" i="3" s="1"/>
  <c r="AM10" i="3" s="1"/>
  <c r="AD11" i="2" s="1"/>
  <c r="S12" i="1" s="1"/>
  <c r="O17" i="3"/>
  <c r="Q17" i="3" s="1"/>
  <c r="AK17" i="3" s="1"/>
  <c r="K17" i="3"/>
  <c r="M17" i="3" s="1"/>
  <c r="AJ17" i="3" s="1"/>
  <c r="K6" i="3"/>
  <c r="M6" i="3" s="1"/>
  <c r="AJ6" i="3" s="1"/>
  <c r="AJ13" i="3"/>
  <c r="AN13" i="3" s="1"/>
  <c r="AF17" i="3"/>
  <c r="AH17" i="3" s="1"/>
  <c r="AM17" i="3" s="1"/>
  <c r="M20" i="1"/>
  <c r="B20" i="1" s="1"/>
  <c r="X11" i="6"/>
  <c r="W5" i="6"/>
  <c r="J25" i="14"/>
  <c r="G5" i="3"/>
  <c r="I5" i="3" s="1"/>
  <c r="AB17" i="3"/>
  <c r="AD17" i="3" s="1"/>
  <c r="AL17" i="3" s="1"/>
  <c r="R19" i="2"/>
  <c r="D27" i="14"/>
  <c r="C12" i="6"/>
  <c r="D12" i="6" s="1"/>
  <c r="F32" i="14"/>
  <c r="D29" i="14"/>
  <c r="J32" i="14"/>
  <c r="F28" i="14"/>
  <c r="F24" i="14"/>
  <c r="C13" i="6"/>
  <c r="D13" i="6" s="1"/>
  <c r="E13" i="6" s="1"/>
  <c r="D32" i="14"/>
  <c r="E23" i="14"/>
  <c r="D31" i="14"/>
  <c r="J28" i="14"/>
  <c r="D22" i="14"/>
  <c r="D39" i="14" s="1"/>
  <c r="J30" i="14"/>
  <c r="F22" i="14"/>
  <c r="O67" i="14" s="1"/>
  <c r="K22" i="14"/>
  <c r="K39" i="14" s="1"/>
  <c r="F27" i="14"/>
  <c r="J23" i="14"/>
  <c r="O74" i="14"/>
  <c r="AF15" i="3"/>
  <c r="AH15" i="3" s="1"/>
  <c r="AM15" i="3" s="1"/>
  <c r="X15" i="3"/>
  <c r="Z15" i="3" s="1"/>
  <c r="AB15" i="3"/>
  <c r="AD15" i="3" s="1"/>
  <c r="I29" i="14"/>
  <c r="AO14" i="3"/>
  <c r="AD15" i="2"/>
  <c r="S16" i="1" s="1"/>
  <c r="I4" i="14"/>
  <c r="X14" i="6"/>
  <c r="Y14" i="6"/>
  <c r="X10" i="6"/>
  <c r="W10" i="6"/>
  <c r="Y10" i="6"/>
  <c r="W9" i="6"/>
  <c r="X9" i="6"/>
  <c r="Y9" i="6"/>
  <c r="K8" i="3"/>
  <c r="M8" i="3" s="1"/>
  <c r="AD14" i="2"/>
  <c r="S15" i="1" s="1"/>
  <c r="K25" i="14"/>
  <c r="K23" i="14"/>
  <c r="F29" i="14"/>
  <c r="F25" i="14"/>
  <c r="I33" i="14"/>
  <c r="X8" i="3"/>
  <c r="Z8" i="3" s="1"/>
  <c r="AL8" i="3" s="1"/>
  <c r="G8" i="3"/>
  <c r="I8" i="3" s="1"/>
  <c r="C18" i="1"/>
  <c r="AF7" i="3"/>
  <c r="AH7" i="3" s="1"/>
  <c r="AM7" i="3" s="1"/>
  <c r="E32" i="14"/>
  <c r="O5" i="3"/>
  <c r="Q5" i="3" s="1"/>
  <c r="AK5" i="3" s="1"/>
  <c r="AO5" i="3" s="1"/>
  <c r="K9" i="3"/>
  <c r="M9" i="3" s="1"/>
  <c r="AJ9" i="3" s="1"/>
  <c r="S16" i="3"/>
  <c r="AF16" i="3" s="1"/>
  <c r="AH16" i="3" s="1"/>
  <c r="AM16" i="3" s="1"/>
  <c r="F31" i="14"/>
  <c r="F35" i="14"/>
  <c r="V19" i="3"/>
  <c r="AJ12" i="3"/>
  <c r="F33" i="14"/>
  <c r="K29" i="14"/>
  <c r="D24" i="14"/>
  <c r="W11" i="6"/>
  <c r="C3" i="6"/>
  <c r="D3" i="6" s="1"/>
  <c r="AF8" i="3"/>
  <c r="AH8" i="3" s="1"/>
  <c r="AM8" i="3" s="1"/>
  <c r="AO8" i="3" s="1"/>
  <c r="G10" i="3"/>
  <c r="I10" i="3" s="1"/>
  <c r="AB7" i="3"/>
  <c r="AD7" i="3" s="1"/>
  <c r="AL7" i="3" s="1"/>
  <c r="B16" i="1"/>
  <c r="J36" i="14"/>
  <c r="K10" i="3"/>
  <c r="M10" i="3" s="1"/>
  <c r="X12" i="3"/>
  <c r="Z12" i="3" s="1"/>
  <c r="F26" i="14"/>
  <c r="O65" i="14"/>
  <c r="AL4" i="3"/>
  <c r="AF11" i="3"/>
  <c r="AH11" i="3" s="1"/>
  <c r="AM11" i="3" s="1"/>
  <c r="AB11" i="3"/>
  <c r="AD11" i="3" s="1"/>
  <c r="AO12" i="3"/>
  <c r="I22" i="14"/>
  <c r="I39" i="14" s="1"/>
  <c r="C11" i="6"/>
  <c r="D11" i="6" s="1"/>
  <c r="B13" i="1"/>
  <c r="Y4" i="6"/>
  <c r="X4" i="6"/>
  <c r="W4" i="6"/>
  <c r="W12" i="6"/>
  <c r="Y12" i="6"/>
  <c r="X12" i="6"/>
  <c r="J31" i="14"/>
  <c r="B15" i="1"/>
  <c r="I10" i="14"/>
  <c r="D33" i="14"/>
  <c r="C14" i="6"/>
  <c r="D14" i="6" s="1"/>
  <c r="B17" i="1"/>
  <c r="E14" i="14"/>
  <c r="AJ14" i="3"/>
  <c r="W3" i="6"/>
  <c r="X3" i="6"/>
  <c r="Y8" i="6"/>
  <c r="X8" i="6"/>
  <c r="W8" i="6"/>
  <c r="I30" i="14"/>
  <c r="X11" i="3"/>
  <c r="Z11" i="3" s="1"/>
  <c r="E12" i="14"/>
  <c r="C15" i="1"/>
  <c r="K32" i="14"/>
  <c r="I13" i="14"/>
  <c r="O15" i="3"/>
  <c r="Q15" i="3" s="1"/>
  <c r="AK15" i="3" s="1"/>
  <c r="K15" i="3"/>
  <c r="M15" i="3" s="1"/>
  <c r="G15" i="3"/>
  <c r="I15" i="3" s="1"/>
  <c r="AJ15" i="3" s="1"/>
  <c r="I24" i="14"/>
  <c r="I28" i="14"/>
  <c r="K30" i="14"/>
  <c r="E30" i="14"/>
  <c r="C14" i="1"/>
  <c r="AJ5" i="3"/>
  <c r="I14" i="14"/>
  <c r="K33" i="14"/>
  <c r="C7" i="6"/>
  <c r="D7" i="6" s="1"/>
  <c r="B10" i="1"/>
  <c r="D26" i="14"/>
  <c r="E7" i="14"/>
  <c r="E4" i="14"/>
  <c r="D23" i="14"/>
  <c r="W14" i="6"/>
  <c r="X13" i="6"/>
  <c r="B6" i="1"/>
  <c r="K31" i="14"/>
  <c r="AL13" i="3"/>
  <c r="D34" i="14"/>
  <c r="E15" i="14"/>
  <c r="B18" i="1"/>
  <c r="E11" i="14"/>
  <c r="B14" i="1"/>
  <c r="I31" i="14"/>
  <c r="C11" i="1"/>
  <c r="E27" i="14"/>
  <c r="J33" i="14"/>
  <c r="E31" i="14"/>
  <c r="K26" i="14"/>
  <c r="K35" i="14"/>
  <c r="I16" i="14"/>
  <c r="I36" i="14"/>
  <c r="B7" i="1"/>
  <c r="I3" i="14"/>
  <c r="I11" i="14"/>
  <c r="W13" i="6"/>
  <c r="E9" i="14"/>
  <c r="C9" i="6"/>
  <c r="D9" i="6" s="1"/>
  <c r="B12" i="1"/>
  <c r="K27" i="14"/>
  <c r="I8" i="14"/>
  <c r="X9" i="3"/>
  <c r="Z9" i="3" s="1"/>
  <c r="AL9" i="3" s="1"/>
  <c r="AF9" i="3"/>
  <c r="AH9" i="3" s="1"/>
  <c r="AM9" i="3" s="1"/>
  <c r="E8" i="14"/>
  <c r="C8" i="6"/>
  <c r="D8" i="6" s="1"/>
  <c r="B11" i="1"/>
  <c r="J34" i="14"/>
  <c r="W6" i="6"/>
  <c r="Y6" i="6"/>
  <c r="I12" i="14"/>
  <c r="E29" i="14"/>
  <c r="C13" i="1"/>
  <c r="C6" i="6"/>
  <c r="D6" i="6" s="1"/>
  <c r="E6" i="6" s="1"/>
  <c r="E6" i="14"/>
  <c r="D25" i="14"/>
  <c r="B9" i="1"/>
  <c r="AL10" i="3"/>
  <c r="D30" i="14"/>
  <c r="O11" i="3"/>
  <c r="Q11" i="3" s="1"/>
  <c r="AK11" i="3" s="1"/>
  <c r="G11" i="3"/>
  <c r="I11" i="3" s="1"/>
  <c r="K11" i="3"/>
  <c r="M11" i="3" s="1"/>
  <c r="I9" i="14"/>
  <c r="K28" i="14"/>
  <c r="D28" i="14"/>
  <c r="I7" i="14"/>
  <c r="J24" i="14"/>
  <c r="B8" i="1"/>
  <c r="I32" i="14"/>
  <c r="E3" i="14"/>
  <c r="F18" i="14" s="1"/>
  <c r="C19" i="1"/>
  <c r="E35" i="14"/>
  <c r="AD9" i="2"/>
  <c r="S10" i="1" s="1"/>
  <c r="W7" i="6"/>
  <c r="Y7" i="6"/>
  <c r="K4" i="3"/>
  <c r="M4" i="3" s="1"/>
  <c r="AJ4" i="3" s="1"/>
  <c r="O4" i="3"/>
  <c r="Q4" i="3" s="1"/>
  <c r="AK4" i="3" s="1"/>
  <c r="I26" i="14"/>
  <c r="E24" i="14"/>
  <c r="D35" i="14"/>
  <c r="E16" i="14"/>
  <c r="J22" i="14"/>
  <c r="J39" i="14" s="1"/>
  <c r="E13" i="14"/>
  <c r="I5" i="14"/>
  <c r="E10" i="14"/>
  <c r="C10" i="6"/>
  <c r="D10" i="6" s="1"/>
  <c r="E5" i="14"/>
  <c r="AO13" i="3"/>
  <c r="I6" i="14"/>
  <c r="W15" i="6"/>
  <c r="Y15" i="6"/>
  <c r="W16" i="6"/>
  <c r="X16" i="6"/>
  <c r="L18" i="2" s="1"/>
  <c r="K19" i="1" s="1"/>
  <c r="D36" i="14"/>
  <c r="C6" i="1"/>
  <c r="G7" i="3"/>
  <c r="I7" i="3" s="1"/>
  <c r="AJ7" i="3" s="1"/>
  <c r="O7" i="3"/>
  <c r="Q7" i="3" s="1"/>
  <c r="AK7" i="3" s="1"/>
  <c r="K24" i="14"/>
  <c r="E33" i="14"/>
  <c r="C17" i="1"/>
  <c r="K34" i="14"/>
  <c r="G16" i="3"/>
  <c r="I16" i="3" s="1"/>
  <c r="K16" i="3"/>
  <c r="M16" i="3" s="1"/>
  <c r="O16" i="3"/>
  <c r="Q16" i="3" s="1"/>
  <c r="AK16" i="3" s="1"/>
  <c r="AJ18" i="3"/>
  <c r="J27" i="14"/>
  <c r="I15" i="14"/>
  <c r="C4" i="6"/>
  <c r="D4" i="6" s="1"/>
  <c r="F34" i="14"/>
  <c r="AK19" i="2"/>
  <c r="V20" i="1" s="1"/>
  <c r="F36" i="14" s="1"/>
  <c r="Y17" i="6" l="1"/>
  <c r="W17" i="6"/>
  <c r="X17" i="6"/>
  <c r="AL12" i="3"/>
  <c r="S18" i="3"/>
  <c r="AF18" i="3" s="1"/>
  <c r="AH18" i="3" s="1"/>
  <c r="AM18" i="3" s="1"/>
  <c r="AL11" i="3"/>
  <c r="AO17" i="3"/>
  <c r="AO6" i="3"/>
  <c r="AJ10" i="3"/>
  <c r="AO10" i="3"/>
  <c r="X16" i="3"/>
  <c r="Z16" i="3" s="1"/>
  <c r="E14" i="6"/>
  <c r="AN17" i="3"/>
  <c r="AB18" i="2"/>
  <c r="R19" i="1" s="1"/>
  <c r="H35" i="14" s="1"/>
  <c r="AB13" i="2"/>
  <c r="R14" i="1" s="1"/>
  <c r="D14" i="1" s="1"/>
  <c r="E14" i="1" s="1"/>
  <c r="E10" i="6"/>
  <c r="I17" i="14"/>
  <c r="J17" i="14" s="1"/>
  <c r="K36" i="14"/>
  <c r="AB14" i="2"/>
  <c r="R15" i="1" s="1"/>
  <c r="G12" i="14" s="1"/>
  <c r="X19" i="3"/>
  <c r="Z19" i="3" s="1"/>
  <c r="AF19" i="3"/>
  <c r="AH19" i="3" s="1"/>
  <c r="AM19" i="3" s="1"/>
  <c r="AB19" i="3"/>
  <c r="AD19" i="3" s="1"/>
  <c r="AB11" i="2"/>
  <c r="R12" i="1" s="1"/>
  <c r="D12" i="1" s="1"/>
  <c r="E12" i="1" s="1"/>
  <c r="AD18" i="2"/>
  <c r="S19" i="1" s="1"/>
  <c r="J8" i="14"/>
  <c r="O77" i="14"/>
  <c r="E4" i="6"/>
  <c r="O63" i="14"/>
  <c r="J9" i="14"/>
  <c r="J11" i="14"/>
  <c r="J3" i="14"/>
  <c r="J18" i="14"/>
  <c r="AB16" i="3"/>
  <c r="AD16" i="3" s="1"/>
  <c r="AL16" i="3" s="1"/>
  <c r="E11" i="6"/>
  <c r="AN12" i="3"/>
  <c r="AJ8" i="3"/>
  <c r="AN8" i="3" s="1"/>
  <c r="E17" i="14"/>
  <c r="C36" i="14" s="1"/>
  <c r="B77" i="14" s="1"/>
  <c r="J10" i="14"/>
  <c r="AJ16" i="3"/>
  <c r="AD6" i="2"/>
  <c r="S7" i="1" s="1"/>
  <c r="J14" i="14"/>
  <c r="AL15" i="3"/>
  <c r="AB16" i="2" s="1"/>
  <c r="R17" i="1" s="1"/>
  <c r="J35" i="14"/>
  <c r="E19" i="3"/>
  <c r="D15" i="1"/>
  <c r="E15" i="1" s="1"/>
  <c r="H31" i="14"/>
  <c r="AN4" i="3"/>
  <c r="AB5" i="2"/>
  <c r="R6" i="1" s="1"/>
  <c r="AD17" i="2"/>
  <c r="S18" i="1" s="1"/>
  <c r="AO16" i="3"/>
  <c r="AN9" i="3"/>
  <c r="AB10" i="2"/>
  <c r="R11" i="1" s="1"/>
  <c r="C30" i="14"/>
  <c r="F11" i="14"/>
  <c r="E7" i="6"/>
  <c r="J15" i="14"/>
  <c r="AD5" i="2"/>
  <c r="S6" i="1" s="1"/>
  <c r="AO4" i="3"/>
  <c r="F6" i="14"/>
  <c r="C25" i="14"/>
  <c r="AO9" i="3"/>
  <c r="AD10" i="2"/>
  <c r="S11" i="1" s="1"/>
  <c r="J13" i="14"/>
  <c r="AN14" i="3"/>
  <c r="AB15" i="2"/>
  <c r="R16" i="1" s="1"/>
  <c r="AB8" i="2"/>
  <c r="R9" i="1" s="1"/>
  <c r="AN7" i="3"/>
  <c r="B19" i="1"/>
  <c r="AD12" i="2"/>
  <c r="S13" i="1" s="1"/>
  <c r="AO11" i="3"/>
  <c r="F14" i="14"/>
  <c r="C33" i="14"/>
  <c r="J6" i="14"/>
  <c r="F5" i="14"/>
  <c r="C24" i="14"/>
  <c r="C35" i="14"/>
  <c r="C76" i="14" s="1"/>
  <c r="F16" i="14"/>
  <c r="C22" i="14"/>
  <c r="C39" i="14" s="1"/>
  <c r="F3" i="14"/>
  <c r="J7" i="14"/>
  <c r="E9" i="6"/>
  <c r="J16" i="14"/>
  <c r="C34" i="14"/>
  <c r="D75" i="14" s="1"/>
  <c r="F15" i="14"/>
  <c r="C31" i="14"/>
  <c r="C72" i="14" s="1"/>
  <c r="F12" i="14"/>
  <c r="C20" i="1"/>
  <c r="E36" i="14"/>
  <c r="AO7" i="3"/>
  <c r="AD8" i="2"/>
  <c r="S9" i="1" s="1"/>
  <c r="F4" i="14"/>
  <c r="C23" i="14"/>
  <c r="H30" i="14"/>
  <c r="AN10" i="3"/>
  <c r="AN6" i="3"/>
  <c r="AB7" i="2"/>
  <c r="R8" i="1" s="1"/>
  <c r="J5" i="14"/>
  <c r="J12" i="14"/>
  <c r="E8" i="6"/>
  <c r="E5" i="6"/>
  <c r="O75" i="14"/>
  <c r="C29" i="14"/>
  <c r="C70" i="14" s="1"/>
  <c r="F10" i="14"/>
  <c r="AN5" i="3"/>
  <c r="AB6" i="2"/>
  <c r="R7" i="1" s="1"/>
  <c r="E12" i="6"/>
  <c r="O73" i="14"/>
  <c r="AJ11" i="3"/>
  <c r="F13" i="14"/>
  <c r="C32" i="14"/>
  <c r="F8" i="14"/>
  <c r="C27" i="14"/>
  <c r="C68" i="14" s="1"/>
  <c r="F9" i="14"/>
  <c r="C28" i="14"/>
  <c r="B69" i="14" s="1"/>
  <c r="F7" i="14"/>
  <c r="C26" i="14"/>
  <c r="B67" i="14" s="1"/>
  <c r="AO15" i="3"/>
  <c r="AD16" i="2"/>
  <c r="S17" i="1" s="1"/>
  <c r="J4" i="14"/>
  <c r="X18" i="3" l="1"/>
  <c r="Z18" i="3" s="1"/>
  <c r="AB18" i="3"/>
  <c r="AD18" i="3" s="1"/>
  <c r="AN15" i="3"/>
  <c r="G11" i="14"/>
  <c r="AL18" i="3"/>
  <c r="D19" i="1"/>
  <c r="E19" i="1" s="1"/>
  <c r="G16" i="14"/>
  <c r="G35" i="14" s="1"/>
  <c r="B97" i="14" s="1"/>
  <c r="AB17" i="2"/>
  <c r="R18" i="1" s="1"/>
  <c r="D18" i="1" s="1"/>
  <c r="AN16" i="3"/>
  <c r="AO18" i="3"/>
  <c r="AD19" i="2"/>
  <c r="S20" i="1" s="1"/>
  <c r="H28" i="14"/>
  <c r="AL19" i="3"/>
  <c r="G9" i="14"/>
  <c r="G28" i="14" s="1"/>
  <c r="G19" i="3"/>
  <c r="I19" i="3" s="1"/>
  <c r="K19" i="3"/>
  <c r="M19" i="3" s="1"/>
  <c r="O19" i="3"/>
  <c r="Q19" i="3" s="1"/>
  <c r="AK19" i="3" s="1"/>
  <c r="B76" i="14"/>
  <c r="F17" i="14"/>
  <c r="D77" i="14"/>
  <c r="AB9" i="2"/>
  <c r="R10" i="1" s="1"/>
  <c r="B9" i="14"/>
  <c r="D74" i="14"/>
  <c r="C66" i="14"/>
  <c r="D66" i="14"/>
  <c r="D71" i="14"/>
  <c r="D70" i="14"/>
  <c r="B70" i="14"/>
  <c r="B71" i="14"/>
  <c r="D11" i="1"/>
  <c r="E11" i="1" s="1"/>
  <c r="G8" i="14"/>
  <c r="H27" i="14"/>
  <c r="D8" i="1"/>
  <c r="E8" i="1" s="1"/>
  <c r="G5" i="14"/>
  <c r="H24" i="14"/>
  <c r="B65" i="14"/>
  <c r="D65" i="14"/>
  <c r="D68" i="14"/>
  <c r="B68" i="14"/>
  <c r="G31" i="14"/>
  <c r="B93" i="14" s="1"/>
  <c r="C71" i="14"/>
  <c r="D69" i="14"/>
  <c r="C69" i="14"/>
  <c r="C64" i="14"/>
  <c r="D64" i="14"/>
  <c r="D6" i="1"/>
  <c r="E6" i="1" s="1"/>
  <c r="H22" i="14"/>
  <c r="G3" i="14"/>
  <c r="B11" i="14"/>
  <c r="C75" i="14"/>
  <c r="C65" i="14"/>
  <c r="C73" i="14"/>
  <c r="B73" i="14"/>
  <c r="D73" i="14"/>
  <c r="B12" i="14"/>
  <c r="B66" i="14"/>
  <c r="AN11" i="3"/>
  <c r="AB12" i="2"/>
  <c r="R13" i="1" s="1"/>
  <c r="C74" i="14"/>
  <c r="B75" i="14"/>
  <c r="D7" i="1"/>
  <c r="E7" i="1" s="1"/>
  <c r="G4" i="14"/>
  <c r="H23" i="14"/>
  <c r="B74" i="14"/>
  <c r="D72" i="14"/>
  <c r="B72" i="14"/>
  <c r="D76" i="14"/>
  <c r="C67" i="14"/>
  <c r="D67" i="14"/>
  <c r="O61" i="14"/>
  <c r="B63" i="14"/>
  <c r="C63" i="14"/>
  <c r="D63" i="14"/>
  <c r="H32" i="14"/>
  <c r="D16" i="1"/>
  <c r="E16" i="1" s="1"/>
  <c r="G13" i="14"/>
  <c r="B64" i="14"/>
  <c r="C77" i="14"/>
  <c r="H33" i="14"/>
  <c r="D17" i="1"/>
  <c r="E17" i="1" s="1"/>
  <c r="G14" i="14"/>
  <c r="G6" i="14"/>
  <c r="H25" i="14"/>
  <c r="D9" i="1"/>
  <c r="E9" i="1" s="1"/>
  <c r="G15" i="14" l="1"/>
  <c r="G30" i="14"/>
  <c r="B92" i="14" s="1"/>
  <c r="AN18" i="3"/>
  <c r="AB19" i="2"/>
  <c r="R20" i="1" s="1"/>
  <c r="H36" i="14" s="1"/>
  <c r="C97" i="14"/>
  <c r="D97" i="14"/>
  <c r="H34" i="14"/>
  <c r="AO19" i="3"/>
  <c r="AD20" i="2"/>
  <c r="S21" i="1" s="1"/>
  <c r="AJ19" i="3"/>
  <c r="H12" i="14"/>
  <c r="H11" i="14"/>
  <c r="G7" i="14"/>
  <c r="D10" i="1"/>
  <c r="E10" i="1" s="1"/>
  <c r="H26" i="14"/>
  <c r="H3" i="14"/>
  <c r="G22" i="14"/>
  <c r="B84" i="14" s="1"/>
  <c r="H16" i="14"/>
  <c r="B5" i="14"/>
  <c r="B13" i="14"/>
  <c r="G25" i="14"/>
  <c r="B87" i="14" s="1"/>
  <c r="H6" i="14"/>
  <c r="D90" i="14"/>
  <c r="C90" i="14"/>
  <c r="E18" i="1"/>
  <c r="B30" i="14"/>
  <c r="G27" i="14"/>
  <c r="B89" i="14" s="1"/>
  <c r="H8" i="14"/>
  <c r="D92" i="14"/>
  <c r="B14" i="14"/>
  <c r="G10" i="14"/>
  <c r="D13" i="1"/>
  <c r="E13" i="1" s="1"/>
  <c r="H29" i="14"/>
  <c r="C93" i="14"/>
  <c r="D93" i="14"/>
  <c r="G23" i="14"/>
  <c r="H4" i="14"/>
  <c r="B4" i="14"/>
  <c r="G34" i="14"/>
  <c r="H15" i="14"/>
  <c r="B31" i="14"/>
  <c r="B6" i="14"/>
  <c r="G32" i="14"/>
  <c r="H13" i="14"/>
  <c r="B16" i="14"/>
  <c r="O71" i="14"/>
  <c r="B28" i="14"/>
  <c r="H14" i="14"/>
  <c r="G33" i="14"/>
  <c r="B95" i="14" s="1"/>
  <c r="H9" i="14"/>
  <c r="B3" i="14"/>
  <c r="G24" i="14"/>
  <c r="H5" i="14"/>
  <c r="B8" i="14"/>
  <c r="B90" i="14"/>
  <c r="G17" i="14" l="1"/>
  <c r="H17" i="14" s="1"/>
  <c r="D20" i="1"/>
  <c r="E20" i="1" s="1"/>
  <c r="C92" i="14"/>
  <c r="G36" i="14"/>
  <c r="B98" i="14" s="1"/>
  <c r="B96" i="14"/>
  <c r="AB20" i="2"/>
  <c r="R21" i="1" s="1"/>
  <c r="AN19" i="3"/>
  <c r="B7" i="14"/>
  <c r="C7" i="14" s="1"/>
  <c r="H7" i="14"/>
  <c r="G26" i="14"/>
  <c r="D94" i="14"/>
  <c r="C94" i="14"/>
  <c r="D85" i="14"/>
  <c r="C85" i="14"/>
  <c r="O69" i="14"/>
  <c r="D84" i="14"/>
  <c r="C84" i="14"/>
  <c r="D86" i="14"/>
  <c r="C86" i="14"/>
  <c r="C6" i="14"/>
  <c r="B25" i="14"/>
  <c r="C96" i="14"/>
  <c r="D96" i="14"/>
  <c r="B23" i="14"/>
  <c r="C4" i="14"/>
  <c r="B17" i="14"/>
  <c r="E51" i="14"/>
  <c r="H51" i="14"/>
  <c r="C51" i="14"/>
  <c r="D51" i="14"/>
  <c r="I51" i="14"/>
  <c r="G51" i="14"/>
  <c r="F51" i="14"/>
  <c r="B22" i="14"/>
  <c r="C3" i="14"/>
  <c r="B15" i="14"/>
  <c r="C87" i="14"/>
  <c r="D87" i="14"/>
  <c r="B85" i="14"/>
  <c r="C9" i="14"/>
  <c r="B10" i="14"/>
  <c r="C14" i="14"/>
  <c r="B33" i="14"/>
  <c r="C11" i="14"/>
  <c r="B94" i="14"/>
  <c r="C13" i="14"/>
  <c r="B32" i="14"/>
  <c r="B27" i="14"/>
  <c r="C8" i="14"/>
  <c r="C16" i="14"/>
  <c r="B35" i="14"/>
  <c r="E52" i="14"/>
  <c r="C52" i="14"/>
  <c r="K45" i="14"/>
  <c r="H52" i="14"/>
  <c r="G52" i="14"/>
  <c r="I52" i="14"/>
  <c r="D52" i="14"/>
  <c r="F52" i="14"/>
  <c r="C89" i="14"/>
  <c r="D89" i="14"/>
  <c r="C95" i="14"/>
  <c r="D95" i="14"/>
  <c r="B86" i="14"/>
  <c r="B24" i="14"/>
  <c r="C5" i="14"/>
  <c r="H49" i="14"/>
  <c r="E49" i="14"/>
  <c r="D49" i="14"/>
  <c r="G49" i="14"/>
  <c r="I49" i="14"/>
  <c r="C49" i="14"/>
  <c r="F49" i="14"/>
  <c r="C12" i="14"/>
  <c r="G29" i="14"/>
  <c r="H10" i="14"/>
  <c r="C98" i="14" l="1"/>
  <c r="D98" i="14"/>
  <c r="H37" i="14"/>
  <c r="F59" i="14" s="1"/>
  <c r="D21" i="1"/>
  <c r="E21" i="1" s="1"/>
  <c r="G18" i="14"/>
  <c r="E59" i="14"/>
  <c r="D59" i="14"/>
  <c r="I59" i="14"/>
  <c r="H59" i="14"/>
  <c r="C59" i="14"/>
  <c r="G59" i="14"/>
  <c r="B88" i="14"/>
  <c r="D88" i="14"/>
  <c r="C88" i="14"/>
  <c r="B26" i="14"/>
  <c r="E45" i="14"/>
  <c r="C45" i="14"/>
  <c r="G45" i="14"/>
  <c r="H45" i="14"/>
  <c r="I45" i="14"/>
  <c r="D45" i="14"/>
  <c r="F45" i="14"/>
  <c r="K47" i="14"/>
  <c r="G54" i="14"/>
  <c r="E54" i="14"/>
  <c r="D54" i="14"/>
  <c r="I54" i="14"/>
  <c r="H54" i="14"/>
  <c r="C54" i="14"/>
  <c r="F54" i="14"/>
  <c r="C17" i="14"/>
  <c r="B36" i="14"/>
  <c r="K50" i="14" s="1"/>
  <c r="D91" i="14"/>
  <c r="C91" i="14"/>
  <c r="B91" i="14"/>
  <c r="H44" i="14"/>
  <c r="E44" i="14"/>
  <c r="D44" i="14"/>
  <c r="I44" i="14"/>
  <c r="G44" i="14"/>
  <c r="C44" i="14"/>
  <c r="F44" i="14"/>
  <c r="I43" i="14"/>
  <c r="C43" i="14"/>
  <c r="D43" i="14"/>
  <c r="E43" i="14"/>
  <c r="G43" i="14"/>
  <c r="H43" i="14"/>
  <c r="F43" i="14"/>
  <c r="D53" i="14"/>
  <c r="K46" i="14"/>
  <c r="C53" i="14"/>
  <c r="E53" i="14"/>
  <c r="H53" i="14"/>
  <c r="I53" i="14"/>
  <c r="G53" i="14"/>
  <c r="F53" i="14"/>
  <c r="B29" i="14"/>
  <c r="C10" i="14"/>
  <c r="K49" i="14"/>
  <c r="E56" i="14"/>
  <c r="G56" i="14"/>
  <c r="D56" i="14"/>
  <c r="H56" i="14"/>
  <c r="C56" i="14"/>
  <c r="I56" i="14"/>
  <c r="F56" i="14"/>
  <c r="C15" i="14"/>
  <c r="B34" i="14"/>
  <c r="G48" i="14"/>
  <c r="E48" i="14"/>
  <c r="C48" i="14"/>
  <c r="I48" i="14"/>
  <c r="H48" i="14"/>
  <c r="D48" i="14"/>
  <c r="F48" i="14"/>
  <c r="G46" i="14"/>
  <c r="D46" i="14"/>
  <c r="E46" i="14"/>
  <c r="I46" i="14"/>
  <c r="H46" i="14"/>
  <c r="C46" i="14"/>
  <c r="F46" i="14"/>
  <c r="G37" i="14" l="1"/>
  <c r="H18" i="14"/>
  <c r="B18" i="14"/>
  <c r="H39" i="14"/>
  <c r="B99" i="14"/>
  <c r="O72" i="14"/>
  <c r="D47" i="14"/>
  <c r="H47" i="14"/>
  <c r="G47" i="14"/>
  <c r="I47" i="14"/>
  <c r="C47" i="14"/>
  <c r="F47" i="14"/>
  <c r="E47" i="14"/>
  <c r="C50" i="14"/>
  <c r="H50" i="14"/>
  <c r="E50" i="14"/>
  <c r="G50" i="14"/>
  <c r="I50" i="14"/>
  <c r="D50" i="14"/>
  <c r="F50" i="14"/>
  <c r="K48" i="14"/>
  <c r="D55" i="14"/>
  <c r="G55" i="14"/>
  <c r="E55" i="14"/>
  <c r="H55" i="14"/>
  <c r="C55" i="14"/>
  <c r="I55" i="14"/>
  <c r="F55" i="14"/>
  <c r="H57" i="14"/>
  <c r="E57" i="14"/>
  <c r="G57" i="14"/>
  <c r="I57" i="14"/>
  <c r="C57" i="14"/>
  <c r="D57" i="14"/>
  <c r="F57" i="14"/>
  <c r="B37" i="14" l="1"/>
  <c r="C18" i="14"/>
  <c r="O70" i="14"/>
  <c r="D99" i="14"/>
  <c r="C99" i="14"/>
  <c r="G39" i="14"/>
  <c r="I58" i="14" l="1"/>
  <c r="D58" i="14"/>
  <c r="K51" i="14"/>
  <c r="E58" i="14"/>
  <c r="G58" i="14"/>
  <c r="H58" i="14"/>
  <c r="C58" i="14"/>
  <c r="B39" i="14"/>
  <c r="B59" i="14"/>
  <c r="F58" i="1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Jason Elliott</author>
  </authors>
  <commentList>
    <comment ref="F2" authorId="0" shapeId="0" xr:uid="{00000000-0006-0000-0200-000001000000}">
      <text>
        <r>
          <rPr>
            <b/>
            <sz val="9"/>
            <color rgb="FF000000"/>
            <rFont val="Tahoma"/>
            <family val="2"/>
          </rPr>
          <t>Jason Elliott:</t>
        </r>
        <r>
          <rPr>
            <sz val="9"/>
            <color rgb="FF000000"/>
            <rFont val="Tahoma"/>
            <family val="2"/>
          </rPr>
          <t xml:space="preserve">
</t>
        </r>
        <r>
          <rPr>
            <sz val="9"/>
            <color rgb="FF000000"/>
            <rFont val="Tahoma"/>
            <family val="2"/>
          </rPr>
          <t>Scope 1 emissions are direct GHG emissions occurring from sources that are owned or controlled by the institution, including on-campus stationary combustion of fossil fuels, mobile combusion of fossil fuels by institution owned/controlled vehicles, and other emissions (e.g. fertilizer and refrigerants).</t>
        </r>
      </text>
    </comment>
    <comment ref="Q2" authorId="0" shapeId="0" xr:uid="{00000000-0006-0000-0200-000002000000}">
      <text>
        <r>
          <rPr>
            <b/>
            <sz val="9"/>
            <color indexed="81"/>
            <rFont val="Tahoma"/>
            <family val="2"/>
          </rPr>
          <t>Jason Elliott:</t>
        </r>
        <r>
          <rPr>
            <sz val="9"/>
            <color indexed="81"/>
            <rFont val="Tahoma"/>
            <family val="2"/>
          </rPr>
          <t xml:space="preserve">
Scope 2 emissions are indirect emissions generated in the production of electricity consumed by the institution, i.e. electricity sold by Duke Energy.</t>
        </r>
      </text>
    </comment>
    <comment ref="R2" authorId="0" shapeId="0" xr:uid="{00000000-0006-0000-0200-000003000000}">
      <text>
        <r>
          <rPr>
            <b/>
            <sz val="9"/>
            <color indexed="81"/>
            <rFont val="Tahoma"/>
            <family val="2"/>
          </rPr>
          <t>Jason Elliott:</t>
        </r>
        <r>
          <rPr>
            <sz val="9"/>
            <color indexed="81"/>
            <rFont val="Tahoma"/>
            <family val="2"/>
          </rPr>
          <t xml:space="preserve">
Scope 3 emissions include all other indirect emissions that are a consequence of activities of the institution, but occur from sources not owned or controlled by the institutions, e.g. staff and faculty commuting, and air travel paid for by Duke, landfilled waste, and fugitive emissions from energy-related activities.</t>
        </r>
      </text>
    </comment>
    <comment ref="F4" authorId="0" shapeId="0" xr:uid="{00000000-0006-0000-0200-000004000000}">
      <text>
        <r>
          <rPr>
            <b/>
            <sz val="9"/>
            <color rgb="FF000000"/>
            <rFont val="Tahoma"/>
            <family val="2"/>
          </rPr>
          <t>Jason Elliott:</t>
        </r>
        <r>
          <rPr>
            <sz val="9"/>
            <color rgb="FF000000"/>
            <rFont val="Tahoma"/>
            <family val="2"/>
          </rPr>
          <t xml:space="preserve">
</t>
        </r>
        <r>
          <rPr>
            <sz val="9"/>
            <color rgb="FF000000"/>
            <rFont val="Tahoma"/>
            <family val="2"/>
          </rPr>
          <t>In 2012, Duke closed their on-site coal facilities.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Jason Elliott</author>
    <author>Tavey Capps</author>
  </authors>
  <commentList>
    <comment ref="B1" authorId="0" shapeId="0" xr:uid="{00000000-0006-0000-0300-000001000000}">
      <text>
        <r>
          <rPr>
            <b/>
            <sz val="9"/>
            <color rgb="FF000000"/>
            <rFont val="Tahoma"/>
            <family val="2"/>
          </rPr>
          <t>Jason Elliott:</t>
        </r>
        <r>
          <rPr>
            <sz val="9"/>
            <color rgb="FF000000"/>
            <rFont val="Tahoma"/>
            <family val="2"/>
          </rPr>
          <t xml:space="preserve">
</t>
        </r>
        <r>
          <rPr>
            <sz val="9"/>
            <color rgb="FF000000"/>
            <rFont val="Tahoma"/>
            <family val="2"/>
          </rPr>
          <t>Scope 1 emissions are direct GHG emissions occurring from sources that are owned or controlled by the institution, including on-campus stationary combustion of fossil fuels, mobile combusion of fossil fuels by institution owned/controlled vehicles, and other emissions (e.g. fertilizer and refrigerants).</t>
        </r>
      </text>
    </comment>
    <comment ref="Z1" authorId="0" shapeId="0" xr:uid="{00000000-0006-0000-0300-000002000000}">
      <text>
        <r>
          <rPr>
            <b/>
            <sz val="9"/>
            <color rgb="FF000000"/>
            <rFont val="Tahoma"/>
            <family val="2"/>
          </rPr>
          <t>Jason Elliott:</t>
        </r>
        <r>
          <rPr>
            <sz val="9"/>
            <color rgb="FF000000"/>
            <rFont val="Tahoma"/>
            <family val="2"/>
          </rPr>
          <t xml:space="preserve">
</t>
        </r>
        <r>
          <rPr>
            <sz val="9"/>
            <color rgb="FF000000"/>
            <rFont val="Tahoma"/>
            <family val="2"/>
          </rPr>
          <t>Scope 2 emissions are indirect emissions generated in the production of electricity consumed by the institution, i.e. electricity sold by Duke Energy.</t>
        </r>
      </text>
    </comment>
    <comment ref="AB1" authorId="0" shapeId="0" xr:uid="{00000000-0006-0000-0300-000003000000}">
      <text>
        <r>
          <rPr>
            <b/>
            <sz val="9"/>
            <color indexed="81"/>
            <rFont val="Tahoma"/>
            <family val="2"/>
          </rPr>
          <t>Jason Elliott:</t>
        </r>
        <r>
          <rPr>
            <sz val="9"/>
            <color indexed="81"/>
            <rFont val="Tahoma"/>
            <family val="2"/>
          </rPr>
          <t xml:space="preserve">
Scope 3 emissions include all other indirect emissions that are a consequence of activities of the institution, but occur from sources not owned or controlled by the institutions, e.g. staff and faculty commuting, air travel paid for by Duke, and solid waste.</t>
        </r>
      </text>
    </comment>
    <comment ref="B3" authorId="0" shapeId="0" xr:uid="{00000000-0006-0000-0300-000004000000}">
      <text>
        <r>
          <rPr>
            <b/>
            <sz val="9"/>
            <color indexed="81"/>
            <rFont val="Tahoma"/>
            <family val="2"/>
          </rPr>
          <t>Jason Elliott:</t>
        </r>
        <r>
          <rPr>
            <sz val="9"/>
            <color indexed="81"/>
            <rFont val="Tahoma"/>
            <family val="2"/>
          </rPr>
          <t xml:space="preserve">
In 2012, Duke closed their on-site coal facilities.</t>
        </r>
      </text>
    </comment>
    <comment ref="C4" authorId="0" shapeId="0" xr:uid="{00000000-0006-0000-0300-000005000000}">
      <text>
        <r>
          <rPr>
            <b/>
            <sz val="9"/>
            <color indexed="81"/>
            <rFont val="Tahoma"/>
            <family val="2"/>
          </rPr>
          <t>Jason Elliott:</t>
        </r>
        <r>
          <rPr>
            <sz val="9"/>
            <color indexed="81"/>
            <rFont val="Tahoma"/>
            <family val="2"/>
          </rPr>
          <t xml:space="preserve">
Emission factor sourced from Clean Air, Cool Planet GHG calculation spreadsheets</t>
        </r>
      </text>
    </comment>
    <comment ref="E4" authorId="0" shapeId="0" xr:uid="{00000000-0006-0000-0300-000006000000}">
      <text>
        <r>
          <rPr>
            <b/>
            <sz val="9"/>
            <color indexed="81"/>
            <rFont val="Tahoma"/>
            <family val="2"/>
          </rPr>
          <t>Jason Elliott:</t>
        </r>
        <r>
          <rPr>
            <sz val="9"/>
            <color indexed="81"/>
            <rFont val="Tahoma"/>
            <family val="2"/>
          </rPr>
          <t xml:space="preserve">
Emission factor sourced from Clean Air, Cool Planet GHG calculation spreadsheets</t>
        </r>
      </text>
    </comment>
    <comment ref="G4" authorId="0" shapeId="0" xr:uid="{00000000-0006-0000-0300-000007000000}">
      <text>
        <r>
          <rPr>
            <b/>
            <sz val="9"/>
            <color indexed="81"/>
            <rFont val="Tahoma"/>
            <family val="2"/>
          </rPr>
          <t>Jason Elliott:</t>
        </r>
        <r>
          <rPr>
            <sz val="9"/>
            <color indexed="81"/>
            <rFont val="Tahoma"/>
            <family val="2"/>
          </rPr>
          <t xml:space="preserve">
Emission factor sourced from Clean Air, Cool Planet GHG calculation spreadsheets</t>
        </r>
      </text>
    </comment>
    <comment ref="I4" authorId="0" shapeId="0" xr:uid="{00000000-0006-0000-0300-000008000000}">
      <text>
        <r>
          <rPr>
            <b/>
            <sz val="9"/>
            <color indexed="81"/>
            <rFont val="Tahoma"/>
            <family val="2"/>
          </rPr>
          <t>Jason Elliott:</t>
        </r>
        <r>
          <rPr>
            <sz val="9"/>
            <color indexed="81"/>
            <rFont val="Tahoma"/>
            <family val="2"/>
          </rPr>
          <t xml:space="preserve">
Emission factor sourced from Clean Air, Cool Planet GHG calculation spreadsheets</t>
        </r>
      </text>
    </comment>
    <comment ref="K4" authorId="0" shapeId="0" xr:uid="{00000000-0006-0000-0300-000009000000}">
      <text>
        <r>
          <rPr>
            <b/>
            <sz val="9"/>
            <color indexed="81"/>
            <rFont val="Tahoma"/>
            <family val="2"/>
          </rPr>
          <t>Jason Elliott:</t>
        </r>
        <r>
          <rPr>
            <sz val="9"/>
            <color indexed="81"/>
            <rFont val="Tahoma"/>
            <family val="2"/>
          </rPr>
          <t xml:space="preserve">
This was calculated using the CACP spreadsheet. Note: CO2e had to be calculated from CO2, CH4, and N2O with their respective GWP (1, 23, 296)</t>
        </r>
      </text>
    </comment>
    <comment ref="M4" authorId="0" shapeId="0" xr:uid="{00000000-0006-0000-0300-00000A000000}">
      <text>
        <r>
          <rPr>
            <b/>
            <sz val="9"/>
            <color indexed="81"/>
            <rFont val="Tahoma"/>
            <family val="2"/>
          </rPr>
          <t>Jason Elliott:</t>
        </r>
        <r>
          <rPr>
            <sz val="9"/>
            <color indexed="81"/>
            <rFont val="Tahoma"/>
            <family val="2"/>
          </rPr>
          <t xml:space="preserve">
This was calculated using the CACP spreadsheet. Note: CO2e had to be calculated from CO2, CH4, and N2O with their respective GWP (1, 23, 296)</t>
        </r>
      </text>
    </comment>
    <comment ref="P4" authorId="0" shapeId="0" xr:uid="{00000000-0006-0000-0300-00000B000000}">
      <text>
        <r>
          <rPr>
            <b/>
            <sz val="9"/>
            <color rgb="FF000000"/>
            <rFont val="Tahoma"/>
            <family val="2"/>
          </rPr>
          <t>Jason Elliott:</t>
        </r>
        <r>
          <rPr>
            <sz val="9"/>
            <color rgb="FF000000"/>
            <rFont val="Tahoma"/>
            <family val="2"/>
          </rPr>
          <t xml:space="preserve">
</t>
        </r>
        <r>
          <rPr>
            <sz val="9"/>
            <color rgb="FF000000"/>
            <rFont val="Tahoma"/>
            <family val="2"/>
          </rPr>
          <t>Emission factor sourced from Clean Air, Cool Planet GHG calculation spreadsheets</t>
        </r>
      </text>
    </comment>
    <comment ref="S4" authorId="0" shapeId="0" xr:uid="{00000000-0006-0000-0300-00000C000000}">
      <text>
        <r>
          <rPr>
            <b/>
            <sz val="9"/>
            <color indexed="81"/>
            <rFont val="Tahoma"/>
            <family val="2"/>
          </rPr>
          <t>Jason Elliott:</t>
        </r>
        <r>
          <rPr>
            <sz val="9"/>
            <color indexed="81"/>
            <rFont val="Tahoma"/>
            <family val="2"/>
          </rPr>
          <t xml:space="preserve">
Emission factor sourced from Clean Air, Cool Planet GHG calculation spreadsheets</t>
        </r>
      </text>
    </comment>
    <comment ref="U4" authorId="0" shapeId="0" xr:uid="{00000000-0006-0000-0300-00000D000000}">
      <text>
        <r>
          <rPr>
            <b/>
            <sz val="9"/>
            <color rgb="FF000000"/>
            <rFont val="Tahoma"/>
            <family val="2"/>
          </rPr>
          <t>Jason Elliott:</t>
        </r>
        <r>
          <rPr>
            <sz val="9"/>
            <color rgb="FF000000"/>
            <rFont val="Tahoma"/>
            <family val="2"/>
          </rPr>
          <t xml:space="preserve">
</t>
        </r>
        <r>
          <rPr>
            <sz val="9"/>
            <color rgb="FF000000"/>
            <rFont val="Tahoma"/>
            <family val="2"/>
          </rPr>
          <t>Emission factor sourced from Clean Air, Cool Planet GHG calculation spreadsheets</t>
        </r>
      </text>
    </comment>
    <comment ref="W4" authorId="0" shapeId="0" xr:uid="{00000000-0006-0000-0300-00000E000000}">
      <text>
        <r>
          <rPr>
            <b/>
            <sz val="9"/>
            <color indexed="81"/>
            <rFont val="Tahoma"/>
            <family val="2"/>
          </rPr>
          <t>Jason Elliott:</t>
        </r>
        <r>
          <rPr>
            <sz val="9"/>
            <color indexed="81"/>
            <rFont val="Tahoma"/>
            <family val="2"/>
          </rPr>
          <t xml:space="preserve">
Emission factor sourced from Clean Air, Cool Planet GHG calculation spreadsheets</t>
        </r>
      </text>
    </comment>
    <comment ref="Y4" authorId="0" shapeId="0" xr:uid="{00000000-0006-0000-0300-00000F000000}">
      <text>
        <r>
          <rPr>
            <b/>
            <sz val="9"/>
            <color indexed="81"/>
            <rFont val="Tahoma"/>
            <family val="2"/>
          </rPr>
          <t>Jason Elliott:</t>
        </r>
        <r>
          <rPr>
            <sz val="9"/>
            <color indexed="81"/>
            <rFont val="Tahoma"/>
            <family val="2"/>
          </rPr>
          <t xml:space="preserve">
Emission factor sourced from Clean Air, Cool Planet GHG calculation spreadsheets</t>
        </r>
      </text>
    </comment>
    <comment ref="AA4" authorId="0" shapeId="0" xr:uid="{00000000-0006-0000-0300-000010000000}">
      <text>
        <r>
          <rPr>
            <b/>
            <sz val="9"/>
            <color rgb="FF000000"/>
            <rFont val="Tahoma"/>
            <family val="2"/>
          </rPr>
          <t>Jason Elliott:</t>
        </r>
        <r>
          <rPr>
            <sz val="9"/>
            <color rgb="FF000000"/>
            <rFont val="Tahoma"/>
            <family val="2"/>
          </rPr>
          <t xml:space="preserve">
</t>
        </r>
        <r>
          <rPr>
            <sz val="9"/>
            <color rgb="FF000000"/>
            <rFont val="Tahoma"/>
            <family val="2"/>
          </rPr>
          <t>Duke's energy manager receives this number directly from Duke Energy</t>
        </r>
      </text>
    </comment>
    <comment ref="AC4" authorId="0" shapeId="0" xr:uid="{00000000-0006-0000-0300-000011000000}">
      <text>
        <r>
          <rPr>
            <b/>
            <sz val="9"/>
            <color indexed="81"/>
            <rFont val="Tahoma"/>
            <family val="2"/>
          </rPr>
          <t>Jason Elliott:</t>
        </r>
        <r>
          <rPr>
            <sz val="9"/>
            <color indexed="81"/>
            <rFont val="Tahoma"/>
            <family val="2"/>
          </rPr>
          <t xml:space="preserve">
This was calculated using the CACP spreadsheet. Note: CO2e had to be calculated from CO2, CH4, and N2O with their respective GWP (1, 23, 296)</t>
        </r>
      </text>
    </comment>
    <comment ref="AE4" authorId="0" shapeId="0" xr:uid="{00000000-0006-0000-0300-000012000000}">
      <text>
        <r>
          <rPr>
            <b/>
            <sz val="9"/>
            <color indexed="81"/>
            <rFont val="Tahoma"/>
            <family val="2"/>
          </rPr>
          <t>Jason Elliott:</t>
        </r>
        <r>
          <rPr>
            <sz val="9"/>
            <color indexed="81"/>
            <rFont val="Tahoma"/>
            <family val="2"/>
          </rPr>
          <t xml:space="preserve">
This was calculated using the CACP spreadsheet. Note: CO2e had to be calculated from CO2, CH4, and N2O with their respective GWP (1, 23, 296)</t>
        </r>
      </text>
    </comment>
    <comment ref="AI4" authorId="0" shapeId="0" xr:uid="{00000000-0006-0000-0300-000013000000}">
      <text>
        <r>
          <rPr>
            <b/>
            <sz val="9"/>
            <color indexed="81"/>
            <rFont val="Tahoma"/>
            <family val="2"/>
          </rPr>
          <t>Jason Elliott:</t>
        </r>
        <r>
          <rPr>
            <sz val="9"/>
            <color indexed="81"/>
            <rFont val="Tahoma"/>
            <family val="2"/>
          </rPr>
          <t xml:space="preserve">
Emission factor sourced from Clean Air, Cool Planet GHG calculation spreadsheets</t>
        </r>
      </text>
    </comment>
    <comment ref="AK4" authorId="0" shapeId="0" xr:uid="{00000000-0006-0000-0300-000014000000}">
      <text>
        <r>
          <rPr>
            <b/>
            <sz val="9"/>
            <color indexed="81"/>
            <rFont val="Tahoma"/>
            <family val="2"/>
          </rPr>
          <t>Jason Elliott:</t>
        </r>
        <r>
          <rPr>
            <sz val="9"/>
            <color indexed="81"/>
            <rFont val="Tahoma"/>
            <family val="2"/>
          </rPr>
          <t xml:space="preserve">
Duke's energy manager receives this number directly from Duke Energy</t>
        </r>
      </text>
    </comment>
    <comment ref="AM4" authorId="0" shapeId="0" xr:uid="{00000000-0006-0000-0300-000015000000}">
      <text>
        <r>
          <rPr>
            <b/>
            <sz val="9"/>
            <color indexed="81"/>
            <rFont val="Tahoma"/>
            <family val="2"/>
          </rPr>
          <t>Jason Elliott:</t>
        </r>
        <r>
          <rPr>
            <sz val="9"/>
            <color indexed="81"/>
            <rFont val="Tahoma"/>
            <family val="2"/>
          </rPr>
          <t xml:space="preserve">
Emission factor taken from CACP spreadsheet</t>
        </r>
      </text>
    </comment>
    <comment ref="AN4" authorId="1" shapeId="0" xr:uid="{00000000-0006-0000-0300-000016000000}">
      <text>
        <r>
          <rPr>
            <b/>
            <sz val="9"/>
            <color indexed="81"/>
            <rFont val="Tahoma"/>
            <family val="2"/>
          </rPr>
          <t>Tavey Capps:</t>
        </r>
        <r>
          <rPr>
            <sz val="9"/>
            <color indexed="81"/>
            <rFont val="Tahoma"/>
            <family val="2"/>
          </rPr>
          <t xml:space="preserve">
edited FY10-FY14 numbers to match Arwen's more accurate data</t>
        </r>
      </text>
    </comment>
    <comment ref="AO4" authorId="0" shapeId="0" xr:uid="{00000000-0006-0000-0300-000017000000}">
      <text>
        <r>
          <rPr>
            <b/>
            <sz val="9"/>
            <color indexed="81"/>
            <rFont val="Tahoma"/>
            <family val="2"/>
          </rPr>
          <t>Jason Elliott:</t>
        </r>
        <r>
          <rPr>
            <sz val="9"/>
            <color indexed="81"/>
            <rFont val="Tahoma"/>
            <family val="2"/>
          </rPr>
          <t xml:space="preserve">
Emission factor taken from CACP spreadsheet</t>
        </r>
      </text>
    </comment>
    <comment ref="AH15" authorId="0" shapeId="0" xr:uid="{00000000-0006-0000-0300-00001B000000}">
      <text>
        <r>
          <rPr>
            <b/>
            <sz val="9"/>
            <color rgb="FF000000"/>
            <rFont val="Tahoma"/>
            <family val="2"/>
          </rPr>
          <t>Jason Elliott:</t>
        </r>
        <r>
          <rPr>
            <sz val="9"/>
            <color rgb="FF000000"/>
            <rFont val="Tahoma"/>
            <family val="2"/>
          </rPr>
          <t xml:space="preserve">
</t>
        </r>
        <r>
          <rPr>
            <sz val="9"/>
            <color rgb="FF000000"/>
            <rFont val="Tahoma"/>
            <family val="2"/>
          </rPr>
          <t xml:space="preserve">In Fiscal Year 2017, Duke University decided to begin estimating fugitive emissions from natural gas use. The percent lost is estimated at 1.27%. </t>
        </r>
      </text>
    </comment>
    <comment ref="AJ15" authorId="0" shapeId="0" xr:uid="{00000000-0006-0000-0300-00001C000000}">
      <text>
        <r>
          <rPr>
            <b/>
            <sz val="9"/>
            <color rgb="FF000000"/>
            <rFont val="Tahoma"/>
            <family val="2"/>
          </rPr>
          <t>Jason Elliott:</t>
        </r>
        <r>
          <rPr>
            <sz val="9"/>
            <color rgb="FF000000"/>
            <rFont val="Tahoma"/>
            <family val="2"/>
          </rPr>
          <t xml:space="preserve">
</t>
        </r>
        <r>
          <rPr>
            <sz val="9"/>
            <color rgb="FF000000"/>
            <rFont val="Tahoma"/>
            <family val="2"/>
          </rPr>
          <t>In Fiscal Year 2017, Duke University decided to include an estimate of transmission losses. This loss is estimated at 9%.</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Charles Adair</author>
    <author>Jason Elliott</author>
  </authors>
  <commentList>
    <comment ref="P3" authorId="0" shapeId="0" xr:uid="{00000000-0006-0000-0400-000001000000}">
      <text>
        <r>
          <rPr>
            <b/>
            <sz val="9"/>
            <color rgb="FF000000"/>
            <rFont val="Calibri"/>
            <family val="2"/>
          </rPr>
          <t>Charles Adair:</t>
        </r>
        <r>
          <rPr>
            <sz val="9"/>
            <color rgb="FF000000"/>
            <rFont val="Calibri"/>
            <family val="2"/>
          </rPr>
          <t xml:space="preserve">
</t>
        </r>
        <r>
          <rPr>
            <sz val="9"/>
            <color rgb="FF000000"/>
            <rFont val="Calibri"/>
            <family val="2"/>
          </rPr>
          <t>This fuel efficiency CACP spreadsheet.</t>
        </r>
      </text>
    </comment>
    <comment ref="Y3" authorId="1" shapeId="0" xr:uid="{24A3C110-1138-0441-AC66-DA282B96CF90}">
      <text>
        <r>
          <rPr>
            <b/>
            <sz val="10"/>
            <color rgb="FF000000"/>
            <rFont val="Tahoma"/>
            <family val="2"/>
          </rPr>
          <t>Jason Elliott:</t>
        </r>
        <r>
          <rPr>
            <sz val="10"/>
            <color rgb="FF000000"/>
            <rFont val="Tahoma"/>
            <family val="2"/>
          </rPr>
          <t xml:space="preserve">
</t>
        </r>
        <r>
          <rPr>
            <sz val="12"/>
            <color rgb="FF000000"/>
            <rFont val="Calibri"/>
            <family val="2"/>
            <scheme val="minor"/>
          </rPr>
          <t>Fuel efficiency data is gathered from Dept of Transportation</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Jason Elliott</author>
  </authors>
  <commentList>
    <comment ref="B2" authorId="0" shapeId="0" xr:uid="{00000000-0006-0000-0600-000001000000}">
      <text>
        <r>
          <rPr>
            <b/>
            <sz val="9"/>
            <color indexed="81"/>
            <rFont val="Tahoma"/>
            <family val="2"/>
          </rPr>
          <t>Jason Elliott:</t>
        </r>
        <r>
          <rPr>
            <sz val="9"/>
            <color indexed="81"/>
            <rFont val="Tahoma"/>
            <family val="2"/>
          </rPr>
          <t xml:space="preserve">
Data taken from AEI spreadsheet</t>
        </r>
      </text>
    </comment>
  </commentList>
</comments>
</file>

<file path=xl/sharedStrings.xml><?xml version="1.0" encoding="utf-8"?>
<sst xmlns="http://schemas.openxmlformats.org/spreadsheetml/2006/main" count="291" uniqueCount="161">
  <si>
    <t>SCOPE 1 EMISSIONS</t>
  </si>
  <si>
    <t>SCOPE 2 EMISSIONS</t>
  </si>
  <si>
    <t>SCOPE 3 EMISSIONS</t>
  </si>
  <si>
    <t>Year</t>
  </si>
  <si>
    <t>Coal</t>
  </si>
  <si>
    <t>Natural Gas</t>
  </si>
  <si>
    <t>Fuel Oil</t>
  </si>
  <si>
    <t>Propane</t>
  </si>
  <si>
    <t>Actual Usage (Tons)</t>
  </si>
  <si>
    <t>Actual Usage (gal)</t>
  </si>
  <si>
    <t>MTCO2e/mmBtu</t>
  </si>
  <si>
    <t>Actual Usage (mmBtu)</t>
  </si>
  <si>
    <t>MTCO2e/ton</t>
  </si>
  <si>
    <t>MTCO2e/gal</t>
  </si>
  <si>
    <t>On-Campus Stationary Fuel Sources</t>
  </si>
  <si>
    <t>Duke Owned Fleet Emissions</t>
  </si>
  <si>
    <t>Gasoline</t>
  </si>
  <si>
    <t>Diesel</t>
  </si>
  <si>
    <t>Other Emissions</t>
  </si>
  <si>
    <t>Synthetic Fertilizer</t>
  </si>
  <si>
    <t>Actual Usage (lbs)</t>
  </si>
  <si>
    <t>MTCO2e/lb</t>
  </si>
  <si>
    <t>Organic Fertilizer</t>
  </si>
  <si>
    <t>HFC-134a</t>
  </si>
  <si>
    <t>HFC-404a</t>
  </si>
  <si>
    <t>HCFC-22</t>
  </si>
  <si>
    <t>Electricity</t>
  </si>
  <si>
    <t>Actual Usage (kWh)</t>
  </si>
  <si>
    <t>Air Travel</t>
  </si>
  <si>
    <t>MTCO2e/gallon</t>
  </si>
  <si>
    <t>Drive Alone</t>
  </si>
  <si>
    <t>Carpool</t>
  </si>
  <si>
    <t>Bus</t>
  </si>
  <si>
    <t>Faculty</t>
  </si>
  <si>
    <t>Population</t>
  </si>
  <si>
    <t>Avg Distance (one-way)</t>
  </si>
  <si>
    <t># of Trips/day</t>
  </si>
  <si>
    <t>Days/Year</t>
  </si>
  <si>
    <t>Fuel Efficiency</t>
  </si>
  <si>
    <t>% of Faculty</t>
  </si>
  <si>
    <t>General Information about Faculty Commuting</t>
  </si>
  <si>
    <t>Staff</t>
  </si>
  <si>
    <t>General Information about Staff Commuting</t>
  </si>
  <si>
    <t>% of Staff</t>
  </si>
  <si>
    <t># of Miles/Year</t>
  </si>
  <si>
    <t>Fuel Consumption (gal)</t>
  </si>
  <si>
    <t>Total Fuel Consumption</t>
  </si>
  <si>
    <t>Actual Usage Gasoline (gal)</t>
  </si>
  <si>
    <t>Actual Usage Diesel (gal)</t>
  </si>
  <si>
    <t>Gasoline (gal)</t>
  </si>
  <si>
    <t>Diesel (gal)</t>
  </si>
  <si>
    <t>Actual CO2e Emissions</t>
  </si>
  <si>
    <t>NA</t>
  </si>
  <si>
    <t>MTCO2e/MWh</t>
  </si>
  <si>
    <t>Actual Usage (miles)</t>
  </si>
  <si>
    <t>MTCO2e/miles</t>
  </si>
  <si>
    <t>Scope 1 Emissions</t>
  </si>
  <si>
    <t>Scope 2 Emissions</t>
  </si>
  <si>
    <t>Scope 3 Emissions</t>
  </si>
  <si>
    <t>Total Emissions</t>
  </si>
  <si>
    <t>Staff and Faculty Commuting</t>
  </si>
  <si>
    <t>% Nitrogen</t>
  </si>
  <si>
    <t>MTCO2e/lb of N</t>
  </si>
  <si>
    <t>Total</t>
  </si>
  <si>
    <t>Solid Waste</t>
  </si>
  <si>
    <t>Actual Usage (Short Tons)</t>
  </si>
  <si>
    <t>MTCO2e/short ton</t>
  </si>
  <si>
    <t>Incinerated Waste</t>
  </si>
  <si>
    <t>Landfilled Waste</t>
  </si>
  <si>
    <t>$/mile from AA</t>
  </si>
  <si>
    <t>Total Spent for Air Travel</t>
  </si>
  <si>
    <t>Please DO NOT enter commuting data here. Please use the Commuter and Air Travel Data tab.</t>
  </si>
  <si>
    <t>Steam Avg Emission Factor</t>
  </si>
  <si>
    <t>Steam Usage (klb)</t>
  </si>
  <si>
    <t>Actual Plant Emissions (MTCO2e)</t>
  </si>
  <si>
    <t>% Change in Steam EF</t>
  </si>
  <si>
    <t>Please DO NOT enter any data on this tab. To enter data, please use the ActualEmissionsData and CommuterAndAirTravelData tabs.</t>
  </si>
  <si>
    <t>AEI Tracker GSF</t>
  </si>
  <si>
    <t>Steam Plant Efficiency</t>
  </si>
  <si>
    <t>Building Efficiency</t>
  </si>
  <si>
    <t>CAP Included</t>
  </si>
  <si>
    <t>Company Code 10</t>
  </si>
  <si>
    <t>Health System</t>
  </si>
  <si>
    <t>Company Code 10 (minus faculty)</t>
  </si>
  <si>
    <t>Hospital</t>
  </si>
  <si>
    <t>% Univ, SOM,  SON</t>
  </si>
  <si>
    <t xml:space="preserve">Faculty </t>
  </si>
  <si>
    <t>Full-Time Students</t>
  </si>
  <si>
    <t>Total Students, Staff, and Faculty (Company Code 10)</t>
  </si>
  <si>
    <t>Total Students, Staff, and Faculty (Univ and DUHS)</t>
  </si>
  <si>
    <t>Energy Use (mmBtu)</t>
  </si>
  <si>
    <t>Campus Footprint</t>
  </si>
  <si>
    <t>Steam-based kBtu/GSF</t>
  </si>
  <si>
    <t>Fuel-based kBtu/GSF</t>
  </si>
  <si>
    <t>Transmission Losses</t>
  </si>
  <si>
    <t>Est Losses (kWh)</t>
  </si>
  <si>
    <t>Est. Losses (mmBtu)</t>
  </si>
  <si>
    <t>Emissions Summary</t>
  </si>
  <si>
    <t>Commuting</t>
  </si>
  <si>
    <t>Fleet</t>
  </si>
  <si>
    <t>% Change from 2007</t>
  </si>
  <si>
    <t>Energy Emissions</t>
  </si>
  <si>
    <t>Fugitive Emissions</t>
  </si>
  <si>
    <t>CAP Emissions (Est.)</t>
  </si>
  <si>
    <t>Other</t>
  </si>
  <si>
    <t>Steam Plant Fuel</t>
  </si>
  <si>
    <t>Percent of Total Emissions</t>
  </si>
  <si>
    <t>Percent of Total Energy Emissions</t>
  </si>
  <si>
    <t>Percent of Total Transportation Emissions</t>
  </si>
  <si>
    <t>Transportation</t>
  </si>
  <si>
    <t>Natural Gas Fugitive Emissions</t>
  </si>
  <si>
    <t>Gross Square Footage</t>
  </si>
  <si>
    <t>Total Staff (Univ and DUHS)</t>
  </si>
  <si>
    <t>Total Staff and Faculty (Univ and DUHS)</t>
  </si>
  <si>
    <t>subtracting fugitive emissions</t>
  </si>
  <si>
    <t>Transmission Losses from Electricity</t>
  </si>
  <si>
    <t>Fugitive Emissions from Energy-Related Activities</t>
  </si>
  <si>
    <t>Nat Gas Fugitive Emissions</t>
  </si>
  <si>
    <t xml:space="preserve">Estimated MTCO2e </t>
  </si>
  <si>
    <t>Actual MTCO2e</t>
  </si>
  <si>
    <t>SCOPE 2</t>
  </si>
  <si>
    <t>SCOPE 3</t>
  </si>
  <si>
    <t>days in year, no weekends</t>
  </si>
  <si>
    <t>vacation days</t>
  </si>
  <si>
    <t>holidays</t>
  </si>
  <si>
    <t>discretionary days</t>
  </si>
  <si>
    <t>sick days</t>
  </si>
  <si>
    <t>employees don't take all vacation/sick time</t>
  </si>
  <si>
    <t>weighted average of remote work days</t>
  </si>
  <si>
    <t>total potential days</t>
  </si>
  <si>
    <t>staff most likely days</t>
  </si>
  <si>
    <t>faculty most likely days</t>
  </si>
  <si>
    <t>estimate of remote workers</t>
  </si>
  <si>
    <t>staff total commute days</t>
  </si>
  <si>
    <t>faculty total commute days</t>
  </si>
  <si>
    <t>FY2020</t>
  </si>
  <si>
    <t>FY2021</t>
  </si>
  <si>
    <t>FY2022</t>
  </si>
  <si>
    <t>FY2023</t>
  </si>
  <si>
    <t>FY2024</t>
  </si>
  <si>
    <t># of potential remote work days</t>
  </si>
  <si>
    <t>2007 Steam Plant Fuel</t>
  </si>
  <si>
    <t>2007 Energy</t>
  </si>
  <si>
    <t>Emissions (MTCO2e)</t>
  </si>
  <si>
    <t>2007 Electricity</t>
  </si>
  <si>
    <t>2007 Fugitive Energy</t>
  </si>
  <si>
    <t>2007 Transportation</t>
  </si>
  <si>
    <t>2007 Commuting</t>
  </si>
  <si>
    <t>2007 Air Travel</t>
  </si>
  <si>
    <t>2007 Fleet</t>
  </si>
  <si>
    <t>2007 Other</t>
  </si>
  <si>
    <t>2022 Energy</t>
  </si>
  <si>
    <t>2022 Steam Plant Fuel</t>
  </si>
  <si>
    <t>2022 Electricity</t>
  </si>
  <si>
    <t>2022 Fugitive Energy</t>
  </si>
  <si>
    <t>2022 Transportation</t>
  </si>
  <si>
    <t>2022 Commuting</t>
  </si>
  <si>
    <t>2022 Air Travel</t>
  </si>
  <si>
    <t>2022 Fleet</t>
  </si>
  <si>
    <t>2022 Other</t>
  </si>
  <si>
    <t>Reduction since FY2007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</si>
</sst>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44" formatCode="_(&quot;$&quot;* #,##0.00_);_(&quot;$&quot;* \(#,##0.00\);_(&quot;$&quot;* &quot;-&quot;??_);_(@_)"/>
    <numFmt numFmtId="43" formatCode="_(* #,##0.00_);_(* \(#,##0.00\);_(* &quot;-&quot;??_);_(@_)"/>
    <numFmt numFmtId="164" formatCode="_(* #,##0_);_(* \(#,##0\);_(* &quot;-&quot;??_);_(@_)"/>
    <numFmt numFmtId="165" formatCode="0.0000"/>
    <numFmt numFmtId="166" formatCode="_(* #,##0.0000_);_(* \(#,##0.0000\);_(* &quot;-&quot;??_);_(@_)"/>
    <numFmt numFmtId="167" formatCode="0.0%"/>
    <numFmt numFmtId="168" formatCode="0.00000"/>
    <numFmt numFmtId="169" formatCode="0.000000"/>
    <numFmt numFmtId="170" formatCode="0.00000000E+00"/>
    <numFmt numFmtId="171" formatCode="0.0"/>
    <numFmt numFmtId="172" formatCode="_(* #,##0.0_);_(* \(#,##0.0\);_(* &quot;-&quot;??_);_(@_)"/>
    <numFmt numFmtId="173" formatCode="_(* #,##0.00000_);_(* \(#,##0.00000\);_(* &quot;-&quot;??_);_(@_)"/>
  </numFmts>
  <fonts count="23" x14ac:knownFonts="1">
    <font>
      <sz val="11"/>
      <color theme="1"/>
      <name val="Calibri"/>
      <family val="2"/>
      <scheme val="minor"/>
    </font>
    <font>
      <sz val="11"/>
      <color theme="1"/>
      <name val="Calibri"/>
      <family val="2"/>
      <scheme val="minor"/>
    </font>
    <font>
      <sz val="9"/>
      <color indexed="81"/>
      <name val="Tahoma"/>
      <family val="2"/>
    </font>
    <font>
      <b/>
      <sz val="9"/>
      <color indexed="81"/>
      <name val="Tahoma"/>
      <family val="2"/>
    </font>
    <font>
      <sz val="26"/>
      <color theme="1"/>
      <name val="Calibri"/>
      <family val="2"/>
      <scheme val="minor"/>
    </font>
    <font>
      <b/>
      <sz val="11"/>
      <color theme="1"/>
      <name val="Calibri"/>
      <family val="2"/>
      <scheme val="minor"/>
    </font>
    <font>
      <b/>
      <i/>
      <sz val="11"/>
      <color theme="1"/>
      <name val="Calibri"/>
      <family val="2"/>
      <scheme val="minor"/>
    </font>
    <font>
      <b/>
      <sz val="14"/>
      <color theme="1"/>
      <name val="Calibri"/>
      <family val="2"/>
      <scheme val="minor"/>
    </font>
    <font>
      <sz val="11"/>
      <name val="Calibri"/>
      <family val="2"/>
      <scheme val="minor"/>
    </font>
    <font>
      <u/>
      <sz val="11"/>
      <color theme="10"/>
      <name val="Calibri"/>
      <family val="2"/>
      <scheme val="minor"/>
    </font>
    <font>
      <u/>
      <sz val="11"/>
      <color theme="11"/>
      <name val="Calibri"/>
      <family val="2"/>
      <scheme val="minor"/>
    </font>
    <font>
      <sz val="11"/>
      <color theme="1"/>
      <name val="Calibri"/>
      <family val="2"/>
      <scheme val="minor"/>
    </font>
    <font>
      <sz val="26"/>
      <color theme="1"/>
      <name val="Calibri"/>
      <family val="2"/>
      <scheme val="minor"/>
    </font>
    <font>
      <sz val="11"/>
      <color theme="1"/>
      <name val="Calibri"/>
      <family val="2"/>
      <scheme val="minor"/>
    </font>
    <font>
      <i/>
      <sz val="11"/>
      <color theme="1"/>
      <name val="Calibri"/>
      <family val="2"/>
      <scheme val="minor"/>
    </font>
    <font>
      <b/>
      <sz val="18"/>
      <color theme="1"/>
      <name val="Calibri"/>
      <family val="2"/>
      <scheme val="minor"/>
    </font>
    <font>
      <b/>
      <sz val="9"/>
      <color rgb="FF000000"/>
      <name val="Tahoma"/>
      <family val="2"/>
    </font>
    <font>
      <sz val="9"/>
      <color rgb="FF000000"/>
      <name val="Tahoma"/>
      <family val="2"/>
    </font>
    <font>
      <sz val="10"/>
      <color rgb="FF000000"/>
      <name val="Tahoma"/>
      <family val="2"/>
    </font>
    <font>
      <b/>
      <sz val="10"/>
      <color rgb="FF000000"/>
      <name val="Tahoma"/>
      <family val="2"/>
    </font>
    <font>
      <sz val="12"/>
      <color rgb="FF000000"/>
      <name val="Calibri"/>
      <family val="2"/>
      <scheme val="minor"/>
    </font>
    <font>
      <b/>
      <sz val="9"/>
      <color rgb="FF000000"/>
      <name val="Calibri"/>
      <family val="2"/>
    </font>
    <font>
      <sz val="9"/>
      <color rgb="FF000000"/>
      <name val="Calibri"/>
      <family val="2"/>
    </font>
  </fonts>
  <fills count="8">
    <fill>
      <patternFill patternType="none"/>
    </fill>
    <fill>
      <patternFill patternType="gray125"/>
    </fill>
    <fill>
      <patternFill patternType="solid">
        <fgColor theme="0" tint="-0.249977111117893"/>
        <bgColor indexed="64"/>
      </patternFill>
    </fill>
    <fill>
      <patternFill patternType="solid">
        <fgColor theme="0" tint="-0.14999847407452621"/>
        <bgColor indexed="64"/>
      </patternFill>
    </fill>
    <fill>
      <patternFill patternType="solid">
        <fgColor rgb="FFFFFF00"/>
        <bgColor indexed="64"/>
      </patternFill>
    </fill>
    <fill>
      <patternFill patternType="solid">
        <fgColor rgb="FFFCECE1"/>
        <bgColor indexed="64"/>
      </patternFill>
    </fill>
    <fill>
      <patternFill patternType="solid">
        <fgColor theme="2" tint="-9.9978637043366805E-2"/>
        <bgColor indexed="64"/>
      </patternFill>
    </fill>
    <fill>
      <patternFill patternType="solid">
        <fgColor theme="7" tint="0.79998168889431442"/>
        <bgColor indexed="64"/>
      </patternFill>
    </fill>
  </fills>
  <borders count="5">
    <border>
      <left/>
      <right/>
      <top/>
      <bottom/>
      <diagonal/>
    </border>
    <border>
      <left/>
      <right/>
      <top/>
      <bottom style="thin">
        <color indexed="64"/>
      </bottom>
      <diagonal/>
    </border>
    <border>
      <left/>
      <right/>
      <top style="thin">
        <color indexed="64"/>
      </top>
      <bottom style="double">
        <color indexed="64"/>
      </bottom>
      <diagonal/>
    </border>
    <border>
      <left/>
      <right/>
      <top style="thin">
        <color indexed="64"/>
      </top>
      <bottom/>
      <diagonal/>
    </border>
    <border>
      <left/>
      <right/>
      <top style="double">
        <color indexed="64"/>
      </top>
      <bottom style="double">
        <color indexed="64"/>
      </bottom>
      <diagonal/>
    </border>
  </borders>
  <cellStyleXfs count="6">
    <xf numFmtId="0" fontId="0" fillId="0" borderId="0"/>
    <xf numFmtId="43" fontId="1" fillId="0" borderId="0" applyFont="0" applyFill="0" applyBorder="0" applyAlignment="0" applyProtection="0"/>
    <xf numFmtId="9" fontId="1" fillId="0" borderId="0" applyFont="0" applyFill="0" applyBorder="0" applyAlignment="0" applyProtection="0"/>
    <xf numFmtId="44" fontId="1" fillId="0" borderId="0" applyFon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cellStyleXfs>
  <cellXfs count="107">
    <xf numFmtId="0" fontId="0" fillId="0" borderId="0" xfId="0"/>
    <xf numFmtId="43" fontId="0" fillId="0" borderId="0" xfId="1" applyFont="1"/>
    <xf numFmtId="164" fontId="0" fillId="0" borderId="0" xfId="1" applyNumberFormat="1" applyFont="1"/>
    <xf numFmtId="165" fontId="0" fillId="0" borderId="0" xfId="0" applyNumberFormat="1"/>
    <xf numFmtId="9" fontId="0" fillId="0" borderId="0" xfId="2" applyFont="1"/>
    <xf numFmtId="166" fontId="0" fillId="0" borderId="0" xfId="1" applyNumberFormat="1" applyFont="1"/>
    <xf numFmtId="2" fontId="0" fillId="0" borderId="0" xfId="0" applyNumberFormat="1"/>
    <xf numFmtId="164" fontId="0" fillId="0" borderId="0" xfId="0" applyNumberFormat="1"/>
    <xf numFmtId="167" fontId="0" fillId="0" borderId="0" xfId="2" applyNumberFormat="1" applyFont="1"/>
    <xf numFmtId="168" fontId="0" fillId="0" borderId="0" xfId="0" applyNumberFormat="1"/>
    <xf numFmtId="170" fontId="0" fillId="0" borderId="0" xfId="0" applyNumberFormat="1"/>
    <xf numFmtId="0" fontId="0" fillId="5" borderId="0" xfId="0" applyFill="1"/>
    <xf numFmtId="164" fontId="0" fillId="5" borderId="0" xfId="1" applyNumberFormat="1" applyFont="1" applyFill="1"/>
    <xf numFmtId="169" fontId="0" fillId="5" borderId="0" xfId="0" applyNumberFormat="1" applyFill="1"/>
    <xf numFmtId="166" fontId="0" fillId="5" borderId="0" xfId="1" applyNumberFormat="1" applyFont="1" applyFill="1"/>
    <xf numFmtId="165" fontId="0" fillId="5" borderId="0" xfId="0" applyNumberFormat="1" applyFill="1"/>
    <xf numFmtId="0" fontId="0" fillId="0" borderId="0" xfId="0" applyAlignment="1">
      <alignment wrapText="1"/>
    </xf>
    <xf numFmtId="9" fontId="0" fillId="0" borderId="0" xfId="0" applyNumberFormat="1"/>
    <xf numFmtId="43" fontId="0" fillId="0" borderId="0" xfId="0" applyNumberFormat="1"/>
    <xf numFmtId="164" fontId="0" fillId="0" borderId="0" xfId="1" applyNumberFormat="1" applyFont="1" applyFill="1"/>
    <xf numFmtId="9" fontId="0" fillId="0" borderId="0" xfId="2" applyFont="1" applyFill="1"/>
    <xf numFmtId="164" fontId="8" fillId="0" borderId="0" xfId="1" applyNumberFormat="1" applyFont="1" applyFill="1"/>
    <xf numFmtId="172" fontId="8" fillId="0" borderId="0" xfId="1" applyNumberFormat="1" applyFont="1" applyFill="1"/>
    <xf numFmtId="164" fontId="0" fillId="0" borderId="0" xfId="0" applyNumberFormat="1" applyAlignment="1">
      <alignment horizontal="left" indent="12"/>
    </xf>
    <xf numFmtId="3" fontId="0" fillId="0" borderId="0" xfId="0" applyNumberFormat="1"/>
    <xf numFmtId="0" fontId="11" fillId="0" borderId="0" xfId="0" applyFont="1"/>
    <xf numFmtId="0" fontId="11" fillId="0" borderId="0" xfId="0" applyFont="1" applyAlignment="1">
      <alignment horizontal="center"/>
    </xf>
    <xf numFmtId="164" fontId="11" fillId="0" borderId="0" xfId="1" applyNumberFormat="1" applyFont="1"/>
    <xf numFmtId="2" fontId="11" fillId="0" borderId="0" xfId="0" applyNumberFormat="1" applyFont="1"/>
    <xf numFmtId="9" fontId="11" fillId="0" borderId="0" xfId="2" applyFont="1"/>
    <xf numFmtId="164" fontId="11" fillId="0" borderId="0" xfId="0" applyNumberFormat="1" applyFont="1"/>
    <xf numFmtId="44" fontId="11" fillId="0" borderId="0" xfId="3" applyFont="1"/>
    <xf numFmtId="164" fontId="11" fillId="3" borderId="0" xfId="1" applyNumberFormat="1" applyFont="1" applyFill="1"/>
    <xf numFmtId="43" fontId="11" fillId="0" borderId="0" xfId="1" applyFont="1"/>
    <xf numFmtId="164" fontId="8" fillId="0" borderId="0" xfId="1" applyNumberFormat="1" applyFont="1" applyFill="1" applyBorder="1"/>
    <xf numFmtId="172" fontId="8" fillId="0" borderId="0" xfId="1" applyNumberFormat="1" applyFont="1" applyFill="1" applyBorder="1"/>
    <xf numFmtId="0" fontId="7" fillId="0" borderId="0" xfId="0" applyFont="1" applyAlignment="1">
      <alignment horizontal="center"/>
    </xf>
    <xf numFmtId="0" fontId="7" fillId="6" borderId="0" xfId="0" applyFont="1" applyFill="1" applyAlignment="1">
      <alignment horizontal="center"/>
    </xf>
    <xf numFmtId="0" fontId="5" fillId="0" borderId="0" xfId="0" applyFont="1"/>
    <xf numFmtId="166" fontId="0" fillId="0" borderId="0" xfId="0" applyNumberFormat="1"/>
    <xf numFmtId="0" fontId="5" fillId="0" borderId="0" xfId="0" applyFont="1" applyAlignment="1">
      <alignment horizontal="center"/>
    </xf>
    <xf numFmtId="9" fontId="1" fillId="0" borderId="0" xfId="2" applyFont="1"/>
    <xf numFmtId="0" fontId="7" fillId="0" borderId="0" xfId="0" applyFont="1"/>
    <xf numFmtId="44" fontId="1" fillId="0" borderId="0" xfId="3" applyFont="1"/>
    <xf numFmtId="164" fontId="1" fillId="0" borderId="0" xfId="1" applyNumberFormat="1" applyFont="1"/>
    <xf numFmtId="10" fontId="0" fillId="0" borderId="0" xfId="2" applyNumberFormat="1" applyFont="1"/>
    <xf numFmtId="43" fontId="11" fillId="0" borderId="0" xfId="0" applyNumberFormat="1" applyFont="1"/>
    <xf numFmtId="164" fontId="0" fillId="0" borderId="0" xfId="1" applyNumberFormat="1" applyFont="1" applyAlignment="1"/>
    <xf numFmtId="0" fontId="5" fillId="0" borderId="1" xfId="0" applyFont="1" applyBorder="1" applyAlignment="1">
      <alignment horizontal="center"/>
    </xf>
    <xf numFmtId="173" fontId="0" fillId="0" borderId="0" xfId="0" applyNumberFormat="1"/>
    <xf numFmtId="164" fontId="0" fillId="0" borderId="0" xfId="2" applyNumberFormat="1" applyFont="1"/>
    <xf numFmtId="0" fontId="0" fillId="7" borderId="0" xfId="0" applyFill="1" applyAlignment="1">
      <alignment wrapText="1"/>
    </xf>
    <xf numFmtId="0" fontId="0" fillId="7" borderId="0" xfId="0" applyFill="1"/>
    <xf numFmtId="164" fontId="0" fillId="7" borderId="0" xfId="1" applyNumberFormat="1" applyFont="1" applyFill="1"/>
    <xf numFmtId="164" fontId="13" fillId="7" borderId="0" xfId="1" applyNumberFormat="1" applyFont="1" applyFill="1"/>
    <xf numFmtId="164" fontId="0" fillId="7" borderId="0" xfId="0" applyNumberFormat="1" applyFill="1"/>
    <xf numFmtId="164" fontId="8" fillId="7" borderId="0" xfId="1" applyNumberFormat="1" applyFont="1" applyFill="1"/>
    <xf numFmtId="164" fontId="8" fillId="7" borderId="0" xfId="1" applyNumberFormat="1" applyFont="1" applyFill="1" applyBorder="1"/>
    <xf numFmtId="0" fontId="5" fillId="0" borderId="1" xfId="0" applyFont="1" applyBorder="1"/>
    <xf numFmtId="0" fontId="0" fillId="0" borderId="0" xfId="0" applyAlignment="1">
      <alignment horizontal="center"/>
    </xf>
    <xf numFmtId="0" fontId="4" fillId="0" borderId="0" xfId="0" applyFont="1" applyAlignment="1">
      <alignment horizontal="center"/>
    </xf>
    <xf numFmtId="43" fontId="0" fillId="0" borderId="0" xfId="1" applyFont="1" applyFill="1"/>
    <xf numFmtId="0" fontId="0" fillId="0" borderId="1" xfId="0" applyBorder="1"/>
    <xf numFmtId="0" fontId="11" fillId="0" borderId="2" xfId="0" applyFont="1" applyBorder="1"/>
    <xf numFmtId="0" fontId="0" fillId="0" borderId="0" xfId="0" applyAlignment="1">
      <alignment horizontal="right"/>
    </xf>
    <xf numFmtId="0" fontId="11" fillId="0" borderId="0" xfId="0" applyFont="1" applyAlignment="1">
      <alignment horizontal="right"/>
    </xf>
    <xf numFmtId="0" fontId="5" fillId="0" borderId="0" xfId="0" applyFont="1" applyAlignment="1">
      <alignment horizontal="right"/>
    </xf>
    <xf numFmtId="1" fontId="5" fillId="0" borderId="2" xfId="0" applyNumberFormat="1" applyFont="1" applyBorder="1"/>
    <xf numFmtId="1" fontId="5" fillId="0" borderId="4" xfId="0" applyNumberFormat="1" applyFont="1" applyBorder="1"/>
    <xf numFmtId="1" fontId="11" fillId="0" borderId="3" xfId="0" applyNumberFormat="1" applyFont="1" applyBorder="1"/>
    <xf numFmtId="44" fontId="11" fillId="0" borderId="0" xfId="0" applyNumberFormat="1" applyFont="1"/>
    <xf numFmtId="0" fontId="5" fillId="0" borderId="0" xfId="0" applyFont="1" applyAlignment="1">
      <alignment horizontal="left"/>
    </xf>
    <xf numFmtId="10" fontId="0" fillId="0" borderId="0" xfId="0" applyNumberFormat="1"/>
    <xf numFmtId="0" fontId="0" fillId="0" borderId="0" xfId="2" applyNumberFormat="1" applyFont="1"/>
    <xf numFmtId="0" fontId="14" fillId="0" borderId="0" xfId="0" applyFont="1"/>
    <xf numFmtId="2" fontId="14" fillId="0" borderId="0" xfId="0" applyNumberFormat="1" applyFont="1"/>
    <xf numFmtId="9" fontId="14" fillId="0" borderId="0" xfId="2" applyFont="1"/>
    <xf numFmtId="164" fontId="14" fillId="0" borderId="0" xfId="0" applyNumberFormat="1" applyFont="1"/>
    <xf numFmtId="44" fontId="14" fillId="0" borderId="0" xfId="3" applyFont="1"/>
    <xf numFmtId="164" fontId="14" fillId="0" borderId="0" xfId="1" applyNumberFormat="1" applyFont="1"/>
    <xf numFmtId="44" fontId="11" fillId="0" borderId="0" xfId="3" applyFont="1" applyFill="1"/>
    <xf numFmtId="166" fontId="0" fillId="0" borderId="0" xfId="1" applyNumberFormat="1" applyFont="1" applyFill="1"/>
    <xf numFmtId="169" fontId="0" fillId="0" borderId="0" xfId="0" applyNumberFormat="1"/>
    <xf numFmtId="0" fontId="5" fillId="0" borderId="0" xfId="0" applyFont="1" applyAlignment="1">
      <alignment horizontal="left"/>
    </xf>
    <xf numFmtId="0" fontId="0" fillId="0" borderId="0" xfId="0" applyAlignment="1">
      <alignment horizontal="center"/>
    </xf>
    <xf numFmtId="0" fontId="4" fillId="2" borderId="0" xfId="0" applyFont="1" applyFill="1" applyAlignment="1">
      <alignment horizontal="center"/>
    </xf>
    <xf numFmtId="0" fontId="4" fillId="0" borderId="0" xfId="0" applyFont="1" applyAlignment="1">
      <alignment horizontal="center"/>
    </xf>
    <xf numFmtId="0" fontId="5" fillId="0" borderId="0" xfId="0" applyFont="1" applyAlignment="1">
      <alignment horizontal="center"/>
    </xf>
    <xf numFmtId="0" fontId="0" fillId="5" borderId="0" xfId="0" applyFill="1" applyAlignment="1">
      <alignment horizontal="center"/>
    </xf>
    <xf numFmtId="0" fontId="6" fillId="4" borderId="0" xfId="0" applyFont="1" applyFill="1" applyAlignment="1">
      <alignment horizontal="center"/>
    </xf>
    <xf numFmtId="0" fontId="6" fillId="0" borderId="0" xfId="0" applyFont="1" applyAlignment="1">
      <alignment horizontal="center"/>
    </xf>
    <xf numFmtId="0" fontId="12" fillId="0" borderId="0" xfId="0" applyFont="1" applyAlignment="1">
      <alignment horizontal="center"/>
    </xf>
    <xf numFmtId="0" fontId="11" fillId="0" borderId="0" xfId="0" applyFont="1" applyAlignment="1">
      <alignment horizontal="center"/>
    </xf>
    <xf numFmtId="0" fontId="12" fillId="2" borderId="0" xfId="0" applyFont="1" applyFill="1" applyAlignment="1">
      <alignment horizontal="center"/>
    </xf>
    <xf numFmtId="0" fontId="15" fillId="0" borderId="0" xfId="0" applyFont="1" applyAlignment="1">
      <alignment horizontal="center"/>
    </xf>
    <xf numFmtId="0" fontId="0" fillId="2" borderId="0" xfId="0" applyFill="1" applyAlignment="1">
      <alignment horizontal="center"/>
    </xf>
    <xf numFmtId="0" fontId="0" fillId="0" borderId="0" xfId="0" applyFill="1"/>
    <xf numFmtId="0" fontId="11" fillId="0" borderId="0" xfId="0" applyFont="1" applyFill="1"/>
    <xf numFmtId="9" fontId="11" fillId="0" borderId="0" xfId="2" applyFont="1" applyFill="1"/>
    <xf numFmtId="164" fontId="11" fillId="0" borderId="0" xfId="0" applyNumberFormat="1" applyFont="1" applyFill="1"/>
    <xf numFmtId="171" fontId="11" fillId="0" borderId="0" xfId="0" applyNumberFormat="1" applyFont="1" applyFill="1"/>
    <xf numFmtId="10" fontId="11" fillId="0" borderId="0" xfId="0" applyNumberFormat="1" applyFont="1" applyFill="1"/>
    <xf numFmtId="9" fontId="1" fillId="0" borderId="0" xfId="2" applyFont="1" applyFill="1"/>
    <xf numFmtId="164" fontId="0" fillId="0" borderId="0" xfId="0" applyNumberFormat="1" applyFill="1"/>
    <xf numFmtId="0" fontId="14" fillId="0" borderId="0" xfId="0" applyFont="1" applyFill="1"/>
    <xf numFmtId="9" fontId="14" fillId="0" borderId="0" xfId="2" applyFont="1" applyFill="1"/>
    <xf numFmtId="164" fontId="14" fillId="0" borderId="0" xfId="0" applyNumberFormat="1" applyFont="1" applyFill="1"/>
  </cellXfs>
  <cellStyles count="6">
    <cellStyle name="Comma" xfId="1" builtinId="3"/>
    <cellStyle name="Currency" xfId="3" builtinId="4"/>
    <cellStyle name="Followed Hyperlink" xfId="5" builtinId="9" hidden="1"/>
    <cellStyle name="Hyperlink" xfId="4" builtinId="8" hidden="1"/>
    <cellStyle name="Normal" xfId="0" builtinId="0"/>
    <cellStyle name="Percent" xfId="2" builtinId="5"/>
  </cellStyles>
  <dxfs count="0"/>
  <tableStyles count="0" defaultTableStyle="TableStyleMedium2" defaultPivotStyle="PivotStyleLight16"/>
  <colors>
    <mruColors>
      <color rgb="FF548235"/>
      <color rgb="FF6288CC"/>
      <color rgb="FFFFD347"/>
      <color rgb="FFFFC000"/>
      <color rgb="FF00437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11.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2.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3.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4.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r>
              <a:rPr lang="en-US" sz="1800" b="1"/>
              <a:t>Historical Duke Emissions</a:t>
            </a:r>
          </a:p>
        </c:rich>
      </c:tx>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8228550236118141"/>
          <c:y val="0.11839883444171036"/>
          <c:w val="0.79444990393571313"/>
          <c:h val="0.67811579266580058"/>
        </c:manualLayout>
      </c:layout>
      <c:areaChart>
        <c:grouping val="stacked"/>
        <c:varyColors val="0"/>
        <c:ser>
          <c:idx val="6"/>
          <c:order val="2"/>
          <c:tx>
            <c:strRef>
              <c:f>Graphs!$G$2</c:f>
              <c:strCache>
                <c:ptCount val="1"/>
                <c:pt idx="0">
                  <c:v>Transportation</c:v>
                </c:pt>
              </c:strCache>
            </c:strRef>
          </c:tx>
          <c:spPr>
            <a:solidFill>
              <a:schemeClr val="accent1"/>
            </a:solidFill>
            <a:ln>
              <a:noFill/>
            </a:ln>
            <a:effectLst/>
          </c:spPr>
          <c:cat>
            <c:numRef>
              <c:f>Graphs!$A$22:$A$37</c:f>
              <c:numCache>
                <c:formatCode>General</c:formatCode>
                <c:ptCount val="16"/>
                <c:pt idx="0">
                  <c:v>2007</c:v>
                </c:pt>
                <c:pt idx="1">
                  <c:v>2008</c:v>
                </c:pt>
                <c:pt idx="2">
                  <c:v>2009</c:v>
                </c:pt>
                <c:pt idx="3">
                  <c:v>2010</c:v>
                </c:pt>
                <c:pt idx="4">
                  <c:v>2011</c:v>
                </c:pt>
                <c:pt idx="5">
                  <c:v>2012</c:v>
                </c:pt>
                <c:pt idx="6">
                  <c:v>2013</c:v>
                </c:pt>
                <c:pt idx="7">
                  <c:v>2014</c:v>
                </c:pt>
                <c:pt idx="8">
                  <c:v>2015</c:v>
                </c:pt>
                <c:pt idx="9">
                  <c:v>2016</c:v>
                </c:pt>
                <c:pt idx="10">
                  <c:v>2017</c:v>
                </c:pt>
                <c:pt idx="11">
                  <c:v>2018</c:v>
                </c:pt>
                <c:pt idx="12">
                  <c:v>2019</c:v>
                </c:pt>
                <c:pt idx="13">
                  <c:v>2020</c:v>
                </c:pt>
                <c:pt idx="14">
                  <c:v>2021</c:v>
                </c:pt>
                <c:pt idx="15">
                  <c:v>2022</c:v>
                </c:pt>
              </c:numCache>
            </c:numRef>
          </c:cat>
          <c:val>
            <c:numRef>
              <c:f>Graphs!$G$3:$G$18</c:f>
              <c:numCache>
                <c:formatCode>_(* #,##0_);_(* \(#,##0\);_(* "-"??_);_(@_)</c:formatCode>
                <c:ptCount val="16"/>
                <c:pt idx="0">
                  <c:v>72254.469091305946</c:v>
                </c:pt>
                <c:pt idx="1">
                  <c:v>67982.714244445116</c:v>
                </c:pt>
                <c:pt idx="2">
                  <c:v>79015.302016687448</c:v>
                </c:pt>
                <c:pt idx="3">
                  <c:v>75752.8273332518</c:v>
                </c:pt>
                <c:pt idx="4">
                  <c:v>81563.331287328125</c:v>
                </c:pt>
                <c:pt idx="5">
                  <c:v>80994.00799363351</c:v>
                </c:pt>
                <c:pt idx="6">
                  <c:v>94555.168353893649</c:v>
                </c:pt>
                <c:pt idx="7">
                  <c:v>86733.51026404911</c:v>
                </c:pt>
                <c:pt idx="8">
                  <c:v>95353.338921332092</c:v>
                </c:pt>
                <c:pt idx="9">
                  <c:v>91998.233439818679</c:v>
                </c:pt>
                <c:pt idx="10">
                  <c:v>71618.030529989657</c:v>
                </c:pt>
                <c:pt idx="11">
                  <c:v>79184.603734036602</c:v>
                </c:pt>
                <c:pt idx="12">
                  <c:v>89577.583405760481</c:v>
                </c:pt>
                <c:pt idx="13">
                  <c:v>60946.602052615024</c:v>
                </c:pt>
                <c:pt idx="14">
                  <c:v>10011.552876720467</c:v>
                </c:pt>
                <c:pt idx="15">
                  <c:v>32015.961183800027</c:v>
                </c:pt>
              </c:numCache>
            </c:numRef>
          </c:val>
          <c:extLst>
            <c:ext xmlns:c16="http://schemas.microsoft.com/office/drawing/2014/chart" uri="{C3380CC4-5D6E-409C-BE32-E72D297353CC}">
              <c16:uniqueId val="{00000006-C0F4-40E5-A5B1-DD2B73710300}"/>
            </c:ext>
          </c:extLst>
        </c:ser>
        <c:ser>
          <c:idx val="3"/>
          <c:order val="3"/>
          <c:tx>
            <c:strRef>
              <c:f>Graphs!$E$21</c:f>
              <c:strCache>
                <c:ptCount val="1"/>
                <c:pt idx="0">
                  <c:v>Electricity</c:v>
                </c:pt>
              </c:strCache>
            </c:strRef>
          </c:tx>
          <c:spPr>
            <a:solidFill>
              <a:schemeClr val="accent4"/>
            </a:solidFill>
            <a:ln w="25400">
              <a:noFill/>
            </a:ln>
            <a:effectLst/>
          </c:spPr>
          <c:cat>
            <c:numRef>
              <c:f>Graphs!$A$22:$A$37</c:f>
              <c:numCache>
                <c:formatCode>General</c:formatCode>
                <c:ptCount val="16"/>
                <c:pt idx="0">
                  <c:v>2007</c:v>
                </c:pt>
                <c:pt idx="1">
                  <c:v>2008</c:v>
                </c:pt>
                <c:pt idx="2">
                  <c:v>2009</c:v>
                </c:pt>
                <c:pt idx="3">
                  <c:v>2010</c:v>
                </c:pt>
                <c:pt idx="4">
                  <c:v>2011</c:v>
                </c:pt>
                <c:pt idx="5">
                  <c:v>2012</c:v>
                </c:pt>
                <c:pt idx="6">
                  <c:v>2013</c:v>
                </c:pt>
                <c:pt idx="7">
                  <c:v>2014</c:v>
                </c:pt>
                <c:pt idx="8">
                  <c:v>2015</c:v>
                </c:pt>
                <c:pt idx="9">
                  <c:v>2016</c:v>
                </c:pt>
                <c:pt idx="10">
                  <c:v>2017</c:v>
                </c:pt>
                <c:pt idx="11">
                  <c:v>2018</c:v>
                </c:pt>
                <c:pt idx="12">
                  <c:v>2019</c:v>
                </c:pt>
                <c:pt idx="13">
                  <c:v>2020</c:v>
                </c:pt>
                <c:pt idx="14">
                  <c:v>2021</c:v>
                </c:pt>
                <c:pt idx="15">
                  <c:v>2022</c:v>
                </c:pt>
              </c:numCache>
            </c:numRef>
          </c:cat>
          <c:val>
            <c:numRef>
              <c:f>Graphs!$E$22:$E$37</c:f>
              <c:numCache>
                <c:formatCode>_(* #,##0_);_(* \(#,##0\);_(* "-"??_);_(@_)</c:formatCode>
                <c:ptCount val="16"/>
                <c:pt idx="0">
                  <c:v>166134.81714748713</c:v>
                </c:pt>
                <c:pt idx="1">
                  <c:v>167368.11878254503</c:v>
                </c:pt>
                <c:pt idx="2">
                  <c:v>137793.53212258534</c:v>
                </c:pt>
                <c:pt idx="3">
                  <c:v>139724.34272858402</c:v>
                </c:pt>
                <c:pt idx="4">
                  <c:v>144650.49191579406</c:v>
                </c:pt>
                <c:pt idx="5">
                  <c:v>141369.04834443628</c:v>
                </c:pt>
                <c:pt idx="6">
                  <c:v>121651.11321065181</c:v>
                </c:pt>
                <c:pt idx="7">
                  <c:v>116450.94728992743</c:v>
                </c:pt>
                <c:pt idx="8">
                  <c:v>116483.01461209999</c:v>
                </c:pt>
                <c:pt idx="9">
                  <c:v>110136.11404396225</c:v>
                </c:pt>
                <c:pt idx="10">
                  <c:v>110501.73971883558</c:v>
                </c:pt>
                <c:pt idx="11">
                  <c:v>103256.98178</c:v>
                </c:pt>
                <c:pt idx="12">
                  <c:v>103872.60551000001</c:v>
                </c:pt>
                <c:pt idx="13">
                  <c:v>87763.859047186925</c:v>
                </c:pt>
                <c:pt idx="14">
                  <c:v>80589.690067785865</c:v>
                </c:pt>
                <c:pt idx="15">
                  <c:v>85638.740413793101</c:v>
                </c:pt>
              </c:numCache>
            </c:numRef>
          </c:val>
          <c:extLst>
            <c:ext xmlns:c16="http://schemas.microsoft.com/office/drawing/2014/chart" uri="{C3380CC4-5D6E-409C-BE32-E72D297353CC}">
              <c16:uniqueId val="{00000001-DB82-4F33-B0F6-05357A8252F5}"/>
            </c:ext>
          </c:extLst>
        </c:ser>
        <c:ser>
          <c:idx val="2"/>
          <c:order val="4"/>
          <c:tx>
            <c:strRef>
              <c:f>Graphs!$D$21</c:f>
              <c:strCache>
                <c:ptCount val="1"/>
                <c:pt idx="0">
                  <c:v>Steam Plant Fuel</c:v>
                </c:pt>
              </c:strCache>
            </c:strRef>
          </c:tx>
          <c:spPr>
            <a:solidFill>
              <a:schemeClr val="accent2"/>
            </a:solidFill>
            <a:ln w="25400">
              <a:noFill/>
            </a:ln>
            <a:effectLst/>
          </c:spPr>
          <c:cat>
            <c:numRef>
              <c:f>Graphs!$A$22:$A$37</c:f>
              <c:numCache>
                <c:formatCode>General</c:formatCode>
                <c:ptCount val="16"/>
                <c:pt idx="0">
                  <c:v>2007</c:v>
                </c:pt>
                <c:pt idx="1">
                  <c:v>2008</c:v>
                </c:pt>
                <c:pt idx="2">
                  <c:v>2009</c:v>
                </c:pt>
                <c:pt idx="3">
                  <c:v>2010</c:v>
                </c:pt>
                <c:pt idx="4">
                  <c:v>2011</c:v>
                </c:pt>
                <c:pt idx="5">
                  <c:v>2012</c:v>
                </c:pt>
                <c:pt idx="6">
                  <c:v>2013</c:v>
                </c:pt>
                <c:pt idx="7">
                  <c:v>2014</c:v>
                </c:pt>
                <c:pt idx="8">
                  <c:v>2015</c:v>
                </c:pt>
                <c:pt idx="9">
                  <c:v>2016</c:v>
                </c:pt>
                <c:pt idx="10">
                  <c:v>2017</c:v>
                </c:pt>
                <c:pt idx="11">
                  <c:v>2018</c:v>
                </c:pt>
                <c:pt idx="12">
                  <c:v>2019</c:v>
                </c:pt>
                <c:pt idx="13">
                  <c:v>2020</c:v>
                </c:pt>
                <c:pt idx="14">
                  <c:v>2021</c:v>
                </c:pt>
                <c:pt idx="15">
                  <c:v>2022</c:v>
                </c:pt>
              </c:numCache>
            </c:numRef>
          </c:cat>
          <c:val>
            <c:numRef>
              <c:f>Graphs!$D$22:$D$37</c:f>
              <c:numCache>
                <c:formatCode>_(* #,##0_);_(* \(#,##0\);_(* "-"??_);_(@_)</c:formatCode>
                <c:ptCount val="16"/>
                <c:pt idx="0">
                  <c:v>98059.267511447659</c:v>
                </c:pt>
                <c:pt idx="1">
                  <c:v>100658.45224566417</c:v>
                </c:pt>
                <c:pt idx="2">
                  <c:v>102451.48624534177</c:v>
                </c:pt>
                <c:pt idx="3">
                  <c:v>89234.839133182089</c:v>
                </c:pt>
                <c:pt idx="4">
                  <c:v>72764.344020731834</c:v>
                </c:pt>
                <c:pt idx="5">
                  <c:v>58739.975680157986</c:v>
                </c:pt>
                <c:pt idx="6">
                  <c:v>62901.247171269046</c:v>
                </c:pt>
                <c:pt idx="7">
                  <c:v>62758.848923087055</c:v>
                </c:pt>
                <c:pt idx="8">
                  <c:v>60629.099008024328</c:v>
                </c:pt>
                <c:pt idx="9">
                  <c:v>56820.271932183292</c:v>
                </c:pt>
                <c:pt idx="10">
                  <c:v>57999.457309982085</c:v>
                </c:pt>
                <c:pt idx="11">
                  <c:v>62909.45055510501</c:v>
                </c:pt>
                <c:pt idx="12">
                  <c:v>63989.92738741167</c:v>
                </c:pt>
                <c:pt idx="13">
                  <c:v>66956.106353774885</c:v>
                </c:pt>
                <c:pt idx="14">
                  <c:v>70051.879767742095</c:v>
                </c:pt>
                <c:pt idx="15">
                  <c:v>66179.86020000001</c:v>
                </c:pt>
              </c:numCache>
            </c:numRef>
          </c:val>
          <c:extLst>
            <c:ext xmlns:c16="http://schemas.microsoft.com/office/drawing/2014/chart" uri="{C3380CC4-5D6E-409C-BE32-E72D297353CC}">
              <c16:uniqueId val="{00000000-DB82-4F33-B0F6-05357A8252F5}"/>
            </c:ext>
          </c:extLst>
        </c:ser>
        <c:ser>
          <c:idx val="8"/>
          <c:order val="5"/>
          <c:tx>
            <c:strRef>
              <c:f>Graphs!$F$21</c:f>
              <c:strCache>
                <c:ptCount val="1"/>
                <c:pt idx="0">
                  <c:v>Fugitive Emissions</c:v>
                </c:pt>
              </c:strCache>
            </c:strRef>
          </c:tx>
          <c:spPr>
            <a:solidFill>
              <a:schemeClr val="accent3">
                <a:lumMod val="60000"/>
              </a:schemeClr>
            </a:solidFill>
            <a:ln w="25400">
              <a:noFill/>
            </a:ln>
            <a:effectLst/>
          </c:spPr>
          <c:cat>
            <c:numRef>
              <c:f>Graphs!$A$22:$A$37</c:f>
              <c:numCache>
                <c:formatCode>General</c:formatCode>
                <c:ptCount val="16"/>
                <c:pt idx="0">
                  <c:v>2007</c:v>
                </c:pt>
                <c:pt idx="1">
                  <c:v>2008</c:v>
                </c:pt>
                <c:pt idx="2">
                  <c:v>2009</c:v>
                </c:pt>
                <c:pt idx="3">
                  <c:v>2010</c:v>
                </c:pt>
                <c:pt idx="4">
                  <c:v>2011</c:v>
                </c:pt>
                <c:pt idx="5">
                  <c:v>2012</c:v>
                </c:pt>
                <c:pt idx="6">
                  <c:v>2013</c:v>
                </c:pt>
                <c:pt idx="7">
                  <c:v>2014</c:v>
                </c:pt>
                <c:pt idx="8">
                  <c:v>2015</c:v>
                </c:pt>
                <c:pt idx="9">
                  <c:v>2016</c:v>
                </c:pt>
                <c:pt idx="10">
                  <c:v>2017</c:v>
                </c:pt>
                <c:pt idx="11">
                  <c:v>2018</c:v>
                </c:pt>
                <c:pt idx="12">
                  <c:v>2019</c:v>
                </c:pt>
                <c:pt idx="13">
                  <c:v>2020</c:v>
                </c:pt>
                <c:pt idx="14">
                  <c:v>2021</c:v>
                </c:pt>
                <c:pt idx="15">
                  <c:v>2022</c:v>
                </c:pt>
              </c:numCache>
            </c:numRef>
          </c:cat>
          <c:val>
            <c:numRef>
              <c:f>Graphs!$F$22:$F$37</c:f>
              <c:numCache>
                <c:formatCode>_(* #,##0_);_(* \(#,##0\);_(* "-"??_);_(@_)</c:formatCode>
                <c:ptCount val="16"/>
                <c:pt idx="0">
                  <c:v>0</c:v>
                </c:pt>
                <c:pt idx="1">
                  <c:v>0</c:v>
                </c:pt>
                <c:pt idx="2">
                  <c:v>0</c:v>
                </c:pt>
                <c:pt idx="3">
                  <c:v>0</c:v>
                </c:pt>
                <c:pt idx="4">
                  <c:v>0</c:v>
                </c:pt>
                <c:pt idx="5">
                  <c:v>0</c:v>
                </c:pt>
                <c:pt idx="6">
                  <c:v>0</c:v>
                </c:pt>
                <c:pt idx="7">
                  <c:v>0</c:v>
                </c:pt>
                <c:pt idx="8">
                  <c:v>0</c:v>
                </c:pt>
                <c:pt idx="9">
                  <c:v>0</c:v>
                </c:pt>
                <c:pt idx="10">
                  <c:v>10681.749682531974</c:v>
                </c:pt>
                <c:pt idx="11">
                  <c:v>10092.078382249832</c:v>
                </c:pt>
                <c:pt idx="12">
                  <c:v>10161.206573720128</c:v>
                </c:pt>
                <c:pt idx="13">
                  <c:v>8748.4066796927382</c:v>
                </c:pt>
                <c:pt idx="14">
                  <c:v>8142.0425255749751</c:v>
                </c:pt>
                <c:pt idx="15">
                  <c:v>8546.0159953781167</c:v>
                </c:pt>
              </c:numCache>
            </c:numRef>
          </c:val>
          <c:extLst>
            <c:ext xmlns:c16="http://schemas.microsoft.com/office/drawing/2014/chart" uri="{C3380CC4-5D6E-409C-BE32-E72D297353CC}">
              <c16:uniqueId val="{00000008-C0F4-40E5-A5B1-DD2B73710300}"/>
            </c:ext>
          </c:extLst>
        </c:ser>
        <c:ser>
          <c:idx val="9"/>
          <c:order val="6"/>
          <c:tx>
            <c:strRef>
              <c:f>Graphs!$I$2</c:f>
              <c:strCache>
                <c:ptCount val="1"/>
                <c:pt idx="0">
                  <c:v>Other Emissions</c:v>
                </c:pt>
              </c:strCache>
            </c:strRef>
          </c:tx>
          <c:spPr>
            <a:solidFill>
              <a:schemeClr val="bg2">
                <a:lumMod val="75000"/>
              </a:schemeClr>
            </a:solidFill>
            <a:ln>
              <a:noFill/>
            </a:ln>
            <a:effectLst/>
          </c:spPr>
          <c:cat>
            <c:numRef>
              <c:f>Graphs!$A$22:$A$37</c:f>
              <c:numCache>
                <c:formatCode>General</c:formatCode>
                <c:ptCount val="16"/>
                <c:pt idx="0">
                  <c:v>2007</c:v>
                </c:pt>
                <c:pt idx="1">
                  <c:v>2008</c:v>
                </c:pt>
                <c:pt idx="2">
                  <c:v>2009</c:v>
                </c:pt>
                <c:pt idx="3">
                  <c:v>2010</c:v>
                </c:pt>
                <c:pt idx="4">
                  <c:v>2011</c:v>
                </c:pt>
                <c:pt idx="5">
                  <c:v>2012</c:v>
                </c:pt>
                <c:pt idx="6">
                  <c:v>2013</c:v>
                </c:pt>
                <c:pt idx="7">
                  <c:v>2014</c:v>
                </c:pt>
                <c:pt idx="8">
                  <c:v>2015</c:v>
                </c:pt>
                <c:pt idx="9">
                  <c:v>2016</c:v>
                </c:pt>
                <c:pt idx="10">
                  <c:v>2017</c:v>
                </c:pt>
                <c:pt idx="11">
                  <c:v>2018</c:v>
                </c:pt>
                <c:pt idx="12">
                  <c:v>2019</c:v>
                </c:pt>
                <c:pt idx="13">
                  <c:v>2020</c:v>
                </c:pt>
                <c:pt idx="14">
                  <c:v>2021</c:v>
                </c:pt>
                <c:pt idx="15">
                  <c:v>2022</c:v>
                </c:pt>
              </c:numCache>
            </c:numRef>
          </c:cat>
          <c:val>
            <c:numRef>
              <c:f>Graphs!$I$3:$I$18</c:f>
              <c:numCache>
                <c:formatCode>_(* #,##0_);_(* \(#,##0\);_(* "-"??_);_(@_)</c:formatCode>
                <c:ptCount val="16"/>
                <c:pt idx="0">
                  <c:v>2379.5912615660645</c:v>
                </c:pt>
                <c:pt idx="1">
                  <c:v>2873.2626588506337</c:v>
                </c:pt>
                <c:pt idx="2">
                  <c:v>3094.319365196076</c:v>
                </c:pt>
                <c:pt idx="3">
                  <c:v>3045.8496218516038</c:v>
                </c:pt>
                <c:pt idx="4">
                  <c:v>2256.0235551908136</c:v>
                </c:pt>
                <c:pt idx="5">
                  <c:v>4182.2533523613456</c:v>
                </c:pt>
                <c:pt idx="6">
                  <c:v>3059.9253021718096</c:v>
                </c:pt>
                <c:pt idx="7">
                  <c:v>1992.1412472145043</c:v>
                </c:pt>
                <c:pt idx="8">
                  <c:v>2128.4035705512824</c:v>
                </c:pt>
                <c:pt idx="9">
                  <c:v>2265.1831791770128</c:v>
                </c:pt>
                <c:pt idx="10">
                  <c:v>2196.1629869533817</c:v>
                </c:pt>
                <c:pt idx="11">
                  <c:v>1587.7369881435588</c:v>
                </c:pt>
                <c:pt idx="12">
                  <c:v>2663.6611926610185</c:v>
                </c:pt>
                <c:pt idx="13">
                  <c:v>397.46309942551511</c:v>
                </c:pt>
                <c:pt idx="14">
                  <c:v>2696.510515631915</c:v>
                </c:pt>
                <c:pt idx="15">
                  <c:v>1965.364093171439</c:v>
                </c:pt>
              </c:numCache>
            </c:numRef>
          </c:val>
          <c:extLst>
            <c:ext xmlns:c16="http://schemas.microsoft.com/office/drawing/2014/chart" uri="{C3380CC4-5D6E-409C-BE32-E72D297353CC}">
              <c16:uniqueId val="{00000009-C0F4-40E5-A5B1-DD2B73710300}"/>
            </c:ext>
          </c:extLst>
        </c:ser>
        <c:dLbls>
          <c:showLegendKey val="0"/>
          <c:showVal val="0"/>
          <c:showCatName val="0"/>
          <c:showSerName val="0"/>
          <c:showPercent val="0"/>
          <c:showBubbleSize val="0"/>
        </c:dLbls>
        <c:axId val="430495400"/>
        <c:axId val="430503928"/>
        <c:extLst>
          <c:ext xmlns:c15="http://schemas.microsoft.com/office/drawing/2012/chart" uri="{02D57815-91ED-43cb-92C2-25804820EDAC}">
            <c15:filteredAreaSeries>
              <c15:ser>
                <c:idx val="1"/>
                <c:order val="0"/>
                <c:tx>
                  <c:strRef>
                    <c:extLst>
                      <c:ext uri="{02D57815-91ED-43cb-92C2-25804820EDAC}">
                        <c15:formulaRef>
                          <c15:sqref>Graphs!$B$2</c15:sqref>
                        </c15:formulaRef>
                      </c:ext>
                    </c:extLst>
                    <c:strCache>
                      <c:ptCount val="1"/>
                      <c:pt idx="0">
                        <c:v>Total Emissions</c:v>
                      </c:pt>
                    </c:strCache>
                  </c:strRef>
                </c:tx>
                <c:spPr>
                  <a:solidFill>
                    <a:schemeClr val="accent2"/>
                  </a:solidFill>
                  <a:ln>
                    <a:noFill/>
                  </a:ln>
                  <a:effectLst/>
                </c:spPr>
                <c:cat>
                  <c:numRef>
                    <c:extLst>
                      <c:ext uri="{02D57815-91ED-43cb-92C2-25804820EDAC}">
                        <c15:formulaRef>
                          <c15:sqref>Graphs!$A$22:$A$37</c15:sqref>
                        </c15:formulaRef>
                      </c:ext>
                    </c:extLst>
                    <c:numCache>
                      <c:formatCode>General</c:formatCode>
                      <c:ptCount val="16"/>
                      <c:pt idx="0">
                        <c:v>2007</c:v>
                      </c:pt>
                      <c:pt idx="1">
                        <c:v>2008</c:v>
                      </c:pt>
                      <c:pt idx="2">
                        <c:v>2009</c:v>
                      </c:pt>
                      <c:pt idx="3">
                        <c:v>2010</c:v>
                      </c:pt>
                      <c:pt idx="4">
                        <c:v>2011</c:v>
                      </c:pt>
                      <c:pt idx="5">
                        <c:v>2012</c:v>
                      </c:pt>
                      <c:pt idx="6">
                        <c:v>2013</c:v>
                      </c:pt>
                      <c:pt idx="7">
                        <c:v>2014</c:v>
                      </c:pt>
                      <c:pt idx="8">
                        <c:v>2015</c:v>
                      </c:pt>
                      <c:pt idx="9">
                        <c:v>2016</c:v>
                      </c:pt>
                      <c:pt idx="10">
                        <c:v>2017</c:v>
                      </c:pt>
                      <c:pt idx="11">
                        <c:v>2018</c:v>
                      </c:pt>
                      <c:pt idx="12">
                        <c:v>2019</c:v>
                      </c:pt>
                      <c:pt idx="13">
                        <c:v>2020</c:v>
                      </c:pt>
                      <c:pt idx="14">
                        <c:v>2021</c:v>
                      </c:pt>
                      <c:pt idx="15">
                        <c:v>2022</c:v>
                      </c:pt>
                    </c:numCache>
                  </c:numRef>
                </c:cat>
                <c:val>
                  <c:numRef>
                    <c:extLst>
                      <c:ext uri="{02D57815-91ED-43cb-92C2-25804820EDAC}">
                        <c15:formulaRef>
                          <c15:sqref>Graphs!$B$3:$B$17</c15:sqref>
                        </c15:formulaRef>
                      </c:ext>
                    </c:extLst>
                    <c:numCache>
                      <c:formatCode>_(* #,##0_);_(* \(#,##0\);_(* "-"??_);_(@_)</c:formatCode>
                      <c:ptCount val="15"/>
                      <c:pt idx="0">
                        <c:v>338828.14501180686</c:v>
                      </c:pt>
                      <c:pt idx="1">
                        <c:v>338882.54793150496</c:v>
                      </c:pt>
                      <c:pt idx="2">
                        <c:v>322354.63974981062</c:v>
                      </c:pt>
                      <c:pt idx="3">
                        <c:v>307757.8588168695</c:v>
                      </c:pt>
                      <c:pt idx="4">
                        <c:v>301234.19077904487</c:v>
                      </c:pt>
                      <c:pt idx="5">
                        <c:v>285285.28537058912</c:v>
                      </c:pt>
                      <c:pt idx="6">
                        <c:v>282167.45403798629</c:v>
                      </c:pt>
                      <c:pt idx="7">
                        <c:v>267935.44772427808</c:v>
                      </c:pt>
                      <c:pt idx="8">
                        <c:v>274593.85611200769</c:v>
                      </c:pt>
                      <c:pt idx="9">
                        <c:v>261219.80259514123</c:v>
                      </c:pt>
                      <c:pt idx="10">
                        <c:v>252997.14022829267</c:v>
                      </c:pt>
                      <c:pt idx="11">
                        <c:v>257030.85143953498</c:v>
                      </c:pt>
                      <c:pt idx="12">
                        <c:v>270264.98406955332</c:v>
                      </c:pt>
                      <c:pt idx="13">
                        <c:v>224812.43723269508</c:v>
                      </c:pt>
                      <c:pt idx="14">
                        <c:v>171491.67575345535</c:v>
                      </c:pt>
                    </c:numCache>
                  </c:numRef>
                </c:val>
                <c:extLst>
                  <c:ext xmlns:c16="http://schemas.microsoft.com/office/drawing/2014/chart" uri="{C3380CC4-5D6E-409C-BE32-E72D297353CC}">
                    <c16:uniqueId val="{00000001-C0F4-40E5-A5B1-DD2B73710300}"/>
                  </c:ext>
                </c:extLst>
              </c15:ser>
            </c15:filteredAreaSeries>
            <c15:filteredAreaSeries>
              <c15:ser>
                <c:idx val="4"/>
                <c:order val="1"/>
                <c:tx>
                  <c:strRef>
                    <c:extLst xmlns:c15="http://schemas.microsoft.com/office/drawing/2012/chart">
                      <c:ext xmlns:c15="http://schemas.microsoft.com/office/drawing/2012/chart" uri="{02D57815-91ED-43cb-92C2-25804820EDAC}">
                        <c15:formulaRef>
                          <c15:sqref>Graphs!$E$2</c15:sqref>
                        </c15:formulaRef>
                      </c:ext>
                    </c:extLst>
                    <c:strCache>
                      <c:ptCount val="1"/>
                      <c:pt idx="0">
                        <c:v>Energy Emissions</c:v>
                      </c:pt>
                    </c:strCache>
                  </c:strRef>
                </c:tx>
                <c:spPr>
                  <a:solidFill>
                    <a:schemeClr val="accent2"/>
                  </a:solidFill>
                  <a:ln>
                    <a:noFill/>
                  </a:ln>
                  <a:effectLst/>
                </c:spPr>
                <c:cat>
                  <c:numRef>
                    <c:extLst xmlns:c15="http://schemas.microsoft.com/office/drawing/2012/chart">
                      <c:ext xmlns:c15="http://schemas.microsoft.com/office/drawing/2012/chart" uri="{02D57815-91ED-43cb-92C2-25804820EDAC}">
                        <c15:formulaRef>
                          <c15:sqref>Graphs!$A$22:$A$37</c15:sqref>
                        </c15:formulaRef>
                      </c:ext>
                    </c:extLst>
                    <c:numCache>
                      <c:formatCode>General</c:formatCode>
                      <c:ptCount val="16"/>
                      <c:pt idx="0">
                        <c:v>2007</c:v>
                      </c:pt>
                      <c:pt idx="1">
                        <c:v>2008</c:v>
                      </c:pt>
                      <c:pt idx="2">
                        <c:v>2009</c:v>
                      </c:pt>
                      <c:pt idx="3">
                        <c:v>2010</c:v>
                      </c:pt>
                      <c:pt idx="4">
                        <c:v>2011</c:v>
                      </c:pt>
                      <c:pt idx="5">
                        <c:v>2012</c:v>
                      </c:pt>
                      <c:pt idx="6">
                        <c:v>2013</c:v>
                      </c:pt>
                      <c:pt idx="7">
                        <c:v>2014</c:v>
                      </c:pt>
                      <c:pt idx="8">
                        <c:v>2015</c:v>
                      </c:pt>
                      <c:pt idx="9">
                        <c:v>2016</c:v>
                      </c:pt>
                      <c:pt idx="10">
                        <c:v>2017</c:v>
                      </c:pt>
                      <c:pt idx="11">
                        <c:v>2018</c:v>
                      </c:pt>
                      <c:pt idx="12">
                        <c:v>2019</c:v>
                      </c:pt>
                      <c:pt idx="13">
                        <c:v>2020</c:v>
                      </c:pt>
                      <c:pt idx="14">
                        <c:v>2021</c:v>
                      </c:pt>
                      <c:pt idx="15">
                        <c:v>2022</c:v>
                      </c:pt>
                    </c:numCache>
                  </c:numRef>
                </c:cat>
                <c:val>
                  <c:numRef>
                    <c:extLst xmlns:c15="http://schemas.microsoft.com/office/drawing/2012/chart">
                      <c:ext xmlns:c15="http://schemas.microsoft.com/office/drawing/2012/chart" uri="{02D57815-91ED-43cb-92C2-25804820EDAC}">
                        <c15:formulaRef>
                          <c15:sqref>Graphs!$E$3:$E$14</c15:sqref>
                        </c15:formulaRef>
                      </c:ext>
                    </c:extLst>
                    <c:numCache>
                      <c:formatCode>_(* #,##0_);_(* \(#,##0\);_(* "-"??_);_(@_)</c:formatCode>
                      <c:ptCount val="12"/>
                      <c:pt idx="0">
                        <c:v>264194.08465893479</c:v>
                      </c:pt>
                      <c:pt idx="1">
                        <c:v>268026.57102820917</c:v>
                      </c:pt>
                      <c:pt idx="2">
                        <c:v>240245.01836792711</c:v>
                      </c:pt>
                      <c:pt idx="3">
                        <c:v>228959.18186176609</c:v>
                      </c:pt>
                      <c:pt idx="4">
                        <c:v>217414.83593652589</c:v>
                      </c:pt>
                      <c:pt idx="5">
                        <c:v>200109.02402459426</c:v>
                      </c:pt>
                      <c:pt idx="6">
                        <c:v>184552.36038192085</c:v>
                      </c:pt>
                      <c:pt idx="7">
                        <c:v>179209.79621301449</c:v>
                      </c:pt>
                      <c:pt idx="8">
                        <c:v>177112.11362012432</c:v>
                      </c:pt>
                      <c:pt idx="9">
                        <c:v>166956.38597614554</c:v>
                      </c:pt>
                      <c:pt idx="10">
                        <c:v>179182.94671134965</c:v>
                      </c:pt>
                      <c:pt idx="11">
                        <c:v>176258.51071735486</c:v>
                      </c:pt>
                    </c:numCache>
                  </c:numRef>
                </c:val>
                <c:extLst xmlns:c15="http://schemas.microsoft.com/office/drawing/2012/chart">
                  <c:ext xmlns:c16="http://schemas.microsoft.com/office/drawing/2014/chart" uri="{C3380CC4-5D6E-409C-BE32-E72D297353CC}">
                    <c16:uniqueId val="{00000004-C0F4-40E5-A5B1-DD2B73710300}"/>
                  </c:ext>
                </c:extLst>
              </c15:ser>
            </c15:filteredAreaSeries>
          </c:ext>
        </c:extLst>
      </c:areaChart>
      <c:catAx>
        <c:axId val="43049540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crossAx val="430503928"/>
        <c:crosses val="autoZero"/>
        <c:auto val="1"/>
        <c:lblAlgn val="ctr"/>
        <c:lblOffset val="100"/>
        <c:noMultiLvlLbl val="0"/>
      </c:catAx>
      <c:valAx>
        <c:axId val="430503928"/>
        <c:scaling>
          <c:orientation val="minMax"/>
          <c:max val="350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r>
                  <a:rPr lang="en-US" sz="1400" b="1"/>
                  <a:t>Emissions (MTCO2e)</a:t>
                </a:r>
              </a:p>
            </c:rich>
          </c:tx>
          <c:overlay val="0"/>
          <c:spPr>
            <a:noFill/>
            <a:ln>
              <a:noFill/>
            </a:ln>
            <a:effectLst/>
          </c:spPr>
          <c:txPr>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crossAx val="430495400"/>
        <c:crosses val="autoZero"/>
        <c:crossBetween val="midCat"/>
      </c:valAx>
      <c:spPr>
        <a:noFill/>
        <a:ln>
          <a:noFill/>
        </a:ln>
        <a:effectLst/>
      </c:spPr>
    </c:plotArea>
    <c:legend>
      <c:legendPos val="b"/>
      <c:layout>
        <c:manualLayout>
          <c:xMode val="edge"/>
          <c:yMode val="edge"/>
          <c:x val="8.8126384988900575E-2"/>
          <c:y val="0.90583691136005295"/>
          <c:w val="0.80066659619809921"/>
          <c:h val="5.3541199100212218E-2"/>
        </c:manualLayout>
      </c:layout>
      <c:overlay val="0"/>
      <c:spPr>
        <a:noFill/>
        <a:ln>
          <a:noFill/>
        </a:ln>
        <a:effectLst/>
      </c:spPr>
      <c:txPr>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000" b="1"/>
              <a:t>Duke FY 2022</a:t>
            </a:r>
            <a:r>
              <a:rPr lang="en-US" sz="2000" b="1" baseline="0"/>
              <a:t> GHG Emissions</a:t>
            </a:r>
            <a:r>
              <a:rPr lang="en-US" sz="2000" b="1"/>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Graphs!$A$58</c:f>
              <c:strCache>
                <c:ptCount val="1"/>
                <c:pt idx="0">
                  <c:v>2022</c:v>
                </c:pt>
              </c:strCache>
            </c:strRef>
          </c:tx>
          <c:dPt>
            <c:idx val="0"/>
            <c:bubble3D val="0"/>
            <c:spPr>
              <a:solidFill>
                <a:schemeClr val="accent2"/>
              </a:solidFill>
              <a:ln w="19050">
                <a:solidFill>
                  <a:schemeClr val="lt1"/>
                </a:solidFill>
              </a:ln>
              <a:effectLst/>
            </c:spPr>
            <c:extLst>
              <c:ext xmlns:c16="http://schemas.microsoft.com/office/drawing/2014/chart" uri="{C3380CC4-5D6E-409C-BE32-E72D297353CC}">
                <c16:uniqueId val="{00000001-3DAC-4302-983A-792D03946D05}"/>
              </c:ext>
            </c:extLst>
          </c:dPt>
          <c:dPt>
            <c:idx val="1"/>
            <c:bubble3D val="0"/>
            <c:spPr>
              <a:solidFill>
                <a:schemeClr val="accent4"/>
              </a:solidFill>
              <a:ln w="19050">
                <a:solidFill>
                  <a:schemeClr val="lt1"/>
                </a:solidFill>
              </a:ln>
              <a:effectLst/>
            </c:spPr>
            <c:extLst>
              <c:ext xmlns:c16="http://schemas.microsoft.com/office/drawing/2014/chart" uri="{C3380CC4-5D6E-409C-BE32-E72D297353CC}">
                <c16:uniqueId val="{00000003-3DAC-4302-983A-792D03946D05}"/>
              </c:ext>
            </c:extLst>
          </c:dPt>
          <c:dPt>
            <c:idx val="2"/>
            <c:bubble3D val="0"/>
            <c:spPr>
              <a:solidFill>
                <a:schemeClr val="tx1">
                  <a:lumMod val="65000"/>
                  <a:lumOff val="35000"/>
                </a:schemeClr>
              </a:solidFill>
              <a:ln w="19050">
                <a:solidFill>
                  <a:schemeClr val="lt1"/>
                </a:solidFill>
              </a:ln>
              <a:effectLst/>
            </c:spPr>
            <c:extLst>
              <c:ext xmlns:c16="http://schemas.microsoft.com/office/drawing/2014/chart" uri="{C3380CC4-5D6E-409C-BE32-E72D297353CC}">
                <c16:uniqueId val="{00000005-3DAC-4302-983A-792D03946D05}"/>
              </c:ext>
            </c:extLst>
          </c:dPt>
          <c:dPt>
            <c:idx val="3"/>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07-3DAC-4302-983A-792D03946D05}"/>
              </c:ext>
            </c:extLst>
          </c:dPt>
          <c:dPt>
            <c:idx val="4"/>
            <c:bubble3D val="0"/>
            <c:spPr>
              <a:solidFill>
                <a:schemeClr val="accent1"/>
              </a:solidFill>
              <a:ln w="19050">
                <a:solidFill>
                  <a:schemeClr val="lt1"/>
                </a:solidFill>
              </a:ln>
              <a:effectLst/>
            </c:spPr>
            <c:extLst>
              <c:ext xmlns:c16="http://schemas.microsoft.com/office/drawing/2014/chart" uri="{C3380CC4-5D6E-409C-BE32-E72D297353CC}">
                <c16:uniqueId val="{00000009-3DAC-4302-983A-792D03946D05}"/>
              </c:ext>
            </c:extLst>
          </c:dPt>
          <c:dPt>
            <c:idx val="5"/>
            <c:bubble3D val="0"/>
            <c:spPr>
              <a:solidFill>
                <a:schemeClr val="accent5">
                  <a:lumMod val="75000"/>
                </a:schemeClr>
              </a:solidFill>
              <a:ln w="19050">
                <a:solidFill>
                  <a:schemeClr val="lt1"/>
                </a:solidFill>
              </a:ln>
              <a:effectLst/>
            </c:spPr>
            <c:extLst>
              <c:ext xmlns:c16="http://schemas.microsoft.com/office/drawing/2014/chart" uri="{C3380CC4-5D6E-409C-BE32-E72D297353CC}">
                <c16:uniqueId val="{0000000B-3DAC-4302-983A-792D03946D05}"/>
              </c:ext>
            </c:extLst>
          </c:dPt>
          <c:dPt>
            <c:idx val="6"/>
            <c:bubble3D val="0"/>
            <c:spPr>
              <a:solidFill>
                <a:schemeClr val="bg2">
                  <a:lumMod val="75000"/>
                </a:schemeClr>
              </a:solidFill>
              <a:ln w="19050">
                <a:solidFill>
                  <a:schemeClr val="lt1"/>
                </a:solidFill>
              </a:ln>
              <a:effectLst/>
            </c:spPr>
            <c:extLst>
              <c:ext xmlns:c16="http://schemas.microsoft.com/office/drawing/2014/chart" uri="{C3380CC4-5D6E-409C-BE32-E72D297353CC}">
                <c16:uniqueId val="{0000000D-3DAC-4302-983A-792D03946D05}"/>
              </c:ext>
            </c:extLst>
          </c:dPt>
          <c:dLbls>
            <c:dLbl>
              <c:idx val="0"/>
              <c:layout>
                <c:manualLayout>
                  <c:x val="-0.21229109844237212"/>
                  <c:y val="9.7736441445335748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1-3DAC-4302-983A-792D03946D05}"/>
                </c:ext>
              </c:extLst>
            </c:dLbl>
            <c:dLbl>
              <c:idx val="1"/>
              <c:layout>
                <c:manualLayout>
                  <c:x val="0.12213198961099093"/>
                  <c:y val="-0.2130327753231803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3-3DAC-4302-983A-792D03946D05}"/>
                </c:ext>
              </c:extLst>
            </c:dLbl>
            <c:dLbl>
              <c:idx val="2"/>
              <c:layout>
                <c:manualLayout>
                  <c:x val="2.3481228680399615E-2"/>
                  <c:y val="-5.4733674904891144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5-3DAC-4302-983A-792D03946D05}"/>
                </c:ext>
              </c:extLst>
            </c:dLbl>
            <c:dLbl>
              <c:idx val="3"/>
              <c:layout>
                <c:manualLayout>
                  <c:x val="2.6181417650824684E-2"/>
                  <c:y val="-1.9049222687243936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7-3DAC-4302-983A-792D03946D05}"/>
                </c:ext>
              </c:extLst>
            </c:dLbl>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Graphs!$C$42:$I$42</c:f>
              <c:strCache>
                <c:ptCount val="7"/>
                <c:pt idx="0">
                  <c:v>Steam Plant Fuel</c:v>
                </c:pt>
                <c:pt idx="1">
                  <c:v>Electricity</c:v>
                </c:pt>
                <c:pt idx="2">
                  <c:v>Fugitive Emissions</c:v>
                </c:pt>
                <c:pt idx="3">
                  <c:v>Commuting</c:v>
                </c:pt>
                <c:pt idx="4">
                  <c:v>Air Travel</c:v>
                </c:pt>
                <c:pt idx="5">
                  <c:v>Fleet</c:v>
                </c:pt>
                <c:pt idx="6">
                  <c:v>Other</c:v>
                </c:pt>
              </c:strCache>
            </c:strRef>
          </c:cat>
          <c:val>
            <c:numRef>
              <c:f>Graphs!$C$58:$I$58</c:f>
              <c:numCache>
                <c:formatCode>0%</c:formatCode>
                <c:ptCount val="7"/>
                <c:pt idx="0">
                  <c:v>0.34052607200191193</c:v>
                </c:pt>
                <c:pt idx="1">
                  <c:v>0.44065103486423424</c:v>
                </c:pt>
                <c:pt idx="2">
                  <c:v>4.3973215557980568E-2</c:v>
                </c:pt>
                <c:pt idx="3">
                  <c:v>7.9562587593842368E-2</c:v>
                </c:pt>
                <c:pt idx="4">
                  <c:v>6.9480747721950842E-2</c:v>
                </c:pt>
                <c:pt idx="5">
                  <c:v>1.5693632552342334E-2</c:v>
                </c:pt>
                <c:pt idx="6">
                  <c:v>1.0112709707737788E-2</c:v>
                </c:pt>
              </c:numCache>
            </c:numRef>
          </c:val>
          <c:extLst>
            <c:ext xmlns:c16="http://schemas.microsoft.com/office/drawing/2014/chart" uri="{C3380CC4-5D6E-409C-BE32-E72D297353CC}">
              <c16:uniqueId val="{0000000E-3DAC-4302-983A-792D03946D05}"/>
            </c:ext>
          </c:extLst>
        </c:ser>
        <c:dLbls>
          <c:showLegendKey val="0"/>
          <c:showVal val="1"/>
          <c:showCatName val="1"/>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800" b="1"/>
              <a:t>Change</a:t>
            </a:r>
            <a:r>
              <a:rPr lang="en-US" sz="2800" b="1" baseline="0"/>
              <a:t> in Emissions between 2007 and 2021</a:t>
            </a:r>
            <a:endParaRPr lang="en-US" sz="2800" b="1"/>
          </a:p>
        </c:rich>
      </c:tx>
      <c:layout>
        <c:manualLayout>
          <c:xMode val="edge"/>
          <c:yMode val="edge"/>
          <c:x val="0.16562316805496854"/>
          <c:y val="4.069133463763275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1897471676799893E-2"/>
          <c:y val="0.11917831648543602"/>
          <c:w val="0.89953712747931824"/>
          <c:h val="0.52505451087965815"/>
        </c:manualLayout>
      </c:layout>
      <c:barChart>
        <c:barDir val="col"/>
        <c:grouping val="clustered"/>
        <c:varyColors val="0"/>
        <c:ser>
          <c:idx val="0"/>
          <c:order val="0"/>
          <c:tx>
            <c:strRef>
              <c:f>Graphs!$O$60</c:f>
              <c:strCache>
                <c:ptCount val="1"/>
                <c:pt idx="0">
                  <c:v>Emissions (MTCO2e)</c:v>
                </c:pt>
              </c:strCache>
            </c:strRef>
          </c:tx>
          <c:spPr>
            <a:solidFill>
              <a:schemeClr val="accent1"/>
            </a:solidFill>
            <a:ln>
              <a:noFill/>
            </a:ln>
            <a:effectLst/>
          </c:spPr>
          <c:invertIfNegative val="0"/>
          <c:dPt>
            <c:idx val="0"/>
            <c:invertIfNegative val="0"/>
            <c:bubble3D val="0"/>
            <c:spPr>
              <a:solidFill>
                <a:schemeClr val="accent2"/>
              </a:solidFill>
              <a:ln>
                <a:noFill/>
              </a:ln>
              <a:effectLst/>
            </c:spPr>
            <c:extLst>
              <c:ext xmlns:c16="http://schemas.microsoft.com/office/drawing/2014/chart" uri="{C3380CC4-5D6E-409C-BE32-E72D297353CC}">
                <c16:uniqueId val="{00000001-C769-4695-A80A-F1D856F03F0E}"/>
              </c:ext>
            </c:extLst>
          </c:dPt>
          <c:dPt>
            <c:idx val="1"/>
            <c:invertIfNegative val="0"/>
            <c:bubble3D val="0"/>
            <c:spPr>
              <a:solidFill>
                <a:schemeClr val="accent2"/>
              </a:solidFill>
              <a:ln>
                <a:noFill/>
              </a:ln>
              <a:effectLst/>
            </c:spPr>
            <c:extLst>
              <c:ext xmlns:c16="http://schemas.microsoft.com/office/drawing/2014/chart" uri="{C3380CC4-5D6E-409C-BE32-E72D297353CC}">
                <c16:uniqueId val="{00000002-C769-4695-A80A-F1D856F03F0E}"/>
              </c:ext>
            </c:extLst>
          </c:dPt>
          <c:dPt>
            <c:idx val="2"/>
            <c:invertIfNegative val="0"/>
            <c:bubble3D val="0"/>
            <c:spPr>
              <a:solidFill>
                <a:schemeClr val="accent4"/>
              </a:solidFill>
              <a:ln>
                <a:noFill/>
              </a:ln>
              <a:effectLst/>
            </c:spPr>
            <c:extLst>
              <c:ext xmlns:c16="http://schemas.microsoft.com/office/drawing/2014/chart" uri="{C3380CC4-5D6E-409C-BE32-E72D297353CC}">
                <c16:uniqueId val="{00000008-C769-4695-A80A-F1D856F03F0E}"/>
              </c:ext>
            </c:extLst>
          </c:dPt>
          <c:dPt>
            <c:idx val="3"/>
            <c:invertIfNegative val="0"/>
            <c:bubble3D val="0"/>
            <c:spPr>
              <a:solidFill>
                <a:schemeClr val="accent4"/>
              </a:solidFill>
              <a:ln>
                <a:noFill/>
              </a:ln>
              <a:effectLst/>
            </c:spPr>
            <c:extLst>
              <c:ext xmlns:c16="http://schemas.microsoft.com/office/drawing/2014/chart" uri="{C3380CC4-5D6E-409C-BE32-E72D297353CC}">
                <c16:uniqueId val="{00000009-C769-4695-A80A-F1D856F03F0E}"/>
              </c:ext>
            </c:extLst>
          </c:dPt>
          <c:dPt>
            <c:idx val="5"/>
            <c:invertIfNegative val="0"/>
            <c:bubble3D val="0"/>
            <c:spPr>
              <a:solidFill>
                <a:schemeClr val="tx1">
                  <a:lumMod val="75000"/>
                  <a:lumOff val="25000"/>
                </a:schemeClr>
              </a:solidFill>
              <a:ln>
                <a:noFill/>
              </a:ln>
              <a:effectLst/>
            </c:spPr>
            <c:extLst>
              <c:ext xmlns:c16="http://schemas.microsoft.com/office/drawing/2014/chart" uri="{C3380CC4-5D6E-409C-BE32-E72D297353CC}">
                <c16:uniqueId val="{0000000E-C769-4695-A80A-F1D856F03F0E}"/>
              </c:ext>
            </c:extLst>
          </c:dPt>
          <c:dPt>
            <c:idx val="6"/>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13-C769-4695-A80A-F1D856F03F0E}"/>
              </c:ext>
            </c:extLst>
          </c:dPt>
          <c:dPt>
            <c:idx val="7"/>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14-C769-4695-A80A-F1D856F03F0E}"/>
              </c:ext>
            </c:extLst>
          </c:dPt>
          <c:dPt>
            <c:idx val="8"/>
            <c:invertIfNegative val="0"/>
            <c:bubble3D val="0"/>
            <c:spPr>
              <a:solidFill>
                <a:schemeClr val="accent1"/>
              </a:solidFill>
              <a:ln>
                <a:noFill/>
              </a:ln>
              <a:effectLst/>
            </c:spPr>
            <c:extLst>
              <c:ext xmlns:c16="http://schemas.microsoft.com/office/drawing/2014/chart" uri="{C3380CC4-5D6E-409C-BE32-E72D297353CC}">
                <c16:uniqueId val="{0000001F-C769-4695-A80A-F1D856F03F0E}"/>
              </c:ext>
            </c:extLst>
          </c:dPt>
          <c:dPt>
            <c:idx val="10"/>
            <c:invertIfNegative val="0"/>
            <c:bubble3D val="0"/>
            <c:spPr>
              <a:solidFill>
                <a:schemeClr val="accent5"/>
              </a:solidFill>
              <a:ln>
                <a:noFill/>
              </a:ln>
              <a:effectLst/>
            </c:spPr>
            <c:extLst>
              <c:ext xmlns:c16="http://schemas.microsoft.com/office/drawing/2014/chart" uri="{C3380CC4-5D6E-409C-BE32-E72D297353CC}">
                <c16:uniqueId val="{00000027-C769-4695-A80A-F1D856F03F0E}"/>
              </c:ext>
            </c:extLst>
          </c:dPt>
          <c:dPt>
            <c:idx val="11"/>
            <c:invertIfNegative val="0"/>
            <c:bubble3D val="0"/>
            <c:spPr>
              <a:solidFill>
                <a:schemeClr val="accent5"/>
              </a:solidFill>
              <a:ln>
                <a:noFill/>
              </a:ln>
              <a:effectLst/>
            </c:spPr>
            <c:extLst>
              <c:ext xmlns:c16="http://schemas.microsoft.com/office/drawing/2014/chart" uri="{C3380CC4-5D6E-409C-BE32-E72D297353CC}">
                <c16:uniqueId val="{00000028-C769-4695-A80A-F1D856F03F0E}"/>
              </c:ext>
            </c:extLst>
          </c:dPt>
          <c:dPt>
            <c:idx val="12"/>
            <c:invertIfNegative val="0"/>
            <c:bubble3D val="0"/>
            <c:spPr>
              <a:solidFill>
                <a:schemeClr val="bg2">
                  <a:lumMod val="75000"/>
                </a:schemeClr>
              </a:solidFill>
              <a:ln>
                <a:noFill/>
              </a:ln>
              <a:effectLst/>
            </c:spPr>
            <c:extLst>
              <c:ext xmlns:c16="http://schemas.microsoft.com/office/drawing/2014/chart" uri="{C3380CC4-5D6E-409C-BE32-E72D297353CC}">
                <c16:uniqueId val="{0000002E-C769-4695-A80A-F1D856F03F0E}"/>
              </c:ext>
            </c:extLst>
          </c:dPt>
          <c:dPt>
            <c:idx val="13"/>
            <c:invertIfNegative val="0"/>
            <c:bubble3D val="0"/>
            <c:spPr>
              <a:solidFill>
                <a:schemeClr val="bg2">
                  <a:lumMod val="75000"/>
                </a:schemeClr>
              </a:solidFill>
              <a:ln>
                <a:noFill/>
              </a:ln>
              <a:effectLst/>
            </c:spPr>
            <c:extLst>
              <c:ext xmlns:c16="http://schemas.microsoft.com/office/drawing/2014/chart" uri="{C3380CC4-5D6E-409C-BE32-E72D297353CC}">
                <c16:uniqueId val="{0000002F-C769-4695-A80A-F1D856F03F0E}"/>
              </c:ext>
            </c:extLst>
          </c:dPt>
          <c:cat>
            <c:strRef>
              <c:extLst>
                <c:ext xmlns:c15="http://schemas.microsoft.com/office/drawing/2012/chart" uri="{02D57815-91ED-43cb-92C2-25804820EDAC}">
                  <c15:fullRef>
                    <c15:sqref>Graphs!$N$61:$N$78</c15:sqref>
                  </c15:fullRef>
                </c:ext>
              </c:extLst>
              <c:f>(Graphs!$N$63:$N$68,Graphs!$N$71:$N$78)</c:f>
              <c:strCache>
                <c:ptCount val="14"/>
                <c:pt idx="0">
                  <c:v>2007 Steam Plant Fuel</c:v>
                </c:pt>
                <c:pt idx="1">
                  <c:v>2022 Steam Plant Fuel</c:v>
                </c:pt>
                <c:pt idx="2">
                  <c:v>2007 Electricity</c:v>
                </c:pt>
                <c:pt idx="3">
                  <c:v>2022 Electricity</c:v>
                </c:pt>
                <c:pt idx="4">
                  <c:v>2007 Fugitive Energy</c:v>
                </c:pt>
                <c:pt idx="5">
                  <c:v>2022 Fugitive Energy</c:v>
                </c:pt>
                <c:pt idx="6">
                  <c:v>2007 Commuting</c:v>
                </c:pt>
                <c:pt idx="7">
                  <c:v>2022 Commuting</c:v>
                </c:pt>
                <c:pt idx="8">
                  <c:v>2007 Air Travel</c:v>
                </c:pt>
                <c:pt idx="9">
                  <c:v>2022 Air Travel</c:v>
                </c:pt>
                <c:pt idx="10">
                  <c:v>2007 Fleet</c:v>
                </c:pt>
                <c:pt idx="11">
                  <c:v>2022 Fleet</c:v>
                </c:pt>
                <c:pt idx="12">
                  <c:v>2007 Other</c:v>
                </c:pt>
                <c:pt idx="13">
                  <c:v>2022 Other</c:v>
                </c:pt>
              </c:strCache>
            </c:strRef>
          </c:cat>
          <c:val>
            <c:numRef>
              <c:extLst>
                <c:ext xmlns:c15="http://schemas.microsoft.com/office/drawing/2012/chart" uri="{02D57815-91ED-43cb-92C2-25804820EDAC}">
                  <c15:fullRef>
                    <c15:sqref>Graphs!$O$61:$O$78</c15:sqref>
                  </c15:fullRef>
                </c:ext>
              </c:extLst>
              <c:f>(Graphs!$O$63:$O$68,Graphs!$O$71:$O$78)</c:f>
              <c:numCache>
                <c:formatCode>_(* #,##0_);_(* \(#,##0\);_(* "-"??_);_(@_)</c:formatCode>
                <c:ptCount val="14"/>
                <c:pt idx="0">
                  <c:v>98059.267511447659</c:v>
                </c:pt>
                <c:pt idx="1">
                  <c:v>66179.86020000001</c:v>
                </c:pt>
                <c:pt idx="2">
                  <c:v>166134.81714748713</c:v>
                </c:pt>
                <c:pt idx="3">
                  <c:v>85638.740413793101</c:v>
                </c:pt>
                <c:pt idx="4">
                  <c:v>0</c:v>
                </c:pt>
                <c:pt idx="5">
                  <c:v>8546.0159953781167</c:v>
                </c:pt>
                <c:pt idx="6">
                  <c:v>27570.592780999672</c:v>
                </c:pt>
                <c:pt idx="7">
                  <c:v>15462.666024824026</c:v>
                </c:pt>
                <c:pt idx="8">
                  <c:v>41354.41468926028</c:v>
                </c:pt>
                <c:pt idx="9">
                  <c:v>13503.301358975999</c:v>
                </c:pt>
                <c:pt idx="10">
                  <c:v>3329.4616210459944</c:v>
                </c:pt>
                <c:pt idx="11">
                  <c:v>3049.9938000000002</c:v>
                </c:pt>
                <c:pt idx="12">
                  <c:v>2379.5912615660645</c:v>
                </c:pt>
                <c:pt idx="13">
                  <c:v>1965.364093171439</c:v>
                </c:pt>
              </c:numCache>
            </c:numRef>
          </c:val>
          <c:extLst>
            <c:ext xmlns:c16="http://schemas.microsoft.com/office/drawing/2014/chart" uri="{C3380CC4-5D6E-409C-BE32-E72D297353CC}">
              <c16:uniqueId val="{00000000-C769-4695-A80A-F1D856F03F0E}"/>
            </c:ext>
          </c:extLst>
        </c:ser>
        <c:dLbls>
          <c:showLegendKey val="0"/>
          <c:showVal val="0"/>
          <c:showCatName val="0"/>
          <c:showSerName val="0"/>
          <c:showPercent val="0"/>
          <c:showBubbleSize val="0"/>
        </c:dLbls>
        <c:gapWidth val="219"/>
        <c:overlap val="-27"/>
        <c:axId val="517165624"/>
        <c:axId val="517162344"/>
      </c:barChart>
      <c:catAx>
        <c:axId val="5171656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517162344"/>
        <c:crosses val="autoZero"/>
        <c:auto val="1"/>
        <c:lblAlgn val="ctr"/>
        <c:lblOffset val="100"/>
        <c:noMultiLvlLbl val="0"/>
      </c:catAx>
      <c:valAx>
        <c:axId val="517162344"/>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51716562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000" b="1"/>
              <a:t>Duke FY 2019</a:t>
            </a:r>
            <a:r>
              <a:rPr lang="en-US" sz="2000" b="1" baseline="0"/>
              <a:t> GHG Emissions</a:t>
            </a:r>
            <a:r>
              <a:rPr lang="en-US" sz="2000" b="1"/>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Graphs!$A$55</c:f>
              <c:strCache>
                <c:ptCount val="1"/>
                <c:pt idx="0">
                  <c:v>2019</c:v>
                </c:pt>
              </c:strCache>
            </c:strRef>
          </c:tx>
          <c:dPt>
            <c:idx val="0"/>
            <c:bubble3D val="0"/>
            <c:spPr>
              <a:solidFill>
                <a:schemeClr val="accent2"/>
              </a:solidFill>
              <a:ln w="19050">
                <a:solidFill>
                  <a:schemeClr val="lt1"/>
                </a:solidFill>
              </a:ln>
              <a:effectLst/>
            </c:spPr>
            <c:extLst>
              <c:ext xmlns:c16="http://schemas.microsoft.com/office/drawing/2014/chart" uri="{C3380CC4-5D6E-409C-BE32-E72D297353CC}">
                <c16:uniqueId val="{00000001-E200-4CCC-92A7-F0DE006461D3}"/>
              </c:ext>
            </c:extLst>
          </c:dPt>
          <c:dPt>
            <c:idx val="1"/>
            <c:bubble3D val="0"/>
            <c:spPr>
              <a:solidFill>
                <a:schemeClr val="accent4"/>
              </a:solidFill>
              <a:ln w="19050">
                <a:solidFill>
                  <a:schemeClr val="lt1"/>
                </a:solidFill>
              </a:ln>
              <a:effectLst/>
            </c:spPr>
            <c:extLst>
              <c:ext xmlns:c16="http://schemas.microsoft.com/office/drawing/2014/chart" uri="{C3380CC4-5D6E-409C-BE32-E72D297353CC}">
                <c16:uniqueId val="{00000003-E200-4CCC-92A7-F0DE006461D3}"/>
              </c:ext>
            </c:extLst>
          </c:dPt>
          <c:dPt>
            <c:idx val="2"/>
            <c:bubble3D val="0"/>
            <c:spPr>
              <a:solidFill>
                <a:schemeClr val="bg2">
                  <a:lumMod val="50000"/>
                </a:schemeClr>
              </a:solidFill>
              <a:ln w="19050">
                <a:solidFill>
                  <a:schemeClr val="lt1"/>
                </a:solidFill>
              </a:ln>
              <a:effectLst/>
            </c:spPr>
            <c:extLst>
              <c:ext xmlns:c16="http://schemas.microsoft.com/office/drawing/2014/chart" uri="{C3380CC4-5D6E-409C-BE32-E72D297353CC}">
                <c16:uniqueId val="{00000012-E200-4CCC-92A7-F0DE006461D3}"/>
              </c:ext>
            </c:extLst>
          </c:dPt>
          <c:dPt>
            <c:idx val="3"/>
            <c:bubble3D val="0"/>
            <c:spPr>
              <a:solidFill>
                <a:schemeClr val="accent1">
                  <a:lumMod val="40000"/>
                  <a:lumOff val="60000"/>
                </a:schemeClr>
              </a:solidFill>
              <a:ln w="19050">
                <a:solidFill>
                  <a:schemeClr val="lt1"/>
                </a:solidFill>
              </a:ln>
              <a:effectLst/>
            </c:spPr>
            <c:extLst>
              <c:ext xmlns:c16="http://schemas.microsoft.com/office/drawing/2014/chart" uri="{C3380CC4-5D6E-409C-BE32-E72D297353CC}">
                <c16:uniqueId val="{00000005-E200-4CCC-92A7-F0DE006461D3}"/>
              </c:ext>
            </c:extLst>
          </c:dPt>
          <c:dPt>
            <c:idx val="4"/>
            <c:bubble3D val="0"/>
            <c:spPr>
              <a:solidFill>
                <a:schemeClr val="accent1"/>
              </a:solidFill>
              <a:ln w="19050">
                <a:solidFill>
                  <a:schemeClr val="lt1"/>
                </a:solidFill>
              </a:ln>
              <a:effectLst/>
            </c:spPr>
            <c:extLst>
              <c:ext xmlns:c16="http://schemas.microsoft.com/office/drawing/2014/chart" uri="{C3380CC4-5D6E-409C-BE32-E72D297353CC}">
                <c16:uniqueId val="{00000007-E200-4CCC-92A7-F0DE006461D3}"/>
              </c:ext>
            </c:extLst>
          </c:dPt>
          <c:dPt>
            <c:idx val="5"/>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09-E200-4CCC-92A7-F0DE006461D3}"/>
              </c:ext>
            </c:extLst>
          </c:dPt>
          <c:dPt>
            <c:idx val="6"/>
            <c:bubble3D val="0"/>
            <c:spPr>
              <a:solidFill>
                <a:schemeClr val="bg2">
                  <a:lumMod val="75000"/>
                </a:schemeClr>
              </a:solidFill>
              <a:ln w="19050">
                <a:solidFill>
                  <a:schemeClr val="lt1"/>
                </a:solidFill>
              </a:ln>
              <a:effectLst/>
            </c:spPr>
            <c:extLst>
              <c:ext xmlns:c16="http://schemas.microsoft.com/office/drawing/2014/chart" uri="{C3380CC4-5D6E-409C-BE32-E72D297353CC}">
                <c16:uniqueId val="{0000000B-E200-4CCC-92A7-F0DE006461D3}"/>
              </c:ext>
            </c:extLst>
          </c:dPt>
          <c:dLbls>
            <c:dLbl>
              <c:idx val="5"/>
              <c:layout>
                <c:manualLayout>
                  <c:x val="-5.1329545131862032E-2"/>
                  <c:y val="1.8559487461834927E-3"/>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9-E200-4CCC-92A7-F0DE006461D3}"/>
                </c:ext>
              </c:extLst>
            </c:dLbl>
            <c:dLbl>
              <c:idx val="6"/>
              <c:layout>
                <c:manualLayout>
                  <c:x val="5.0260168304086819E-2"/>
                  <c:y val="8.5282273660070348E-3"/>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B-E200-4CCC-92A7-F0DE006461D3}"/>
                </c:ext>
              </c:extLst>
            </c:dLbl>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extLst>
          </c:dLbls>
          <c:cat>
            <c:strRef>
              <c:f>Graphs!$C$42:$I$42</c:f>
              <c:strCache>
                <c:ptCount val="7"/>
                <c:pt idx="0">
                  <c:v>Steam Plant Fuel</c:v>
                </c:pt>
                <c:pt idx="1">
                  <c:v>Electricity</c:v>
                </c:pt>
                <c:pt idx="2">
                  <c:v>Fugitive Emissions</c:v>
                </c:pt>
                <c:pt idx="3">
                  <c:v>Commuting</c:v>
                </c:pt>
                <c:pt idx="4">
                  <c:v>Air Travel</c:v>
                </c:pt>
                <c:pt idx="5">
                  <c:v>Fleet</c:v>
                </c:pt>
                <c:pt idx="6">
                  <c:v>Other</c:v>
                </c:pt>
              </c:strCache>
            </c:strRef>
          </c:cat>
          <c:val>
            <c:numRef>
              <c:f>Graphs!$C$55:$I$55</c:f>
              <c:numCache>
                <c:formatCode>0%</c:formatCode>
                <c:ptCount val="7"/>
                <c:pt idx="0">
                  <c:v>0.23676736225268352</c:v>
                </c:pt>
                <c:pt idx="1">
                  <c:v>0.38433615759586581</c:v>
                </c:pt>
                <c:pt idx="2">
                  <c:v>3.7597199684236998E-2</c:v>
                </c:pt>
                <c:pt idx="3">
                  <c:v>0.17260919345879447</c:v>
                </c:pt>
                <c:pt idx="4">
                  <c:v>0.14457770083431951</c:v>
                </c:pt>
                <c:pt idx="5">
                  <c:v>1.4256646993416435E-2</c:v>
                </c:pt>
                <c:pt idx="6">
                  <c:v>9.8557391806832033E-3</c:v>
                </c:pt>
              </c:numCache>
            </c:numRef>
          </c:val>
          <c:extLst>
            <c:ext xmlns:c16="http://schemas.microsoft.com/office/drawing/2014/chart" uri="{C3380CC4-5D6E-409C-BE32-E72D297353CC}">
              <c16:uniqueId val="{0000000C-E200-4CCC-92A7-F0DE006461D3}"/>
            </c:ext>
          </c:extLst>
        </c:ser>
        <c:dLbls>
          <c:showLegendKey val="0"/>
          <c:showVal val="1"/>
          <c:showCatName val="1"/>
          <c:showSerName val="0"/>
          <c:showPercent val="0"/>
          <c:showBubbleSize val="0"/>
          <c:showLeaderLines val="0"/>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tx>
            <c:strRef>
              <c:f>Graphs!$A$59</c:f>
              <c:strCache>
                <c:ptCount val="1"/>
                <c:pt idx="0">
                  <c:v>2022</c:v>
                </c:pt>
              </c:strCache>
            </c:strRef>
          </c:tx>
          <c:dPt>
            <c:idx val="0"/>
            <c:bubble3D val="0"/>
            <c:spPr>
              <a:solidFill>
                <a:schemeClr val="accent6"/>
              </a:solidFill>
              <a:ln w="19050">
                <a:solidFill>
                  <a:schemeClr val="lt1"/>
                </a:solidFill>
              </a:ln>
              <a:effectLst/>
            </c:spPr>
            <c:extLst>
              <c:ext xmlns:c16="http://schemas.microsoft.com/office/drawing/2014/chart" uri="{C3380CC4-5D6E-409C-BE32-E72D297353CC}">
                <c16:uniqueId val="{00000001-EBD2-4545-855E-42764EB6A59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BD2-4545-855E-42764EB6A59F}"/>
              </c:ext>
            </c:extLst>
          </c:dPt>
          <c:dPt>
            <c:idx val="2"/>
            <c:bubble3D val="0"/>
            <c:spPr>
              <a:solidFill>
                <a:schemeClr val="accent4"/>
              </a:solidFill>
              <a:ln w="19050">
                <a:solidFill>
                  <a:schemeClr val="lt1"/>
                </a:solidFill>
              </a:ln>
              <a:effectLst/>
            </c:spPr>
            <c:extLst>
              <c:ext xmlns:c16="http://schemas.microsoft.com/office/drawing/2014/chart" uri="{C3380CC4-5D6E-409C-BE32-E72D297353CC}">
                <c16:uniqueId val="{00000005-EBD2-4545-855E-42764EB6A59F}"/>
              </c:ext>
            </c:extLst>
          </c:dPt>
          <c:dPt>
            <c:idx val="3"/>
            <c:bubble3D val="0"/>
            <c:spPr>
              <a:solidFill>
                <a:schemeClr val="tx1">
                  <a:lumMod val="65000"/>
                  <a:lumOff val="35000"/>
                </a:schemeClr>
              </a:solidFill>
              <a:ln w="19050">
                <a:solidFill>
                  <a:schemeClr val="lt1"/>
                </a:solidFill>
              </a:ln>
              <a:effectLst/>
            </c:spPr>
            <c:extLst>
              <c:ext xmlns:c16="http://schemas.microsoft.com/office/drawing/2014/chart" uri="{C3380CC4-5D6E-409C-BE32-E72D297353CC}">
                <c16:uniqueId val="{00000007-EBD2-4545-855E-42764EB6A59F}"/>
              </c:ext>
            </c:extLst>
          </c:dPt>
          <c:dPt>
            <c:idx val="4"/>
            <c:bubble3D val="0"/>
            <c:spPr>
              <a:solidFill>
                <a:schemeClr val="accent1">
                  <a:lumMod val="40000"/>
                  <a:lumOff val="60000"/>
                </a:schemeClr>
              </a:solidFill>
              <a:ln w="19050">
                <a:solidFill>
                  <a:schemeClr val="lt1"/>
                </a:solidFill>
              </a:ln>
              <a:effectLst/>
            </c:spPr>
            <c:extLst>
              <c:ext xmlns:c16="http://schemas.microsoft.com/office/drawing/2014/chart" uri="{C3380CC4-5D6E-409C-BE32-E72D297353CC}">
                <c16:uniqueId val="{00000009-EBD2-4545-855E-42764EB6A59F}"/>
              </c:ext>
            </c:extLst>
          </c:dPt>
          <c:dPt>
            <c:idx val="5"/>
            <c:bubble3D val="0"/>
            <c:spPr>
              <a:solidFill>
                <a:schemeClr val="accent1"/>
              </a:solidFill>
              <a:ln w="19050">
                <a:solidFill>
                  <a:schemeClr val="lt1"/>
                </a:solidFill>
              </a:ln>
              <a:effectLst/>
            </c:spPr>
            <c:extLst>
              <c:ext xmlns:c16="http://schemas.microsoft.com/office/drawing/2014/chart" uri="{C3380CC4-5D6E-409C-BE32-E72D297353CC}">
                <c16:uniqueId val="{0000000B-EBD2-4545-855E-42764EB6A59F}"/>
              </c:ext>
            </c:extLst>
          </c:dPt>
          <c:dPt>
            <c:idx val="6"/>
            <c:bubble3D val="0"/>
            <c:spPr>
              <a:solidFill>
                <a:schemeClr val="accent5"/>
              </a:solidFill>
              <a:ln w="19050">
                <a:solidFill>
                  <a:schemeClr val="lt1"/>
                </a:solidFill>
              </a:ln>
              <a:effectLst/>
            </c:spPr>
            <c:extLst>
              <c:ext xmlns:c16="http://schemas.microsoft.com/office/drawing/2014/chart" uri="{C3380CC4-5D6E-409C-BE32-E72D297353CC}">
                <c16:uniqueId val="{0000000D-EBD2-4545-855E-42764EB6A59F}"/>
              </c:ext>
            </c:extLst>
          </c:dPt>
          <c:dPt>
            <c:idx val="7"/>
            <c:bubble3D val="0"/>
            <c:spPr>
              <a:solidFill>
                <a:schemeClr val="accent3"/>
              </a:solidFill>
              <a:ln w="19050">
                <a:solidFill>
                  <a:schemeClr val="lt1"/>
                </a:solidFill>
              </a:ln>
              <a:effectLst/>
            </c:spPr>
            <c:extLst>
              <c:ext xmlns:c16="http://schemas.microsoft.com/office/drawing/2014/chart" uri="{C3380CC4-5D6E-409C-BE32-E72D297353CC}">
                <c16:uniqueId val="{00000015-EBD2-4545-855E-42764EB6A59F}"/>
              </c:ext>
            </c:extLst>
          </c:dPt>
          <c:dLbls>
            <c:dLbl>
              <c:idx val="3"/>
              <c:layout>
                <c:manualLayout>
                  <c:x val="-5.6505984175363483E-2"/>
                  <c:y val="4.9629820229328381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7-EBD2-4545-855E-42764EB6A59F}"/>
                </c:ext>
              </c:extLst>
            </c:dLbl>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Graphs!$B$42:$I$42</c:f>
              <c:strCache>
                <c:ptCount val="8"/>
                <c:pt idx="0">
                  <c:v>Reduction since FY2007</c:v>
                </c:pt>
                <c:pt idx="1">
                  <c:v>Steam Plant Fuel</c:v>
                </c:pt>
                <c:pt idx="2">
                  <c:v>Electricity</c:v>
                </c:pt>
                <c:pt idx="3">
                  <c:v>Fugitive Emissions</c:v>
                </c:pt>
                <c:pt idx="4">
                  <c:v>Commuting</c:v>
                </c:pt>
                <c:pt idx="5">
                  <c:v>Air Travel</c:v>
                </c:pt>
                <c:pt idx="6">
                  <c:v>Fleet</c:v>
                </c:pt>
                <c:pt idx="7">
                  <c:v>Other</c:v>
                </c:pt>
              </c:strCache>
            </c:strRef>
          </c:cat>
          <c:val>
            <c:numRef>
              <c:f>Graphs!$B$59:$I$59</c:f>
              <c:numCache>
                <c:formatCode>0%</c:formatCode>
                <c:ptCount val="8"/>
                <c:pt idx="0">
                  <c:v>0.42641736010634396</c:v>
                </c:pt>
                <c:pt idx="1">
                  <c:v>0.19531984333147381</c:v>
                </c:pt>
                <c:pt idx="2">
                  <c:v>0.25274978384929891</c:v>
                </c:pt>
                <c:pt idx="3">
                  <c:v>2.5222273064359282E-2</c:v>
                </c:pt>
                <c:pt idx="4">
                  <c:v>4.5635719028846354E-2</c:v>
                </c:pt>
                <c:pt idx="5">
                  <c:v>3.9852950700141693E-2</c:v>
                </c:pt>
                <c:pt idx="6">
                  <c:v>9.0015951888935304E-3</c:v>
                </c:pt>
                <c:pt idx="7">
                  <c:v>5.8004747306424432E-3</c:v>
                </c:pt>
              </c:numCache>
            </c:numRef>
          </c:val>
          <c:extLst>
            <c:ext xmlns:c16="http://schemas.microsoft.com/office/drawing/2014/chart" uri="{C3380CC4-5D6E-409C-BE32-E72D297353CC}">
              <c16:uniqueId val="{0000000E-EBD2-4545-855E-42764EB6A59F}"/>
            </c:ext>
          </c:extLst>
        </c:ser>
        <c:dLbls>
          <c:showLegendKey val="0"/>
          <c:showVal val="1"/>
          <c:showCatName val="1"/>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Duke University GHG</a:t>
            </a:r>
            <a:r>
              <a:rPr lang="en-US" baseline="0"/>
              <a:t> Emissions</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areaChart>
        <c:grouping val="standard"/>
        <c:varyColors val="0"/>
        <c:ser>
          <c:idx val="1"/>
          <c:order val="1"/>
          <c:tx>
            <c:strRef>
              <c:f>Graphs!$B$2</c:f>
              <c:strCache>
                <c:ptCount val="1"/>
                <c:pt idx="0">
                  <c:v>Total Emissions</c:v>
                </c:pt>
              </c:strCache>
            </c:strRef>
          </c:tx>
          <c:spPr>
            <a:solidFill>
              <a:schemeClr val="accent1">
                <a:lumMod val="50000"/>
              </a:schemeClr>
            </a:solidFill>
            <a:ln w="0">
              <a:solidFill>
                <a:schemeClr val="accent1"/>
              </a:solidFill>
            </a:ln>
            <a:effectLst/>
          </c:spPr>
          <c:cat>
            <c:numRef>
              <c:f>Graphs!$A$3:$A$18</c:f>
              <c:numCache>
                <c:formatCode>General</c:formatCode>
                <c:ptCount val="16"/>
                <c:pt idx="0">
                  <c:v>2007</c:v>
                </c:pt>
                <c:pt idx="1">
                  <c:v>2008</c:v>
                </c:pt>
                <c:pt idx="2">
                  <c:v>2009</c:v>
                </c:pt>
                <c:pt idx="3">
                  <c:v>2010</c:v>
                </c:pt>
                <c:pt idx="4">
                  <c:v>2011</c:v>
                </c:pt>
                <c:pt idx="5">
                  <c:v>2012</c:v>
                </c:pt>
                <c:pt idx="6">
                  <c:v>2013</c:v>
                </c:pt>
                <c:pt idx="7">
                  <c:v>2014</c:v>
                </c:pt>
                <c:pt idx="8">
                  <c:v>2015</c:v>
                </c:pt>
                <c:pt idx="9">
                  <c:v>2016</c:v>
                </c:pt>
                <c:pt idx="10">
                  <c:v>2017</c:v>
                </c:pt>
                <c:pt idx="11">
                  <c:v>2018</c:v>
                </c:pt>
                <c:pt idx="12">
                  <c:v>2019</c:v>
                </c:pt>
                <c:pt idx="13">
                  <c:v>2020</c:v>
                </c:pt>
                <c:pt idx="14">
                  <c:v>2021</c:v>
                </c:pt>
                <c:pt idx="15">
                  <c:v>2022</c:v>
                </c:pt>
              </c:numCache>
            </c:numRef>
          </c:cat>
          <c:val>
            <c:numRef>
              <c:f>Graphs!$B$3:$B$18</c:f>
              <c:numCache>
                <c:formatCode>_(* #,##0_);_(* \(#,##0\);_(* "-"??_);_(@_)</c:formatCode>
                <c:ptCount val="16"/>
                <c:pt idx="0">
                  <c:v>338828.14501180686</c:v>
                </c:pt>
                <c:pt idx="1">
                  <c:v>338882.54793150496</c:v>
                </c:pt>
                <c:pt idx="2">
                  <c:v>322354.63974981062</c:v>
                </c:pt>
                <c:pt idx="3">
                  <c:v>307757.8588168695</c:v>
                </c:pt>
                <c:pt idx="4">
                  <c:v>301234.19077904487</c:v>
                </c:pt>
                <c:pt idx="5">
                  <c:v>285285.28537058912</c:v>
                </c:pt>
                <c:pt idx="6">
                  <c:v>282167.45403798629</c:v>
                </c:pt>
                <c:pt idx="7">
                  <c:v>267935.44772427808</c:v>
                </c:pt>
                <c:pt idx="8">
                  <c:v>274593.85611200769</c:v>
                </c:pt>
                <c:pt idx="9">
                  <c:v>261219.80259514123</c:v>
                </c:pt>
                <c:pt idx="10">
                  <c:v>252997.14022829267</c:v>
                </c:pt>
                <c:pt idx="11">
                  <c:v>257030.85143953498</c:v>
                </c:pt>
                <c:pt idx="12">
                  <c:v>270264.98406955332</c:v>
                </c:pt>
                <c:pt idx="13">
                  <c:v>224812.43723269508</c:v>
                </c:pt>
                <c:pt idx="14">
                  <c:v>171491.67575345535</c:v>
                </c:pt>
                <c:pt idx="15">
                  <c:v>194345.94188614268</c:v>
                </c:pt>
              </c:numCache>
            </c:numRef>
          </c:val>
          <c:extLst>
            <c:ext xmlns:c16="http://schemas.microsoft.com/office/drawing/2014/chart" uri="{C3380CC4-5D6E-409C-BE32-E72D297353CC}">
              <c16:uniqueId val="{00000000-877F-44B5-BA4A-9AF77BDD1F3E}"/>
            </c:ext>
          </c:extLst>
        </c:ser>
        <c:dLbls>
          <c:showLegendKey val="0"/>
          <c:showVal val="0"/>
          <c:showCatName val="0"/>
          <c:showSerName val="0"/>
          <c:showPercent val="0"/>
          <c:showBubbleSize val="0"/>
        </c:dLbls>
        <c:axId val="222539048"/>
        <c:axId val="430482280"/>
        <c:extLst>
          <c:ext xmlns:c15="http://schemas.microsoft.com/office/drawing/2012/chart" uri="{02D57815-91ED-43cb-92C2-25804820EDAC}">
            <c15:filteredAreaSeries>
              <c15:ser>
                <c:idx val="0"/>
                <c:order val="0"/>
                <c:tx>
                  <c:strRef>
                    <c:extLst>
                      <c:ext uri="{02D57815-91ED-43cb-92C2-25804820EDAC}">
                        <c15:formulaRef>
                          <c15:sqref>Graphs!$A$2</c15:sqref>
                        </c15:formulaRef>
                      </c:ext>
                    </c:extLst>
                    <c:strCache>
                      <c:ptCount val="1"/>
                      <c:pt idx="0">
                        <c:v>Year</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cat>
                  <c:numRef>
                    <c:extLst>
                      <c:ext uri="{02D57815-91ED-43cb-92C2-25804820EDAC}">
                        <c15:formulaRef>
                          <c15:sqref>Graphs!$A$3:$A$18</c15:sqref>
                        </c15:formulaRef>
                      </c:ext>
                    </c:extLst>
                    <c:numCache>
                      <c:formatCode>General</c:formatCode>
                      <c:ptCount val="16"/>
                      <c:pt idx="0">
                        <c:v>2007</c:v>
                      </c:pt>
                      <c:pt idx="1">
                        <c:v>2008</c:v>
                      </c:pt>
                      <c:pt idx="2">
                        <c:v>2009</c:v>
                      </c:pt>
                      <c:pt idx="3">
                        <c:v>2010</c:v>
                      </c:pt>
                      <c:pt idx="4">
                        <c:v>2011</c:v>
                      </c:pt>
                      <c:pt idx="5">
                        <c:v>2012</c:v>
                      </c:pt>
                      <c:pt idx="6">
                        <c:v>2013</c:v>
                      </c:pt>
                      <c:pt idx="7">
                        <c:v>2014</c:v>
                      </c:pt>
                      <c:pt idx="8">
                        <c:v>2015</c:v>
                      </c:pt>
                      <c:pt idx="9">
                        <c:v>2016</c:v>
                      </c:pt>
                      <c:pt idx="10">
                        <c:v>2017</c:v>
                      </c:pt>
                      <c:pt idx="11">
                        <c:v>2018</c:v>
                      </c:pt>
                      <c:pt idx="12">
                        <c:v>2019</c:v>
                      </c:pt>
                      <c:pt idx="13">
                        <c:v>2020</c:v>
                      </c:pt>
                      <c:pt idx="14">
                        <c:v>2021</c:v>
                      </c:pt>
                      <c:pt idx="15">
                        <c:v>2022</c:v>
                      </c:pt>
                    </c:numCache>
                  </c:numRef>
                </c:cat>
                <c:val>
                  <c:numRef>
                    <c:extLst>
                      <c:ext uri="{02D57815-91ED-43cb-92C2-25804820EDAC}">
                        <c15:formulaRef>
                          <c15:sqref>Graphs!$A$3:$A$15</c15:sqref>
                        </c15:formulaRef>
                      </c:ext>
                    </c:extLst>
                    <c:numCache>
                      <c:formatCode>General</c:formatCode>
                      <c:ptCount val="13"/>
                      <c:pt idx="0">
                        <c:v>2007</c:v>
                      </c:pt>
                      <c:pt idx="1">
                        <c:v>2008</c:v>
                      </c:pt>
                      <c:pt idx="2">
                        <c:v>2009</c:v>
                      </c:pt>
                      <c:pt idx="3">
                        <c:v>2010</c:v>
                      </c:pt>
                      <c:pt idx="4">
                        <c:v>2011</c:v>
                      </c:pt>
                      <c:pt idx="5">
                        <c:v>2012</c:v>
                      </c:pt>
                      <c:pt idx="6">
                        <c:v>2013</c:v>
                      </c:pt>
                      <c:pt idx="7">
                        <c:v>2014</c:v>
                      </c:pt>
                      <c:pt idx="8">
                        <c:v>2015</c:v>
                      </c:pt>
                      <c:pt idx="9">
                        <c:v>2016</c:v>
                      </c:pt>
                      <c:pt idx="10">
                        <c:v>2017</c:v>
                      </c:pt>
                      <c:pt idx="11">
                        <c:v>2018</c:v>
                      </c:pt>
                      <c:pt idx="12">
                        <c:v>2019</c:v>
                      </c:pt>
                    </c:numCache>
                  </c:numRef>
                </c:val>
                <c:extLst>
                  <c:ext xmlns:c16="http://schemas.microsoft.com/office/drawing/2014/chart" uri="{C3380CC4-5D6E-409C-BE32-E72D297353CC}">
                    <c16:uniqueId val="{00000001-877F-44B5-BA4A-9AF77BDD1F3E}"/>
                  </c:ext>
                </c:extLst>
              </c15:ser>
            </c15:filteredAreaSeries>
          </c:ext>
        </c:extLst>
      </c:areaChart>
      <c:catAx>
        <c:axId val="222539048"/>
        <c:scaling>
          <c:orientation val="minMax"/>
        </c:scaling>
        <c:delete val="0"/>
        <c:axPos val="b"/>
        <c:numFmt formatCode="General" sourceLinked="1"/>
        <c:majorTickMark val="cross"/>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2"/>
                </a:solidFill>
                <a:latin typeface="+mn-lt"/>
                <a:ea typeface="+mn-ea"/>
                <a:cs typeface="+mn-cs"/>
              </a:defRPr>
            </a:pPr>
            <a:endParaRPr lang="en-US"/>
          </a:p>
        </c:txPr>
        <c:crossAx val="430482280"/>
        <c:crosses val="autoZero"/>
        <c:auto val="1"/>
        <c:lblAlgn val="ctr"/>
        <c:lblOffset val="100"/>
        <c:noMultiLvlLbl val="0"/>
      </c:catAx>
      <c:valAx>
        <c:axId val="430482280"/>
        <c:scaling>
          <c:orientation val="minMax"/>
          <c:max val="350000"/>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sz="1600"/>
                  <a:t>Emissions (MTCO2e)</a:t>
                </a:r>
              </a:p>
            </c:rich>
          </c:tx>
          <c:overlay val="0"/>
          <c:spPr>
            <a:noFill/>
            <a:ln>
              <a:noFill/>
            </a:ln>
            <a:effectLst/>
          </c:spPr>
          <c:txPr>
            <a:bodyPr rot="-540000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2"/>
                </a:solidFill>
                <a:latin typeface="+mn-lt"/>
                <a:ea typeface="+mn-ea"/>
                <a:cs typeface="+mn-cs"/>
              </a:defRPr>
            </a:pPr>
            <a:endParaRPr lang="en-US"/>
          </a:p>
        </c:txPr>
        <c:crossAx val="22253904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Duke University GHG</a:t>
            </a:r>
            <a:r>
              <a:rPr lang="en-US" baseline="0"/>
              <a:t> Emissions</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barChart>
        <c:barDir val="col"/>
        <c:grouping val="clustered"/>
        <c:varyColors val="0"/>
        <c:ser>
          <c:idx val="1"/>
          <c:order val="1"/>
          <c:tx>
            <c:strRef>
              <c:f>Graphs!$B$2</c:f>
              <c:strCache>
                <c:ptCount val="1"/>
                <c:pt idx="0">
                  <c:v>Total Emissions</c:v>
                </c:pt>
              </c:strCache>
            </c:strRef>
          </c:tx>
          <c:spPr>
            <a:solidFill>
              <a:schemeClr val="accent5">
                <a:lumMod val="75000"/>
              </a:schemeClr>
            </a:solidFill>
            <a:ln w="0">
              <a:solidFill>
                <a:schemeClr val="accent1"/>
              </a:solidFill>
            </a:ln>
            <a:effectLst/>
          </c:spPr>
          <c:invertIfNegative val="0"/>
          <c:cat>
            <c:numRef>
              <c:f>Graphs!$A$3:$A$18</c:f>
              <c:numCache>
                <c:formatCode>General</c:formatCode>
                <c:ptCount val="16"/>
                <c:pt idx="0">
                  <c:v>2007</c:v>
                </c:pt>
                <c:pt idx="1">
                  <c:v>2008</c:v>
                </c:pt>
                <c:pt idx="2">
                  <c:v>2009</c:v>
                </c:pt>
                <c:pt idx="3">
                  <c:v>2010</c:v>
                </c:pt>
                <c:pt idx="4">
                  <c:v>2011</c:v>
                </c:pt>
                <c:pt idx="5">
                  <c:v>2012</c:v>
                </c:pt>
                <c:pt idx="6">
                  <c:v>2013</c:v>
                </c:pt>
                <c:pt idx="7">
                  <c:v>2014</c:v>
                </c:pt>
                <c:pt idx="8">
                  <c:v>2015</c:v>
                </c:pt>
                <c:pt idx="9">
                  <c:v>2016</c:v>
                </c:pt>
                <c:pt idx="10">
                  <c:v>2017</c:v>
                </c:pt>
                <c:pt idx="11">
                  <c:v>2018</c:v>
                </c:pt>
                <c:pt idx="12">
                  <c:v>2019</c:v>
                </c:pt>
                <c:pt idx="13">
                  <c:v>2020</c:v>
                </c:pt>
                <c:pt idx="14">
                  <c:v>2021</c:v>
                </c:pt>
                <c:pt idx="15">
                  <c:v>2022</c:v>
                </c:pt>
              </c:numCache>
            </c:numRef>
          </c:cat>
          <c:val>
            <c:numRef>
              <c:f>Graphs!$B$3:$B$18</c:f>
              <c:numCache>
                <c:formatCode>_(* #,##0_);_(* \(#,##0\);_(* "-"??_);_(@_)</c:formatCode>
                <c:ptCount val="16"/>
                <c:pt idx="0">
                  <c:v>338828.14501180686</c:v>
                </c:pt>
                <c:pt idx="1">
                  <c:v>338882.54793150496</c:v>
                </c:pt>
                <c:pt idx="2">
                  <c:v>322354.63974981062</c:v>
                </c:pt>
                <c:pt idx="3">
                  <c:v>307757.8588168695</c:v>
                </c:pt>
                <c:pt idx="4">
                  <c:v>301234.19077904487</c:v>
                </c:pt>
                <c:pt idx="5">
                  <c:v>285285.28537058912</c:v>
                </c:pt>
                <c:pt idx="6">
                  <c:v>282167.45403798629</c:v>
                </c:pt>
                <c:pt idx="7">
                  <c:v>267935.44772427808</c:v>
                </c:pt>
                <c:pt idx="8">
                  <c:v>274593.85611200769</c:v>
                </c:pt>
                <c:pt idx="9">
                  <c:v>261219.80259514123</c:v>
                </c:pt>
                <c:pt idx="10">
                  <c:v>252997.14022829267</c:v>
                </c:pt>
                <c:pt idx="11">
                  <c:v>257030.85143953498</c:v>
                </c:pt>
                <c:pt idx="12">
                  <c:v>270264.98406955332</c:v>
                </c:pt>
                <c:pt idx="13">
                  <c:v>224812.43723269508</c:v>
                </c:pt>
                <c:pt idx="14">
                  <c:v>171491.67575345535</c:v>
                </c:pt>
                <c:pt idx="15">
                  <c:v>194345.94188614268</c:v>
                </c:pt>
              </c:numCache>
            </c:numRef>
          </c:val>
          <c:extLst>
            <c:ext xmlns:c16="http://schemas.microsoft.com/office/drawing/2014/chart" uri="{C3380CC4-5D6E-409C-BE32-E72D297353CC}">
              <c16:uniqueId val="{00000001-6413-4341-A82A-DA8938B46A0C}"/>
            </c:ext>
          </c:extLst>
        </c:ser>
        <c:dLbls>
          <c:showLegendKey val="0"/>
          <c:showVal val="0"/>
          <c:showCatName val="0"/>
          <c:showSerName val="0"/>
          <c:showPercent val="0"/>
          <c:showBubbleSize val="0"/>
        </c:dLbls>
        <c:gapWidth val="91"/>
        <c:axId val="222539048"/>
        <c:axId val="430482280"/>
        <c:extLst>
          <c:ext xmlns:c15="http://schemas.microsoft.com/office/drawing/2012/chart" uri="{02D57815-91ED-43cb-92C2-25804820EDAC}">
            <c15:filteredBarSeries>
              <c15:ser>
                <c:idx val="0"/>
                <c:order val="0"/>
                <c:tx>
                  <c:strRef>
                    <c:extLst>
                      <c:ext uri="{02D57815-91ED-43cb-92C2-25804820EDAC}">
                        <c15:formulaRef>
                          <c15:sqref>Graphs!$A$2</c15:sqref>
                        </c15:formulaRef>
                      </c:ext>
                    </c:extLst>
                    <c:strCache>
                      <c:ptCount val="1"/>
                      <c:pt idx="0">
                        <c:v>Year</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numRef>
                    <c:extLst>
                      <c:ext uri="{02D57815-91ED-43cb-92C2-25804820EDAC}">
                        <c15:formulaRef>
                          <c15:sqref>Graphs!$A$3:$A$18</c15:sqref>
                        </c15:formulaRef>
                      </c:ext>
                    </c:extLst>
                    <c:numCache>
                      <c:formatCode>General</c:formatCode>
                      <c:ptCount val="16"/>
                      <c:pt idx="0">
                        <c:v>2007</c:v>
                      </c:pt>
                      <c:pt idx="1">
                        <c:v>2008</c:v>
                      </c:pt>
                      <c:pt idx="2">
                        <c:v>2009</c:v>
                      </c:pt>
                      <c:pt idx="3">
                        <c:v>2010</c:v>
                      </c:pt>
                      <c:pt idx="4">
                        <c:v>2011</c:v>
                      </c:pt>
                      <c:pt idx="5">
                        <c:v>2012</c:v>
                      </c:pt>
                      <c:pt idx="6">
                        <c:v>2013</c:v>
                      </c:pt>
                      <c:pt idx="7">
                        <c:v>2014</c:v>
                      </c:pt>
                      <c:pt idx="8">
                        <c:v>2015</c:v>
                      </c:pt>
                      <c:pt idx="9">
                        <c:v>2016</c:v>
                      </c:pt>
                      <c:pt idx="10">
                        <c:v>2017</c:v>
                      </c:pt>
                      <c:pt idx="11">
                        <c:v>2018</c:v>
                      </c:pt>
                      <c:pt idx="12">
                        <c:v>2019</c:v>
                      </c:pt>
                      <c:pt idx="13">
                        <c:v>2020</c:v>
                      </c:pt>
                      <c:pt idx="14">
                        <c:v>2021</c:v>
                      </c:pt>
                      <c:pt idx="15">
                        <c:v>2022</c:v>
                      </c:pt>
                    </c:numCache>
                  </c:numRef>
                </c:cat>
                <c:val>
                  <c:numRef>
                    <c:extLst>
                      <c:ext uri="{02D57815-91ED-43cb-92C2-25804820EDAC}">
                        <c15:formulaRef>
                          <c15:sqref>Graphs!$A$3:$A$15</c15:sqref>
                        </c15:formulaRef>
                      </c:ext>
                    </c:extLst>
                    <c:numCache>
                      <c:formatCode>General</c:formatCode>
                      <c:ptCount val="13"/>
                      <c:pt idx="0">
                        <c:v>2007</c:v>
                      </c:pt>
                      <c:pt idx="1">
                        <c:v>2008</c:v>
                      </c:pt>
                      <c:pt idx="2">
                        <c:v>2009</c:v>
                      </c:pt>
                      <c:pt idx="3">
                        <c:v>2010</c:v>
                      </c:pt>
                      <c:pt idx="4">
                        <c:v>2011</c:v>
                      </c:pt>
                      <c:pt idx="5">
                        <c:v>2012</c:v>
                      </c:pt>
                      <c:pt idx="6">
                        <c:v>2013</c:v>
                      </c:pt>
                      <c:pt idx="7">
                        <c:v>2014</c:v>
                      </c:pt>
                      <c:pt idx="8">
                        <c:v>2015</c:v>
                      </c:pt>
                      <c:pt idx="9">
                        <c:v>2016</c:v>
                      </c:pt>
                      <c:pt idx="10">
                        <c:v>2017</c:v>
                      </c:pt>
                      <c:pt idx="11">
                        <c:v>2018</c:v>
                      </c:pt>
                      <c:pt idx="12">
                        <c:v>2019</c:v>
                      </c:pt>
                    </c:numCache>
                  </c:numRef>
                </c:val>
                <c:extLst>
                  <c:ext xmlns:c16="http://schemas.microsoft.com/office/drawing/2014/chart" uri="{C3380CC4-5D6E-409C-BE32-E72D297353CC}">
                    <c16:uniqueId val="{00000000-6413-4341-A82A-DA8938B46A0C}"/>
                  </c:ext>
                </c:extLst>
              </c15:ser>
            </c15:filteredBarSeries>
          </c:ext>
        </c:extLst>
      </c:barChart>
      <c:catAx>
        <c:axId val="222539048"/>
        <c:scaling>
          <c:orientation val="minMax"/>
        </c:scaling>
        <c:delete val="0"/>
        <c:axPos val="b"/>
        <c:numFmt formatCode="General" sourceLinked="1"/>
        <c:majorTickMark val="cross"/>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2"/>
                </a:solidFill>
                <a:latin typeface="+mn-lt"/>
                <a:ea typeface="+mn-ea"/>
                <a:cs typeface="+mn-cs"/>
              </a:defRPr>
            </a:pPr>
            <a:endParaRPr lang="en-US"/>
          </a:p>
        </c:txPr>
        <c:crossAx val="430482280"/>
        <c:crosses val="autoZero"/>
        <c:auto val="1"/>
        <c:lblAlgn val="ctr"/>
        <c:lblOffset val="100"/>
        <c:noMultiLvlLbl val="0"/>
      </c:catAx>
      <c:valAx>
        <c:axId val="430482280"/>
        <c:scaling>
          <c:orientation val="minMax"/>
          <c:max val="350000"/>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sz="1600"/>
                  <a:t>Emissions (MTCO2e)</a:t>
                </a:r>
              </a:p>
            </c:rich>
          </c:tx>
          <c:overlay val="0"/>
          <c:spPr>
            <a:noFill/>
            <a:ln>
              <a:noFill/>
            </a:ln>
            <a:effectLst/>
          </c:spPr>
          <c:txPr>
            <a:bodyPr rot="-540000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2"/>
                </a:solidFill>
                <a:latin typeface="+mn-lt"/>
                <a:ea typeface="+mn-ea"/>
                <a:cs typeface="+mn-cs"/>
              </a:defRPr>
            </a:pPr>
            <a:endParaRPr lang="en-US"/>
          </a:p>
        </c:txPr>
        <c:crossAx val="22253904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000" b="1"/>
              <a:t>Duke FY 2007</a:t>
            </a:r>
            <a:r>
              <a:rPr lang="en-US" sz="2000" b="1" baseline="0"/>
              <a:t> GHG Emissions</a:t>
            </a:r>
            <a:r>
              <a:rPr lang="en-US" sz="2000" b="1"/>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Graphs!$A$43</c:f>
              <c:strCache>
                <c:ptCount val="1"/>
                <c:pt idx="0">
                  <c:v>2007</c:v>
                </c:pt>
              </c:strCache>
            </c:strRef>
          </c:tx>
          <c:dPt>
            <c:idx val="0"/>
            <c:bubble3D val="0"/>
            <c:spPr>
              <a:solidFill>
                <a:schemeClr val="accent2"/>
              </a:solidFill>
              <a:ln w="19050">
                <a:solidFill>
                  <a:schemeClr val="lt1"/>
                </a:solidFill>
              </a:ln>
              <a:effectLst/>
            </c:spPr>
            <c:extLst>
              <c:ext xmlns:c16="http://schemas.microsoft.com/office/drawing/2014/chart" uri="{C3380CC4-5D6E-409C-BE32-E72D297353CC}">
                <c16:uniqueId val="{0000000D-1757-4516-A06E-C60B0E7257CE}"/>
              </c:ext>
            </c:extLst>
          </c:dPt>
          <c:dPt>
            <c:idx val="1"/>
            <c:bubble3D val="0"/>
            <c:spPr>
              <a:solidFill>
                <a:schemeClr val="accent4"/>
              </a:solidFill>
              <a:ln w="19050">
                <a:solidFill>
                  <a:schemeClr val="lt1"/>
                </a:solidFill>
              </a:ln>
              <a:effectLst/>
            </c:spPr>
            <c:extLst>
              <c:ext xmlns:c16="http://schemas.microsoft.com/office/drawing/2014/chart" uri="{C3380CC4-5D6E-409C-BE32-E72D297353CC}">
                <c16:uniqueId val="{00000003-1757-4516-A06E-C60B0E7257CE}"/>
              </c:ext>
            </c:extLst>
          </c:dPt>
          <c:dPt>
            <c:idx val="2"/>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12-1757-4516-A06E-C60B0E7257CE}"/>
              </c:ext>
            </c:extLst>
          </c:dPt>
          <c:dPt>
            <c:idx val="3"/>
            <c:bubble3D val="0"/>
            <c:spPr>
              <a:solidFill>
                <a:schemeClr val="accent1"/>
              </a:solidFill>
              <a:ln w="19050">
                <a:solidFill>
                  <a:schemeClr val="lt1"/>
                </a:solidFill>
              </a:ln>
              <a:effectLst/>
            </c:spPr>
            <c:extLst>
              <c:ext xmlns:c16="http://schemas.microsoft.com/office/drawing/2014/chart" uri="{C3380CC4-5D6E-409C-BE32-E72D297353CC}">
                <c16:uniqueId val="{00000023-1757-4516-A06E-C60B0E7257CE}"/>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2C-1757-4516-A06E-C60B0E7257CE}"/>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34-1757-4516-A06E-C60B0E7257CE}"/>
              </c:ext>
            </c:extLst>
          </c:dPt>
          <c:dLbls>
            <c:dLbl>
              <c:idx val="2"/>
              <c:layout>
                <c:manualLayout>
                  <c:x val="0.17169678589137205"/>
                  <c:y val="7.7272332723149373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12-1757-4516-A06E-C60B0E7257CE}"/>
                </c:ext>
              </c:extLst>
            </c:dLbl>
            <c:dLbl>
              <c:idx val="3"/>
              <c:layout>
                <c:manualLayout>
                  <c:x val="0.10776608666463532"/>
                  <c:y val="0.16840870454131149"/>
                </c:manualLayout>
              </c:layout>
              <c:spPr>
                <a:noFill/>
                <a:ln>
                  <a:noFill/>
                </a:ln>
                <a:effectLst/>
              </c:spPr>
              <c:txPr>
                <a:bodyPr rot="0" spcFirstLastPara="1" vertOverflow="ellipsis" vert="horz" wrap="square" lIns="38100" tIns="19050" rIns="38100" bIns="19050" anchor="ctr" anchorCtr="1">
                  <a:noAutofit/>
                </a:bodyPr>
                <a:lstStyle/>
                <a:p>
                  <a:pPr>
                    <a:defRPr sz="14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layout>
                    <c:manualLayout>
                      <c:w val="0.15307024066620717"/>
                      <c:h val="0.10088295274647543"/>
                    </c:manualLayout>
                  </c15:layout>
                </c:ext>
                <c:ext xmlns:c16="http://schemas.microsoft.com/office/drawing/2014/chart" uri="{C3380CC4-5D6E-409C-BE32-E72D297353CC}">
                  <c16:uniqueId val="{00000023-1757-4516-A06E-C60B0E7257CE}"/>
                </c:ext>
              </c:extLst>
            </c:dLbl>
            <c:dLbl>
              <c:idx val="4"/>
              <c:layout>
                <c:manualLayout>
                  <c:x val="-5.1845387629611182E-2"/>
                  <c:y val="3.5303606958455667E-3"/>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2C-1757-4516-A06E-C60B0E7257CE}"/>
                </c:ext>
              </c:extLst>
            </c:dLbl>
            <c:dLbl>
              <c:idx val="5"/>
              <c:layout>
                <c:manualLayout>
                  <c:x val="7.4278208631809492E-2"/>
                  <c:y val="1.032485816621064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34-1757-4516-A06E-C60B0E7257CE}"/>
                </c:ext>
              </c:extLst>
            </c:dLbl>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extLst>
          </c:dLbls>
          <c:cat>
            <c:strRef>
              <c:extLst>
                <c:ext xmlns:c15="http://schemas.microsoft.com/office/drawing/2012/chart" uri="{02D57815-91ED-43cb-92C2-25804820EDAC}">
                  <c15:fullRef>
                    <c15:sqref>Graphs!$C$42:$I$42</c15:sqref>
                  </c15:fullRef>
                </c:ext>
              </c:extLst>
              <c:f>(Graphs!$C$42:$D$42,Graphs!$F$42:$I$42)</c:f>
              <c:strCache>
                <c:ptCount val="6"/>
                <c:pt idx="0">
                  <c:v>Steam Plant Fuel</c:v>
                </c:pt>
                <c:pt idx="1">
                  <c:v>Electricity</c:v>
                </c:pt>
                <c:pt idx="2">
                  <c:v>Commuting</c:v>
                </c:pt>
                <c:pt idx="3">
                  <c:v>Air Travel</c:v>
                </c:pt>
                <c:pt idx="4">
                  <c:v>Fleet</c:v>
                </c:pt>
                <c:pt idx="5">
                  <c:v>Other</c:v>
                </c:pt>
              </c:strCache>
            </c:strRef>
          </c:cat>
          <c:val>
            <c:numRef>
              <c:extLst>
                <c:ext xmlns:c15="http://schemas.microsoft.com/office/drawing/2012/chart" uri="{02D57815-91ED-43cb-92C2-25804820EDAC}">
                  <c15:fullRef>
                    <c15:sqref>Graphs!$C$43:$I$43</c15:sqref>
                  </c15:fullRef>
                </c:ext>
              </c:extLst>
              <c:f>(Graphs!$C$43:$D$43,Graphs!$F$43:$I$43)</c:f>
              <c:numCache>
                <c:formatCode>0%</c:formatCode>
                <c:ptCount val="6"/>
                <c:pt idx="0">
                  <c:v>0.28940709015784588</c:v>
                </c:pt>
                <c:pt idx="1">
                  <c:v>0.49032177401230342</c:v>
                </c:pt>
                <c:pt idx="2">
                  <c:v>8.1370432730843364E-2</c:v>
                </c:pt>
                <c:pt idx="3">
                  <c:v>0.12205129738504822</c:v>
                </c:pt>
                <c:pt idx="4">
                  <c:v>9.8264021748546756E-3</c:v>
                </c:pt>
                <c:pt idx="5">
                  <c:v>7.0230035391043001E-3</c:v>
                </c:pt>
              </c:numCache>
            </c:numRef>
          </c:val>
          <c:extLst>
            <c:ext xmlns:c15="http://schemas.microsoft.com/office/drawing/2012/chart" uri="{02D57815-91ED-43cb-92C2-25804820EDAC}">
              <c15:categoryFilterExceptions/>
            </c:ext>
            <c:ext xmlns:c16="http://schemas.microsoft.com/office/drawing/2014/chart" uri="{C3380CC4-5D6E-409C-BE32-E72D297353CC}">
              <c16:uniqueId val="{00000000-1757-4516-A06E-C60B0E7257CE}"/>
            </c:ext>
          </c:extLst>
        </c:ser>
        <c:dLbls>
          <c:showLegendKey val="0"/>
          <c:showVal val="1"/>
          <c:showCatName val="1"/>
          <c:showSerName val="0"/>
          <c:showPercent val="0"/>
          <c:showBubbleSize val="0"/>
          <c:showLeaderLines val="0"/>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Historical Transportation Emissions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Graphs!$H$21</c:f>
              <c:strCache>
                <c:ptCount val="1"/>
                <c:pt idx="0">
                  <c:v>Commuting</c:v>
                </c:pt>
              </c:strCache>
            </c:strRef>
          </c:tx>
          <c:spPr>
            <a:ln w="28575" cap="rnd">
              <a:solidFill>
                <a:schemeClr val="accent1">
                  <a:lumMod val="40000"/>
                  <a:lumOff val="60000"/>
                </a:schemeClr>
              </a:solidFill>
              <a:round/>
            </a:ln>
            <a:effectLst/>
          </c:spPr>
          <c:marker>
            <c:symbol val="none"/>
          </c:marker>
          <c:cat>
            <c:numRef>
              <c:f>Graphs!$A$22:$A$37</c:f>
              <c:numCache>
                <c:formatCode>General</c:formatCode>
                <c:ptCount val="16"/>
                <c:pt idx="0">
                  <c:v>2007</c:v>
                </c:pt>
                <c:pt idx="1">
                  <c:v>2008</c:v>
                </c:pt>
                <c:pt idx="2">
                  <c:v>2009</c:v>
                </c:pt>
                <c:pt idx="3">
                  <c:v>2010</c:v>
                </c:pt>
                <c:pt idx="4">
                  <c:v>2011</c:v>
                </c:pt>
                <c:pt idx="5">
                  <c:v>2012</c:v>
                </c:pt>
                <c:pt idx="6">
                  <c:v>2013</c:v>
                </c:pt>
                <c:pt idx="7">
                  <c:v>2014</c:v>
                </c:pt>
                <c:pt idx="8">
                  <c:v>2015</c:v>
                </c:pt>
                <c:pt idx="9">
                  <c:v>2016</c:v>
                </c:pt>
                <c:pt idx="10">
                  <c:v>2017</c:v>
                </c:pt>
                <c:pt idx="11">
                  <c:v>2018</c:v>
                </c:pt>
                <c:pt idx="12">
                  <c:v>2019</c:v>
                </c:pt>
                <c:pt idx="13">
                  <c:v>2020</c:v>
                </c:pt>
                <c:pt idx="14">
                  <c:v>2021</c:v>
                </c:pt>
                <c:pt idx="15">
                  <c:v>2022</c:v>
                </c:pt>
              </c:numCache>
            </c:numRef>
          </c:cat>
          <c:val>
            <c:numRef>
              <c:f>Graphs!$H$22:$H$37</c:f>
              <c:numCache>
                <c:formatCode>_(* #,##0_);_(* \(#,##0\);_(* "-"??_);_(@_)</c:formatCode>
                <c:ptCount val="16"/>
                <c:pt idx="0">
                  <c:v>27570.592780999672</c:v>
                </c:pt>
                <c:pt idx="1">
                  <c:v>26905.742268856724</c:v>
                </c:pt>
                <c:pt idx="2">
                  <c:v>30462.723383736251</c:v>
                </c:pt>
                <c:pt idx="3">
                  <c:v>28660.226512105612</c:v>
                </c:pt>
                <c:pt idx="4">
                  <c:v>28674.42301981787</c:v>
                </c:pt>
                <c:pt idx="5">
                  <c:v>30374.103232490223</c:v>
                </c:pt>
                <c:pt idx="6">
                  <c:v>34762.402822522279</c:v>
                </c:pt>
                <c:pt idx="7">
                  <c:v>33501.463697199768</c:v>
                </c:pt>
                <c:pt idx="8">
                  <c:v>36154.379951424082</c:v>
                </c:pt>
                <c:pt idx="9">
                  <c:v>35341.554627505211</c:v>
                </c:pt>
                <c:pt idx="10">
                  <c:v>36621.164448810057</c:v>
                </c:pt>
                <c:pt idx="11">
                  <c:v>40340.800754305266</c:v>
                </c:pt>
                <c:pt idx="12">
                  <c:v>46650.220920399537</c:v>
                </c:pt>
                <c:pt idx="13">
                  <c:v>31310.841568496449</c:v>
                </c:pt>
                <c:pt idx="14">
                  <c:v>6437.8949144164671</c:v>
                </c:pt>
                <c:pt idx="15">
                  <c:v>15462.666024824026</c:v>
                </c:pt>
              </c:numCache>
            </c:numRef>
          </c:val>
          <c:smooth val="0"/>
          <c:extLst>
            <c:ext xmlns:c16="http://schemas.microsoft.com/office/drawing/2014/chart" uri="{C3380CC4-5D6E-409C-BE32-E72D297353CC}">
              <c16:uniqueId val="{00000000-9D84-4E15-BD30-1AB36DCF203F}"/>
            </c:ext>
          </c:extLst>
        </c:ser>
        <c:ser>
          <c:idx val="1"/>
          <c:order val="1"/>
          <c:tx>
            <c:strRef>
              <c:f>Graphs!$I$21</c:f>
              <c:strCache>
                <c:ptCount val="1"/>
                <c:pt idx="0">
                  <c:v>Air Travel</c:v>
                </c:pt>
              </c:strCache>
            </c:strRef>
          </c:tx>
          <c:spPr>
            <a:ln w="28575" cap="rnd">
              <a:solidFill>
                <a:schemeClr val="accent1"/>
              </a:solidFill>
              <a:round/>
            </a:ln>
            <a:effectLst/>
          </c:spPr>
          <c:marker>
            <c:symbol val="none"/>
          </c:marker>
          <c:cat>
            <c:numRef>
              <c:f>Graphs!$A$22:$A$37</c:f>
              <c:numCache>
                <c:formatCode>General</c:formatCode>
                <c:ptCount val="16"/>
                <c:pt idx="0">
                  <c:v>2007</c:v>
                </c:pt>
                <c:pt idx="1">
                  <c:v>2008</c:v>
                </c:pt>
                <c:pt idx="2">
                  <c:v>2009</c:v>
                </c:pt>
                <c:pt idx="3">
                  <c:v>2010</c:v>
                </c:pt>
                <c:pt idx="4">
                  <c:v>2011</c:v>
                </c:pt>
                <c:pt idx="5">
                  <c:v>2012</c:v>
                </c:pt>
                <c:pt idx="6">
                  <c:v>2013</c:v>
                </c:pt>
                <c:pt idx="7">
                  <c:v>2014</c:v>
                </c:pt>
                <c:pt idx="8">
                  <c:v>2015</c:v>
                </c:pt>
                <c:pt idx="9">
                  <c:v>2016</c:v>
                </c:pt>
                <c:pt idx="10">
                  <c:v>2017</c:v>
                </c:pt>
                <c:pt idx="11">
                  <c:v>2018</c:v>
                </c:pt>
                <c:pt idx="12">
                  <c:v>2019</c:v>
                </c:pt>
                <c:pt idx="13">
                  <c:v>2020</c:v>
                </c:pt>
                <c:pt idx="14">
                  <c:v>2021</c:v>
                </c:pt>
                <c:pt idx="15">
                  <c:v>2022</c:v>
                </c:pt>
              </c:numCache>
            </c:numRef>
          </c:cat>
          <c:val>
            <c:numRef>
              <c:f>Graphs!$I$22:$I$37</c:f>
              <c:numCache>
                <c:formatCode>_(* #,##0_);_(* \(#,##0\);_(* "-"??_);_(@_)</c:formatCode>
                <c:ptCount val="16"/>
                <c:pt idx="0">
                  <c:v>41354.41468926028</c:v>
                </c:pt>
                <c:pt idx="1">
                  <c:v>37697.332611034966</c:v>
                </c:pt>
                <c:pt idx="2">
                  <c:v>45095.400115639066</c:v>
                </c:pt>
                <c:pt idx="3">
                  <c:v>43791.841944944812</c:v>
                </c:pt>
                <c:pt idx="4">
                  <c:v>49629.765996748094</c:v>
                </c:pt>
                <c:pt idx="5">
                  <c:v>47750.993152383475</c:v>
                </c:pt>
                <c:pt idx="6">
                  <c:v>56789.96332028621</c:v>
                </c:pt>
                <c:pt idx="7">
                  <c:v>50229.792312110134</c:v>
                </c:pt>
                <c:pt idx="8">
                  <c:v>56139.666264788808</c:v>
                </c:pt>
                <c:pt idx="9">
                  <c:v>53311.195248513352</c:v>
                </c:pt>
                <c:pt idx="10">
                  <c:v>31600.962289285711</c:v>
                </c:pt>
                <c:pt idx="11">
                  <c:v>35020.607326133337</c:v>
                </c:pt>
                <c:pt idx="12">
                  <c:v>39074.290012800004</c:v>
                </c:pt>
                <c:pt idx="13">
                  <c:v>26397.539586719999</c:v>
                </c:pt>
                <c:pt idx="14">
                  <c:v>664.67916230399999</c:v>
                </c:pt>
                <c:pt idx="15">
                  <c:v>13503.301358975999</c:v>
                </c:pt>
              </c:numCache>
            </c:numRef>
          </c:val>
          <c:smooth val="0"/>
          <c:extLst>
            <c:ext xmlns:c16="http://schemas.microsoft.com/office/drawing/2014/chart" uri="{C3380CC4-5D6E-409C-BE32-E72D297353CC}">
              <c16:uniqueId val="{00000001-9D84-4E15-BD30-1AB36DCF203F}"/>
            </c:ext>
          </c:extLst>
        </c:ser>
        <c:ser>
          <c:idx val="2"/>
          <c:order val="2"/>
          <c:tx>
            <c:strRef>
              <c:f>Graphs!$J$21</c:f>
              <c:strCache>
                <c:ptCount val="1"/>
                <c:pt idx="0">
                  <c:v>Fleet</c:v>
                </c:pt>
              </c:strCache>
            </c:strRef>
          </c:tx>
          <c:spPr>
            <a:ln w="28575" cap="rnd">
              <a:solidFill>
                <a:schemeClr val="accent1">
                  <a:lumMod val="50000"/>
                </a:schemeClr>
              </a:solidFill>
              <a:round/>
            </a:ln>
            <a:effectLst/>
          </c:spPr>
          <c:marker>
            <c:symbol val="none"/>
          </c:marker>
          <c:cat>
            <c:numRef>
              <c:f>Graphs!$A$22:$A$37</c:f>
              <c:numCache>
                <c:formatCode>General</c:formatCode>
                <c:ptCount val="16"/>
                <c:pt idx="0">
                  <c:v>2007</c:v>
                </c:pt>
                <c:pt idx="1">
                  <c:v>2008</c:v>
                </c:pt>
                <c:pt idx="2">
                  <c:v>2009</c:v>
                </c:pt>
                <c:pt idx="3">
                  <c:v>2010</c:v>
                </c:pt>
                <c:pt idx="4">
                  <c:v>2011</c:v>
                </c:pt>
                <c:pt idx="5">
                  <c:v>2012</c:v>
                </c:pt>
                <c:pt idx="6">
                  <c:v>2013</c:v>
                </c:pt>
                <c:pt idx="7">
                  <c:v>2014</c:v>
                </c:pt>
                <c:pt idx="8">
                  <c:v>2015</c:v>
                </c:pt>
                <c:pt idx="9">
                  <c:v>2016</c:v>
                </c:pt>
                <c:pt idx="10">
                  <c:v>2017</c:v>
                </c:pt>
                <c:pt idx="11">
                  <c:v>2018</c:v>
                </c:pt>
                <c:pt idx="12">
                  <c:v>2019</c:v>
                </c:pt>
                <c:pt idx="13">
                  <c:v>2020</c:v>
                </c:pt>
                <c:pt idx="14">
                  <c:v>2021</c:v>
                </c:pt>
                <c:pt idx="15">
                  <c:v>2022</c:v>
                </c:pt>
              </c:numCache>
            </c:numRef>
          </c:cat>
          <c:val>
            <c:numRef>
              <c:f>Graphs!$J$22:$J$37</c:f>
              <c:numCache>
                <c:formatCode>_(* #,##0_);_(* \(#,##0\);_(* "-"??_);_(@_)</c:formatCode>
                <c:ptCount val="16"/>
                <c:pt idx="0">
                  <c:v>3329.4616210459944</c:v>
                </c:pt>
                <c:pt idx="1">
                  <c:v>3379.6393645534345</c:v>
                </c:pt>
                <c:pt idx="2">
                  <c:v>3457.178517312127</c:v>
                </c:pt>
                <c:pt idx="3">
                  <c:v>3300.7588762013702</c:v>
                </c:pt>
                <c:pt idx="4">
                  <c:v>3259.1422707621632</c:v>
                </c:pt>
                <c:pt idx="5">
                  <c:v>2868.911608759814</c:v>
                </c:pt>
                <c:pt idx="6">
                  <c:v>3002.8022110851534</c:v>
                </c:pt>
                <c:pt idx="7">
                  <c:v>3002.2542547392131</c:v>
                </c:pt>
                <c:pt idx="8">
                  <c:v>3059.2927051192123</c:v>
                </c:pt>
                <c:pt idx="9">
                  <c:v>3345.4835638001132</c:v>
                </c:pt>
                <c:pt idx="10">
                  <c:v>3395.9037918938825</c:v>
                </c:pt>
                <c:pt idx="11">
                  <c:v>3823.1956535979998</c:v>
                </c:pt>
                <c:pt idx="12">
                  <c:v>3853.072472560938</c:v>
                </c:pt>
                <c:pt idx="13">
                  <c:v>3238.2208973985821</c:v>
                </c:pt>
                <c:pt idx="14">
                  <c:v>2908.9787999999999</c:v>
                </c:pt>
                <c:pt idx="15">
                  <c:v>3049.9938000000002</c:v>
                </c:pt>
              </c:numCache>
            </c:numRef>
          </c:val>
          <c:smooth val="0"/>
          <c:extLst>
            <c:ext xmlns:c16="http://schemas.microsoft.com/office/drawing/2014/chart" uri="{C3380CC4-5D6E-409C-BE32-E72D297353CC}">
              <c16:uniqueId val="{00000002-9D84-4E15-BD30-1AB36DCF203F}"/>
            </c:ext>
          </c:extLst>
        </c:ser>
        <c:dLbls>
          <c:showLegendKey val="0"/>
          <c:showVal val="0"/>
          <c:showCatName val="0"/>
          <c:showSerName val="0"/>
          <c:showPercent val="0"/>
          <c:showBubbleSize val="0"/>
        </c:dLbls>
        <c:smooth val="0"/>
        <c:axId val="578654800"/>
        <c:axId val="578652832"/>
      </c:lineChart>
      <c:catAx>
        <c:axId val="5786548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78652832"/>
        <c:crosses val="autoZero"/>
        <c:auto val="1"/>
        <c:lblAlgn val="ctr"/>
        <c:lblOffset val="100"/>
        <c:noMultiLvlLbl val="0"/>
      </c:catAx>
      <c:valAx>
        <c:axId val="5786528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US" sz="1400"/>
                  <a:t>Emissions (MTCO2e)</a:t>
                </a: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7865480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4941735684746252"/>
          <c:y val="0.14548540451121544"/>
          <c:w val="0.74800952393896658"/>
          <c:h val="0.7522989522742477"/>
        </c:manualLayout>
      </c:layout>
      <c:pieChart>
        <c:varyColors val="1"/>
        <c:ser>
          <c:idx val="0"/>
          <c:order val="0"/>
          <c:tx>
            <c:strRef>
              <c:f>Graphs!$A$78</c:f>
              <c:strCache>
                <c:ptCount val="1"/>
                <c:pt idx="0">
                  <c:v>2022</c:v>
                </c:pt>
              </c:strCache>
            </c:strRef>
          </c:tx>
          <c:dPt>
            <c:idx val="0"/>
            <c:bubble3D val="0"/>
            <c:spPr>
              <a:solidFill>
                <a:schemeClr val="accent2"/>
              </a:solidFill>
              <a:ln w="19050">
                <a:solidFill>
                  <a:schemeClr val="lt1"/>
                </a:solidFill>
              </a:ln>
              <a:effectLst/>
            </c:spPr>
            <c:extLst>
              <c:ext xmlns:c16="http://schemas.microsoft.com/office/drawing/2014/chart" uri="{C3380CC4-5D6E-409C-BE32-E72D297353CC}">
                <c16:uniqueId val="{00000007-2E32-4ACF-BDEB-5E3585D34B32}"/>
              </c:ext>
            </c:extLst>
          </c:dPt>
          <c:dPt>
            <c:idx val="1"/>
            <c:bubble3D val="0"/>
            <c:spPr>
              <a:solidFill>
                <a:schemeClr val="accent4"/>
              </a:solidFill>
              <a:ln w="19050">
                <a:solidFill>
                  <a:schemeClr val="lt1"/>
                </a:solidFill>
              </a:ln>
              <a:effectLst/>
            </c:spPr>
            <c:extLst>
              <c:ext xmlns:c16="http://schemas.microsoft.com/office/drawing/2014/chart" uri="{C3380CC4-5D6E-409C-BE32-E72D297353CC}">
                <c16:uniqueId val="{00000010-2E32-4ACF-BDEB-5E3585D34B32}"/>
              </c:ext>
            </c:extLst>
          </c:dPt>
          <c:dPt>
            <c:idx val="2"/>
            <c:bubble3D val="0"/>
            <c:spPr>
              <a:solidFill>
                <a:schemeClr val="tx1">
                  <a:lumMod val="50000"/>
                  <a:lumOff val="50000"/>
                </a:schemeClr>
              </a:solidFill>
              <a:ln w="19050">
                <a:solidFill>
                  <a:schemeClr val="lt1"/>
                </a:solidFill>
              </a:ln>
              <a:effectLst/>
            </c:spPr>
            <c:extLst>
              <c:ext xmlns:c16="http://schemas.microsoft.com/office/drawing/2014/chart" uri="{C3380CC4-5D6E-409C-BE32-E72D297353CC}">
                <c16:uniqueId val="{00000005-D175-40CF-9E45-C5423236E06E}"/>
              </c:ext>
            </c:extLst>
          </c:dPt>
          <c:dLbls>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extLst>
          </c:dLbls>
          <c:cat>
            <c:strRef>
              <c:f>Graphs!$B$62:$D$62</c:f>
              <c:strCache>
                <c:ptCount val="3"/>
                <c:pt idx="0">
                  <c:v>Steam Plant Fuel</c:v>
                </c:pt>
                <c:pt idx="1">
                  <c:v>Electricity</c:v>
                </c:pt>
                <c:pt idx="2">
                  <c:v>Fugitive Emissions</c:v>
                </c:pt>
              </c:strCache>
            </c:strRef>
          </c:cat>
          <c:val>
            <c:numRef>
              <c:f>Graphs!$B$78:$D$78</c:f>
              <c:numCache>
                <c:formatCode>0%</c:formatCode>
                <c:ptCount val="3"/>
                <c:pt idx="0">
                  <c:v>0.41268368047353404</c:v>
                </c:pt>
                <c:pt idx="1">
                  <c:v>0.5340251623118677</c:v>
                </c:pt>
                <c:pt idx="2">
                  <c:v>5.3291157214598241E-2</c:v>
                </c:pt>
              </c:numCache>
            </c:numRef>
          </c:val>
          <c:extLst>
            <c:ext xmlns:c16="http://schemas.microsoft.com/office/drawing/2014/chart" uri="{C3380CC4-5D6E-409C-BE32-E72D297353CC}">
              <c16:uniqueId val="{00000004-2E32-4ACF-BDEB-5E3585D34B32}"/>
            </c:ext>
          </c:extLst>
        </c:ser>
        <c:dLbls>
          <c:showLegendKey val="0"/>
          <c:showVal val="0"/>
          <c:showCatName val="1"/>
          <c:showSerName val="0"/>
          <c:showPercent val="1"/>
          <c:showBubbleSize val="0"/>
          <c:showLeaderLines val="0"/>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manualLayout>
          <c:layoutTarget val="inner"/>
          <c:xMode val="edge"/>
          <c:yMode val="edge"/>
          <c:x val="0.17907058590628139"/>
          <c:y val="0.16787101163546872"/>
          <c:w val="0.62172273008329193"/>
          <c:h val="0.70422637966091806"/>
        </c:manualLayout>
      </c:layout>
      <c:pieChart>
        <c:varyColors val="1"/>
        <c:ser>
          <c:idx val="0"/>
          <c:order val="0"/>
          <c:tx>
            <c:strRef>
              <c:f>Graphs!$A$99</c:f>
              <c:strCache>
                <c:ptCount val="1"/>
                <c:pt idx="0">
                  <c:v>2022</c:v>
                </c:pt>
              </c:strCache>
            </c:strRef>
          </c:tx>
          <c:dPt>
            <c:idx val="0"/>
            <c:bubble3D val="0"/>
            <c:spPr>
              <a:solidFill>
                <a:schemeClr val="accent1">
                  <a:shade val="65000"/>
                </a:schemeClr>
              </a:solidFill>
              <a:ln w="19050">
                <a:solidFill>
                  <a:schemeClr val="lt1"/>
                </a:solidFill>
              </a:ln>
              <a:effectLst/>
            </c:spPr>
            <c:extLst>
              <c:ext xmlns:c16="http://schemas.microsoft.com/office/drawing/2014/chart" uri="{C3380CC4-5D6E-409C-BE32-E72D297353CC}">
                <c16:uniqueId val="{00000008-409C-4E61-BD62-D8A87D72F6A6}"/>
              </c:ext>
            </c:extLst>
          </c:dPt>
          <c:dPt>
            <c:idx val="1"/>
            <c:bubble3D val="0"/>
            <c:spPr>
              <a:solidFill>
                <a:schemeClr val="accent1"/>
              </a:solidFill>
              <a:ln w="19050">
                <a:solidFill>
                  <a:schemeClr val="lt1"/>
                </a:solidFill>
              </a:ln>
              <a:effectLst/>
            </c:spPr>
            <c:extLst>
              <c:ext xmlns:c16="http://schemas.microsoft.com/office/drawing/2014/chart" uri="{C3380CC4-5D6E-409C-BE32-E72D297353CC}">
                <c16:uniqueId val="{00000011-409C-4E61-BD62-D8A87D72F6A6}"/>
              </c:ext>
            </c:extLst>
          </c:dPt>
          <c:dPt>
            <c:idx val="2"/>
            <c:bubble3D val="0"/>
            <c:spPr>
              <a:solidFill>
                <a:schemeClr val="accent1">
                  <a:tint val="65000"/>
                </a:schemeClr>
              </a:solidFill>
              <a:ln w="19050">
                <a:solidFill>
                  <a:schemeClr val="lt1"/>
                </a:solidFill>
              </a:ln>
              <a:effectLst/>
            </c:spPr>
            <c:extLst>
              <c:ext xmlns:c16="http://schemas.microsoft.com/office/drawing/2014/chart" uri="{C3380CC4-5D6E-409C-BE32-E72D297353CC}">
                <c16:uniqueId val="{00000018-409C-4E61-BD62-D8A87D72F6A6}"/>
              </c:ext>
            </c:extLst>
          </c:dPt>
          <c:dLbls>
            <c:dLbl>
              <c:idx val="0"/>
              <c:layout>
                <c:manualLayout>
                  <c:x val="-0.23139725122283022"/>
                  <c:y val="3.1869963941709531E-2"/>
                </c:manualLayout>
              </c:layout>
              <c:showLegendKey val="0"/>
              <c:showVal val="0"/>
              <c:showCatName val="1"/>
              <c:showSerName val="0"/>
              <c:showPercent val="1"/>
              <c:showBubbleSize val="0"/>
              <c:extLst>
                <c:ext xmlns:c15="http://schemas.microsoft.com/office/drawing/2012/chart" uri="{CE6537A1-D6FC-4f65-9D91-7224C49458BB}">
                  <c15:layout>
                    <c:manualLayout>
                      <c:w val="0.24628774097567596"/>
                      <c:h val="0.17694192217381272"/>
                    </c:manualLayout>
                  </c15:layout>
                </c:ext>
                <c:ext xmlns:c16="http://schemas.microsoft.com/office/drawing/2014/chart" uri="{C3380CC4-5D6E-409C-BE32-E72D297353CC}">
                  <c16:uniqueId val="{00000008-409C-4E61-BD62-D8A87D72F6A6}"/>
                </c:ext>
              </c:extLst>
            </c:dLbl>
            <c:dLbl>
              <c:idx val="1"/>
              <c:layout>
                <c:manualLayout>
                  <c:x val="0.22588402024705959"/>
                  <c:y val="-2.9866851256158638E-3"/>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1-409C-4E61-BD62-D8A87D72F6A6}"/>
                </c:ext>
              </c:extLst>
            </c:dLbl>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extLst>
          </c:dLbls>
          <c:cat>
            <c:strRef>
              <c:f>Graphs!$B$83:$D$83</c:f>
              <c:strCache>
                <c:ptCount val="3"/>
                <c:pt idx="0">
                  <c:v>Commuting</c:v>
                </c:pt>
                <c:pt idx="1">
                  <c:v>Air Travel</c:v>
                </c:pt>
                <c:pt idx="2">
                  <c:v>Fleet</c:v>
                </c:pt>
              </c:strCache>
            </c:strRef>
          </c:cat>
          <c:val>
            <c:numRef>
              <c:f>Graphs!$B$99:$D$99</c:f>
              <c:numCache>
                <c:formatCode>0%</c:formatCode>
                <c:ptCount val="3"/>
                <c:pt idx="0">
                  <c:v>0.48296741541053856</c:v>
                </c:pt>
                <c:pt idx="1">
                  <c:v>0.42176779517738255</c:v>
                </c:pt>
                <c:pt idx="2">
                  <c:v>9.5264789412078846E-2</c:v>
                </c:pt>
              </c:numCache>
            </c:numRef>
          </c:val>
          <c:extLst>
            <c:ext xmlns:c16="http://schemas.microsoft.com/office/drawing/2014/chart" uri="{C3380CC4-5D6E-409C-BE32-E72D297353CC}">
              <c16:uniqueId val="{00000000-409C-4E61-BD62-D8A87D72F6A6}"/>
            </c:ext>
          </c:extLst>
        </c:ser>
        <c:dLbls>
          <c:showLegendKey val="0"/>
          <c:showVal val="0"/>
          <c:showCatName val="1"/>
          <c:showSerName val="0"/>
          <c:showPercent val="1"/>
          <c:showBubbleSize val="0"/>
          <c:showLeaderLines val="0"/>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Duke University's Historical</a:t>
            </a:r>
            <a:r>
              <a:rPr lang="en-US" baseline="0"/>
              <a:t> Energy Emissions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stacked"/>
        <c:varyColors val="0"/>
        <c:ser>
          <c:idx val="1"/>
          <c:order val="0"/>
          <c:tx>
            <c:strRef>
              <c:f>Graphs!$E$21</c:f>
              <c:strCache>
                <c:ptCount val="1"/>
                <c:pt idx="0">
                  <c:v>Electricity</c:v>
                </c:pt>
              </c:strCache>
            </c:strRef>
          </c:tx>
          <c:spPr>
            <a:solidFill>
              <a:schemeClr val="accent4"/>
            </a:solidFill>
            <a:ln>
              <a:noFill/>
            </a:ln>
            <a:effectLst/>
          </c:spPr>
          <c:cat>
            <c:numRef>
              <c:f>Graphs!$A$22:$A$37</c:f>
              <c:numCache>
                <c:formatCode>General</c:formatCode>
                <c:ptCount val="16"/>
                <c:pt idx="0">
                  <c:v>2007</c:v>
                </c:pt>
                <c:pt idx="1">
                  <c:v>2008</c:v>
                </c:pt>
                <c:pt idx="2">
                  <c:v>2009</c:v>
                </c:pt>
                <c:pt idx="3">
                  <c:v>2010</c:v>
                </c:pt>
                <c:pt idx="4">
                  <c:v>2011</c:v>
                </c:pt>
                <c:pt idx="5">
                  <c:v>2012</c:v>
                </c:pt>
                <c:pt idx="6">
                  <c:v>2013</c:v>
                </c:pt>
                <c:pt idx="7">
                  <c:v>2014</c:v>
                </c:pt>
                <c:pt idx="8">
                  <c:v>2015</c:v>
                </c:pt>
                <c:pt idx="9">
                  <c:v>2016</c:v>
                </c:pt>
                <c:pt idx="10">
                  <c:v>2017</c:v>
                </c:pt>
                <c:pt idx="11">
                  <c:v>2018</c:v>
                </c:pt>
                <c:pt idx="12">
                  <c:v>2019</c:v>
                </c:pt>
                <c:pt idx="13">
                  <c:v>2020</c:v>
                </c:pt>
                <c:pt idx="14">
                  <c:v>2021</c:v>
                </c:pt>
                <c:pt idx="15">
                  <c:v>2022</c:v>
                </c:pt>
              </c:numCache>
            </c:numRef>
          </c:cat>
          <c:val>
            <c:numRef>
              <c:f>Graphs!$E$22:$E$37</c:f>
              <c:numCache>
                <c:formatCode>_(* #,##0_);_(* \(#,##0\);_(* "-"??_);_(@_)</c:formatCode>
                <c:ptCount val="16"/>
                <c:pt idx="0">
                  <c:v>166134.81714748713</c:v>
                </c:pt>
                <c:pt idx="1">
                  <c:v>167368.11878254503</c:v>
                </c:pt>
                <c:pt idx="2">
                  <c:v>137793.53212258534</c:v>
                </c:pt>
                <c:pt idx="3">
                  <c:v>139724.34272858402</c:v>
                </c:pt>
                <c:pt idx="4">
                  <c:v>144650.49191579406</c:v>
                </c:pt>
                <c:pt idx="5">
                  <c:v>141369.04834443628</c:v>
                </c:pt>
                <c:pt idx="6">
                  <c:v>121651.11321065181</c:v>
                </c:pt>
                <c:pt idx="7">
                  <c:v>116450.94728992743</c:v>
                </c:pt>
                <c:pt idx="8">
                  <c:v>116483.01461209999</c:v>
                </c:pt>
                <c:pt idx="9">
                  <c:v>110136.11404396225</c:v>
                </c:pt>
                <c:pt idx="10">
                  <c:v>110501.73971883558</c:v>
                </c:pt>
                <c:pt idx="11">
                  <c:v>103256.98178</c:v>
                </c:pt>
                <c:pt idx="12">
                  <c:v>103872.60551000001</c:v>
                </c:pt>
                <c:pt idx="13">
                  <c:v>87763.859047186925</c:v>
                </c:pt>
                <c:pt idx="14">
                  <c:v>80589.690067785865</c:v>
                </c:pt>
                <c:pt idx="15">
                  <c:v>85638.740413793101</c:v>
                </c:pt>
              </c:numCache>
            </c:numRef>
          </c:val>
          <c:extLst>
            <c:ext xmlns:c16="http://schemas.microsoft.com/office/drawing/2014/chart" uri="{C3380CC4-5D6E-409C-BE32-E72D297353CC}">
              <c16:uniqueId val="{00000001-EA54-47F0-986F-8B420FDD0879}"/>
            </c:ext>
          </c:extLst>
        </c:ser>
        <c:ser>
          <c:idx val="0"/>
          <c:order val="1"/>
          <c:tx>
            <c:strRef>
              <c:f>Graphs!$D$21</c:f>
              <c:strCache>
                <c:ptCount val="1"/>
                <c:pt idx="0">
                  <c:v>Steam Plant Fuel</c:v>
                </c:pt>
              </c:strCache>
            </c:strRef>
          </c:tx>
          <c:spPr>
            <a:solidFill>
              <a:schemeClr val="accent2"/>
            </a:solidFill>
            <a:ln>
              <a:noFill/>
            </a:ln>
            <a:effectLst/>
          </c:spPr>
          <c:cat>
            <c:numRef>
              <c:f>Graphs!$A$22:$A$37</c:f>
              <c:numCache>
                <c:formatCode>General</c:formatCode>
                <c:ptCount val="16"/>
                <c:pt idx="0">
                  <c:v>2007</c:v>
                </c:pt>
                <c:pt idx="1">
                  <c:v>2008</c:v>
                </c:pt>
                <c:pt idx="2">
                  <c:v>2009</c:v>
                </c:pt>
                <c:pt idx="3">
                  <c:v>2010</c:v>
                </c:pt>
                <c:pt idx="4">
                  <c:v>2011</c:v>
                </c:pt>
                <c:pt idx="5">
                  <c:v>2012</c:v>
                </c:pt>
                <c:pt idx="6">
                  <c:v>2013</c:v>
                </c:pt>
                <c:pt idx="7">
                  <c:v>2014</c:v>
                </c:pt>
                <c:pt idx="8">
                  <c:v>2015</c:v>
                </c:pt>
                <c:pt idx="9">
                  <c:v>2016</c:v>
                </c:pt>
                <c:pt idx="10">
                  <c:v>2017</c:v>
                </c:pt>
                <c:pt idx="11">
                  <c:v>2018</c:v>
                </c:pt>
                <c:pt idx="12">
                  <c:v>2019</c:v>
                </c:pt>
                <c:pt idx="13">
                  <c:v>2020</c:v>
                </c:pt>
                <c:pt idx="14">
                  <c:v>2021</c:v>
                </c:pt>
                <c:pt idx="15">
                  <c:v>2022</c:v>
                </c:pt>
              </c:numCache>
            </c:numRef>
          </c:cat>
          <c:val>
            <c:numRef>
              <c:f>Graphs!$D$22:$D$37</c:f>
              <c:numCache>
                <c:formatCode>_(* #,##0_);_(* \(#,##0\);_(* "-"??_);_(@_)</c:formatCode>
                <c:ptCount val="16"/>
                <c:pt idx="0">
                  <c:v>98059.267511447659</c:v>
                </c:pt>
                <c:pt idx="1">
                  <c:v>100658.45224566417</c:v>
                </c:pt>
                <c:pt idx="2">
                  <c:v>102451.48624534177</c:v>
                </c:pt>
                <c:pt idx="3">
                  <c:v>89234.839133182089</c:v>
                </c:pt>
                <c:pt idx="4">
                  <c:v>72764.344020731834</c:v>
                </c:pt>
                <c:pt idx="5">
                  <c:v>58739.975680157986</c:v>
                </c:pt>
                <c:pt idx="6">
                  <c:v>62901.247171269046</c:v>
                </c:pt>
                <c:pt idx="7">
                  <c:v>62758.848923087055</c:v>
                </c:pt>
                <c:pt idx="8">
                  <c:v>60629.099008024328</c:v>
                </c:pt>
                <c:pt idx="9">
                  <c:v>56820.271932183292</c:v>
                </c:pt>
                <c:pt idx="10">
                  <c:v>57999.457309982085</c:v>
                </c:pt>
                <c:pt idx="11">
                  <c:v>62909.45055510501</c:v>
                </c:pt>
                <c:pt idx="12">
                  <c:v>63989.92738741167</c:v>
                </c:pt>
                <c:pt idx="13">
                  <c:v>66956.106353774885</c:v>
                </c:pt>
                <c:pt idx="14">
                  <c:v>70051.879767742095</c:v>
                </c:pt>
                <c:pt idx="15">
                  <c:v>66179.86020000001</c:v>
                </c:pt>
              </c:numCache>
            </c:numRef>
          </c:val>
          <c:extLst>
            <c:ext xmlns:c16="http://schemas.microsoft.com/office/drawing/2014/chart" uri="{C3380CC4-5D6E-409C-BE32-E72D297353CC}">
              <c16:uniqueId val="{00000000-EA54-47F0-986F-8B420FDD0879}"/>
            </c:ext>
          </c:extLst>
        </c:ser>
        <c:ser>
          <c:idx val="2"/>
          <c:order val="2"/>
          <c:tx>
            <c:strRef>
              <c:f>Graphs!$F$21</c:f>
              <c:strCache>
                <c:ptCount val="1"/>
                <c:pt idx="0">
                  <c:v>Fugitive Emissions</c:v>
                </c:pt>
              </c:strCache>
            </c:strRef>
          </c:tx>
          <c:spPr>
            <a:solidFill>
              <a:schemeClr val="tx1">
                <a:lumMod val="50000"/>
                <a:lumOff val="50000"/>
              </a:schemeClr>
            </a:solidFill>
            <a:ln>
              <a:noFill/>
            </a:ln>
            <a:effectLst/>
          </c:spPr>
          <c:cat>
            <c:numRef>
              <c:f>Graphs!$A$22:$A$37</c:f>
              <c:numCache>
                <c:formatCode>General</c:formatCode>
                <c:ptCount val="16"/>
                <c:pt idx="0">
                  <c:v>2007</c:v>
                </c:pt>
                <c:pt idx="1">
                  <c:v>2008</c:v>
                </c:pt>
                <c:pt idx="2">
                  <c:v>2009</c:v>
                </c:pt>
                <c:pt idx="3">
                  <c:v>2010</c:v>
                </c:pt>
                <c:pt idx="4">
                  <c:v>2011</c:v>
                </c:pt>
                <c:pt idx="5">
                  <c:v>2012</c:v>
                </c:pt>
                <c:pt idx="6">
                  <c:v>2013</c:v>
                </c:pt>
                <c:pt idx="7">
                  <c:v>2014</c:v>
                </c:pt>
                <c:pt idx="8">
                  <c:v>2015</c:v>
                </c:pt>
                <c:pt idx="9">
                  <c:v>2016</c:v>
                </c:pt>
                <c:pt idx="10">
                  <c:v>2017</c:v>
                </c:pt>
                <c:pt idx="11">
                  <c:v>2018</c:v>
                </c:pt>
                <c:pt idx="12">
                  <c:v>2019</c:v>
                </c:pt>
                <c:pt idx="13">
                  <c:v>2020</c:v>
                </c:pt>
                <c:pt idx="14">
                  <c:v>2021</c:v>
                </c:pt>
                <c:pt idx="15">
                  <c:v>2022</c:v>
                </c:pt>
              </c:numCache>
            </c:numRef>
          </c:cat>
          <c:val>
            <c:numRef>
              <c:f>Graphs!$F$22:$F$37</c:f>
              <c:numCache>
                <c:formatCode>_(* #,##0_);_(* \(#,##0\);_(* "-"??_);_(@_)</c:formatCode>
                <c:ptCount val="16"/>
                <c:pt idx="0">
                  <c:v>0</c:v>
                </c:pt>
                <c:pt idx="1">
                  <c:v>0</c:v>
                </c:pt>
                <c:pt idx="2">
                  <c:v>0</c:v>
                </c:pt>
                <c:pt idx="3">
                  <c:v>0</c:v>
                </c:pt>
                <c:pt idx="4">
                  <c:v>0</c:v>
                </c:pt>
                <c:pt idx="5">
                  <c:v>0</c:v>
                </c:pt>
                <c:pt idx="6">
                  <c:v>0</c:v>
                </c:pt>
                <c:pt idx="7">
                  <c:v>0</c:v>
                </c:pt>
                <c:pt idx="8">
                  <c:v>0</c:v>
                </c:pt>
                <c:pt idx="9">
                  <c:v>0</c:v>
                </c:pt>
                <c:pt idx="10">
                  <c:v>10681.749682531974</c:v>
                </c:pt>
                <c:pt idx="11">
                  <c:v>10092.078382249832</c:v>
                </c:pt>
                <c:pt idx="12">
                  <c:v>10161.206573720128</c:v>
                </c:pt>
                <c:pt idx="13">
                  <c:v>8748.4066796927382</c:v>
                </c:pt>
                <c:pt idx="14">
                  <c:v>8142.0425255749751</c:v>
                </c:pt>
                <c:pt idx="15">
                  <c:v>8546.0159953781167</c:v>
                </c:pt>
              </c:numCache>
            </c:numRef>
          </c:val>
          <c:extLst>
            <c:ext xmlns:c16="http://schemas.microsoft.com/office/drawing/2014/chart" uri="{C3380CC4-5D6E-409C-BE32-E72D297353CC}">
              <c16:uniqueId val="{00000002-EA54-47F0-986F-8B420FDD0879}"/>
            </c:ext>
          </c:extLst>
        </c:ser>
        <c:dLbls>
          <c:showLegendKey val="0"/>
          <c:showVal val="0"/>
          <c:showCatName val="0"/>
          <c:showSerName val="0"/>
          <c:showPercent val="0"/>
          <c:showBubbleSize val="0"/>
        </c:dLbls>
        <c:axId val="576382264"/>
        <c:axId val="576390792"/>
      </c:areaChart>
      <c:catAx>
        <c:axId val="5763822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76390792"/>
        <c:crosses val="autoZero"/>
        <c:auto val="1"/>
        <c:lblAlgn val="ctr"/>
        <c:lblOffset val="100"/>
        <c:noMultiLvlLbl val="0"/>
      </c:catAx>
      <c:valAx>
        <c:axId val="5763907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US" sz="1400"/>
                  <a:t>Emissions (mtCO2e)</a:t>
                </a: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76382264"/>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US" sz="1600" b="1">
                <a:solidFill>
                  <a:sysClr val="windowText" lastClr="000000"/>
                </a:solidFill>
              </a:rPr>
              <a:t>Total </a:t>
            </a:r>
            <a:r>
              <a:rPr lang="en-US" sz="1600" b="1" baseline="0">
                <a:solidFill>
                  <a:sysClr val="windowText" lastClr="000000"/>
                </a:solidFill>
              </a:rPr>
              <a:t>Emissions per Person</a:t>
            </a:r>
            <a:endParaRPr lang="en-US" sz="1600" b="1">
              <a:solidFill>
                <a:sysClr val="windowText" lastClr="000000"/>
              </a:solidFill>
            </a:endParaRPr>
          </a:p>
        </c:rich>
      </c:tx>
      <c:overlay val="0"/>
      <c:spPr>
        <a:noFill/>
        <a:ln>
          <a:noFill/>
        </a:ln>
        <a:effectLst/>
      </c:spPr>
    </c:title>
    <c:autoTitleDeleted val="0"/>
    <c:plotArea>
      <c:layout>
        <c:manualLayout>
          <c:layoutTarget val="inner"/>
          <c:xMode val="edge"/>
          <c:yMode val="edge"/>
          <c:x val="0.19588894739021637"/>
          <c:y val="0.1254027507992041"/>
          <c:w val="0.77217295621668625"/>
          <c:h val="0.65204155938426389"/>
        </c:manualLayout>
      </c:layout>
      <c:barChart>
        <c:barDir val="col"/>
        <c:grouping val="clustered"/>
        <c:varyColors val="0"/>
        <c:ser>
          <c:idx val="6"/>
          <c:order val="0"/>
          <c:invertIfNegative val="0"/>
          <c:val>
            <c:numRef>
              <c:f>Graphs!#REF!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Graphs!#REF!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Graphs!#REF!</c15:sqref>
                        </c15:formulaRef>
                      </c:ext>
                    </c:extLst>
                  </c:numRef>
                </c15:cat>
              </c15:filteredCategoryTitle>
            </c:ext>
            <c:ext xmlns:c16="http://schemas.microsoft.com/office/drawing/2014/chart" uri="{C3380CC4-5D6E-409C-BE32-E72D297353CC}">
              <c16:uniqueId val="{00000001-1422-402C-9942-E95B75B11B05}"/>
            </c:ext>
          </c:extLst>
        </c:ser>
        <c:dLbls>
          <c:showLegendKey val="0"/>
          <c:showVal val="0"/>
          <c:showCatName val="0"/>
          <c:showSerName val="0"/>
          <c:showPercent val="0"/>
          <c:showBubbleSize val="0"/>
        </c:dLbls>
        <c:gapWidth val="150"/>
        <c:axId val="509975328"/>
        <c:axId val="509977952"/>
      </c:barChart>
      <c:catAx>
        <c:axId val="50997532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endParaRPr lang="en-US"/>
          </a:p>
        </c:txPr>
        <c:crossAx val="509977952"/>
        <c:crosses val="autoZero"/>
        <c:auto val="1"/>
        <c:lblAlgn val="ctr"/>
        <c:lblOffset val="100"/>
        <c:noMultiLvlLbl val="0"/>
      </c:catAx>
      <c:valAx>
        <c:axId val="509977952"/>
        <c:scaling>
          <c:orientation val="minMax"/>
          <c:max val="12"/>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r>
                  <a:rPr lang="en-US" sz="1200" b="1">
                    <a:solidFill>
                      <a:sysClr val="windowText" lastClr="000000"/>
                    </a:solidFill>
                  </a:rPr>
                  <a:t>Emissions per person</a:t>
                </a:r>
                <a:r>
                  <a:rPr lang="en-US" sz="1200" b="1" baseline="0">
                    <a:solidFill>
                      <a:sysClr val="windowText" lastClr="000000"/>
                    </a:solidFill>
                  </a:rPr>
                  <a:t> </a:t>
                </a:r>
                <a:r>
                  <a:rPr lang="en-US" sz="1200" b="1">
                    <a:solidFill>
                      <a:sysClr val="windowText" lastClr="000000"/>
                    </a:solidFill>
                  </a:rPr>
                  <a:t>(MTCO2e/person)</a:t>
                </a:r>
              </a:p>
            </c:rich>
          </c:tx>
          <c:layout>
            <c:manualLayout>
              <c:xMode val="edge"/>
              <c:yMode val="edge"/>
              <c:x val="2.2756236325710628E-2"/>
              <c:y val="0.12540275079920407"/>
            </c:manualLayout>
          </c:layout>
          <c:overlay val="0"/>
          <c:spPr>
            <a:noFill/>
            <a:ln>
              <a:noFill/>
            </a:ln>
            <a:effectLst/>
          </c:sp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endParaRPr lang="en-US"/>
          </a:p>
        </c:txPr>
        <c:crossAx val="509975328"/>
        <c:crosses val="autoZero"/>
        <c:crossBetween val="between"/>
        <c:majorUnit val="2"/>
        <c:minorUnit val="1"/>
      </c:valAx>
    </c:plotArea>
    <c:legend>
      <c:legendPos val="b"/>
      <c:layout>
        <c:manualLayout>
          <c:xMode val="edge"/>
          <c:yMode val="edge"/>
          <c:x val="0.351705623505638"/>
          <c:y val="0.91468222585871617"/>
          <c:w val="0.45270924850817928"/>
          <c:h val="6.6003124816232009E-2"/>
        </c:manualLayout>
      </c:layout>
      <c:overlay val="0"/>
      <c:spPr>
        <a:noFill/>
        <a:ln>
          <a:noFill/>
        </a:ln>
        <a:effectLst/>
      </c:spPr>
      <c:txPr>
        <a:bodyPr rot="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endParaRPr lang="en-US"/>
        </a:p>
      </c:txPr>
    </c:legend>
    <c:plotVisOnly val="1"/>
    <c:dispBlanksAs val="zero"/>
    <c:showDLblsOverMax val="0"/>
  </c:chart>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US" sz="1600" b="1">
                <a:solidFill>
                  <a:sysClr val="windowText" lastClr="000000"/>
                </a:solidFill>
              </a:rPr>
              <a:t>Energy </a:t>
            </a:r>
            <a:r>
              <a:rPr lang="en-US" sz="1600" b="1" baseline="0">
                <a:solidFill>
                  <a:sysClr val="windowText" lastClr="000000"/>
                </a:solidFill>
              </a:rPr>
              <a:t>Emissions per Square Foot</a:t>
            </a:r>
            <a:endParaRPr lang="en-US" sz="1600" b="1">
              <a:solidFill>
                <a:sysClr val="windowText" lastClr="000000"/>
              </a:solidFill>
            </a:endParaRPr>
          </a:p>
        </c:rich>
      </c:tx>
      <c:overlay val="0"/>
      <c:spPr>
        <a:noFill/>
        <a:ln>
          <a:noFill/>
        </a:ln>
        <a:effectLst/>
      </c:spPr>
    </c:title>
    <c:autoTitleDeleted val="0"/>
    <c:plotArea>
      <c:layout>
        <c:manualLayout>
          <c:layoutTarget val="inner"/>
          <c:xMode val="edge"/>
          <c:yMode val="edge"/>
          <c:x val="0.19588894739021637"/>
          <c:y val="0.1254027507992041"/>
          <c:w val="0.77217295621668625"/>
          <c:h val="0.65204155938426389"/>
        </c:manualLayout>
      </c:layout>
      <c:barChart>
        <c:barDir val="col"/>
        <c:grouping val="clustered"/>
        <c:varyColors val="0"/>
        <c:ser>
          <c:idx val="6"/>
          <c:order val="0"/>
          <c:invertIfNegative val="0"/>
          <c:val>
            <c:numRef>
              <c:f>Graphs!#REF!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Graphs!#REF!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Graphs!#REF!</c15:sqref>
                        </c15:formulaRef>
                      </c:ext>
                    </c:extLst>
                  </c:numRef>
                </c15:cat>
              </c15:filteredCategoryTitle>
            </c:ext>
            <c:ext xmlns:c16="http://schemas.microsoft.com/office/drawing/2014/chart" uri="{C3380CC4-5D6E-409C-BE32-E72D297353CC}">
              <c16:uniqueId val="{00000000-0FC6-4D1F-9BC2-BC8DE2A3EC04}"/>
            </c:ext>
          </c:extLst>
        </c:ser>
        <c:dLbls>
          <c:showLegendKey val="0"/>
          <c:showVal val="0"/>
          <c:showCatName val="0"/>
          <c:showSerName val="0"/>
          <c:showPercent val="0"/>
          <c:showBubbleSize val="0"/>
        </c:dLbls>
        <c:gapWidth val="150"/>
        <c:axId val="509975328"/>
        <c:axId val="509977952"/>
      </c:barChart>
      <c:catAx>
        <c:axId val="50997532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endParaRPr lang="en-US"/>
          </a:p>
        </c:txPr>
        <c:crossAx val="509977952"/>
        <c:crosses val="autoZero"/>
        <c:auto val="1"/>
        <c:lblAlgn val="ctr"/>
        <c:lblOffset val="100"/>
        <c:noMultiLvlLbl val="0"/>
      </c:catAx>
      <c:valAx>
        <c:axId val="509977952"/>
        <c:scaling>
          <c:orientation val="minMax"/>
          <c:max val="0.18000000000000002"/>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r>
                  <a:rPr lang="en-US" sz="1200" b="1">
                    <a:solidFill>
                      <a:sysClr val="windowText" lastClr="000000"/>
                    </a:solidFill>
                  </a:rPr>
                  <a:t>Energy Use per</a:t>
                </a:r>
                <a:r>
                  <a:rPr lang="en-US" sz="1200" b="1" baseline="0">
                    <a:solidFill>
                      <a:sysClr val="windowText" lastClr="000000"/>
                    </a:solidFill>
                  </a:rPr>
                  <a:t> Square Foot </a:t>
                </a:r>
                <a:r>
                  <a:rPr lang="en-US" sz="1200" b="1">
                    <a:solidFill>
                      <a:sysClr val="windowText" lastClr="000000"/>
                    </a:solidFill>
                  </a:rPr>
                  <a:t>(MMBtu/GSF)</a:t>
                </a:r>
              </a:p>
            </c:rich>
          </c:tx>
          <c:layout>
            <c:manualLayout>
              <c:xMode val="edge"/>
              <c:yMode val="edge"/>
              <c:x val="2.2756236325710628E-2"/>
              <c:y val="0.12540275079920407"/>
            </c:manualLayout>
          </c:layout>
          <c:overlay val="0"/>
          <c:spPr>
            <a:noFill/>
            <a:ln>
              <a:noFill/>
            </a:ln>
            <a:effectLst/>
          </c:sp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endParaRPr lang="en-US"/>
          </a:p>
        </c:txPr>
        <c:crossAx val="509975328"/>
        <c:crosses val="autoZero"/>
        <c:crossBetween val="between"/>
        <c:majorUnit val="3.0000000000000006E-2"/>
      </c:valAx>
    </c:plotArea>
    <c:plotVisOnly val="1"/>
    <c:dispBlanksAs val="zero"/>
    <c:showDLblsOverMax val="0"/>
  </c:chart>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 id="14">
  <a:schemeClr val="accent1"/>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xdr:from>
      <xdr:col>11</xdr:col>
      <xdr:colOff>457880</xdr:colOff>
      <xdr:row>25</xdr:row>
      <xdr:rowOff>52387</xdr:rowOff>
    </xdr:from>
    <xdr:to>
      <xdr:col>24</xdr:col>
      <xdr:colOff>71437</xdr:colOff>
      <xdr:row>53</xdr:row>
      <xdr:rowOff>47624</xdr:rowOff>
    </xdr:to>
    <xdr:graphicFrame macro="">
      <xdr:nvGraphicFramePr>
        <xdr:cNvPr id="2" name="Chart 1">
          <a:extLst>
            <a:ext uri="{FF2B5EF4-FFF2-40B4-BE49-F238E27FC236}">
              <a16:creationId xmlns:a16="http://schemas.microsoft.com/office/drawing/2014/main" id="{00000000-0008-0000-05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481993</xdr:colOff>
      <xdr:row>0</xdr:row>
      <xdr:rowOff>64104</xdr:rowOff>
    </xdr:from>
    <xdr:to>
      <xdr:col>23</xdr:col>
      <xdr:colOff>547686</xdr:colOff>
      <xdr:row>23</xdr:row>
      <xdr:rowOff>47625</xdr:rowOff>
    </xdr:to>
    <xdr:graphicFrame macro="">
      <xdr:nvGraphicFramePr>
        <xdr:cNvPr id="3" name="Chart 2">
          <a:extLst>
            <a:ext uri="{FF2B5EF4-FFF2-40B4-BE49-F238E27FC236}">
              <a16:creationId xmlns:a16="http://schemas.microsoft.com/office/drawing/2014/main" id="{00000000-0008-0000-05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24</xdr:col>
      <xdr:colOff>220946</xdr:colOff>
      <xdr:row>25</xdr:row>
      <xdr:rowOff>38779</xdr:rowOff>
    </xdr:from>
    <xdr:to>
      <xdr:col>33</xdr:col>
      <xdr:colOff>284898</xdr:colOff>
      <xdr:row>53</xdr:row>
      <xdr:rowOff>91848</xdr:rowOff>
    </xdr:to>
    <xdr:graphicFrame macro="">
      <xdr:nvGraphicFramePr>
        <xdr:cNvPr id="4" name="Chart 3">
          <a:extLst>
            <a:ext uri="{FF2B5EF4-FFF2-40B4-BE49-F238E27FC236}">
              <a16:creationId xmlns:a16="http://schemas.microsoft.com/office/drawing/2014/main" id="{00000000-0008-0000-05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1900918</xdr:colOff>
      <xdr:row>81</xdr:row>
      <xdr:rowOff>226559</xdr:rowOff>
    </xdr:from>
    <xdr:to>
      <xdr:col>11</xdr:col>
      <xdr:colOff>1250156</xdr:colOff>
      <xdr:row>103</xdr:row>
      <xdr:rowOff>107156</xdr:rowOff>
    </xdr:to>
    <xdr:graphicFrame macro="">
      <xdr:nvGraphicFramePr>
        <xdr:cNvPr id="8" name="Chart 7">
          <a:extLst>
            <a:ext uri="{FF2B5EF4-FFF2-40B4-BE49-F238E27FC236}">
              <a16:creationId xmlns:a16="http://schemas.microsoft.com/office/drawing/2014/main" id="{00000000-0008-0000-05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476250</xdr:colOff>
      <xdr:row>60</xdr:row>
      <xdr:rowOff>32540</xdr:rowOff>
    </xdr:from>
    <xdr:to>
      <xdr:col>6</xdr:col>
      <xdr:colOff>1864179</xdr:colOff>
      <xdr:row>80</xdr:row>
      <xdr:rowOff>163288</xdr:rowOff>
    </xdr:to>
    <xdr:graphicFrame macro="">
      <xdr:nvGraphicFramePr>
        <xdr:cNvPr id="9" name="Chart 8">
          <a:extLst>
            <a:ext uri="{FF2B5EF4-FFF2-40B4-BE49-F238E27FC236}">
              <a16:creationId xmlns:a16="http://schemas.microsoft.com/office/drawing/2014/main" id="{00000000-0008-0000-05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312965</xdr:colOff>
      <xdr:row>81</xdr:row>
      <xdr:rowOff>149679</xdr:rowOff>
    </xdr:from>
    <xdr:to>
      <xdr:col>6</xdr:col>
      <xdr:colOff>1850572</xdr:colOff>
      <xdr:row>104</xdr:row>
      <xdr:rowOff>0</xdr:rowOff>
    </xdr:to>
    <xdr:graphicFrame macro="">
      <xdr:nvGraphicFramePr>
        <xdr:cNvPr id="10" name="Chart 9">
          <a:extLst>
            <a:ext uri="{FF2B5EF4-FFF2-40B4-BE49-F238E27FC236}">
              <a16:creationId xmlns:a16="http://schemas.microsoft.com/office/drawing/2014/main" id="{00000000-0008-0000-05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1914524</xdr:colOff>
      <xdr:row>60</xdr:row>
      <xdr:rowOff>80963</xdr:rowOff>
    </xdr:from>
    <xdr:to>
      <xdr:col>11</xdr:col>
      <xdr:colOff>571500</xdr:colOff>
      <xdr:row>80</xdr:row>
      <xdr:rowOff>0</xdr:rowOff>
    </xdr:to>
    <xdr:graphicFrame macro="">
      <xdr:nvGraphicFramePr>
        <xdr:cNvPr id="11" name="Chart 10">
          <a:extLst>
            <a:ext uri="{FF2B5EF4-FFF2-40B4-BE49-F238E27FC236}">
              <a16:creationId xmlns:a16="http://schemas.microsoft.com/office/drawing/2014/main" id="{00000000-0008-0000-0500-00000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21</xdr:col>
      <xdr:colOff>279967</xdr:colOff>
      <xdr:row>104</xdr:row>
      <xdr:rowOff>185397</xdr:rowOff>
    </xdr:from>
    <xdr:to>
      <xdr:col>28</xdr:col>
      <xdr:colOff>229166</xdr:colOff>
      <xdr:row>105</xdr:row>
      <xdr:rowOff>0</xdr:rowOff>
    </xdr:to>
    <xdr:graphicFrame macro="">
      <xdr:nvGraphicFramePr>
        <xdr:cNvPr id="16" name="Chart 15">
          <a:extLst>
            <a:ext uri="{FF2B5EF4-FFF2-40B4-BE49-F238E27FC236}">
              <a16:creationId xmlns:a16="http://schemas.microsoft.com/office/drawing/2014/main" id="{00000000-0008-0000-0500-00001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29</xdr:col>
      <xdr:colOff>40820</xdr:colOff>
      <xdr:row>104</xdr:row>
      <xdr:rowOff>163286</xdr:rowOff>
    </xdr:from>
    <xdr:to>
      <xdr:col>35</xdr:col>
      <xdr:colOff>602341</xdr:colOff>
      <xdr:row>105</xdr:row>
      <xdr:rowOff>0</xdr:rowOff>
    </xdr:to>
    <xdr:graphicFrame macro="">
      <xdr:nvGraphicFramePr>
        <xdr:cNvPr id="21" name="Chart 20">
          <a:extLst>
            <a:ext uri="{FF2B5EF4-FFF2-40B4-BE49-F238E27FC236}">
              <a16:creationId xmlns:a16="http://schemas.microsoft.com/office/drawing/2014/main" id="{00000000-0008-0000-0500-00001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34</xdr:col>
      <xdr:colOff>128323</xdr:colOff>
      <xdr:row>25</xdr:row>
      <xdr:rowOff>38364</xdr:rowOff>
    </xdr:from>
    <xdr:to>
      <xdr:col>43</xdr:col>
      <xdr:colOff>192275</xdr:colOff>
      <xdr:row>53</xdr:row>
      <xdr:rowOff>91433</xdr:rowOff>
    </xdr:to>
    <xdr:graphicFrame macro="">
      <xdr:nvGraphicFramePr>
        <xdr:cNvPr id="22" name="Chart 21">
          <a:extLst>
            <a:ext uri="{FF2B5EF4-FFF2-40B4-BE49-F238E27FC236}">
              <a16:creationId xmlns:a16="http://schemas.microsoft.com/office/drawing/2014/main" id="{00000000-0008-0000-0500-00001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16</xdr:col>
      <xdr:colOff>204107</xdr:colOff>
      <xdr:row>60</xdr:row>
      <xdr:rowOff>29935</xdr:rowOff>
    </xdr:from>
    <xdr:to>
      <xdr:col>36</xdr:col>
      <xdr:colOff>119063</xdr:colOff>
      <xdr:row>93</xdr:row>
      <xdr:rowOff>83343</xdr:rowOff>
    </xdr:to>
    <xdr:graphicFrame macro="">
      <xdr:nvGraphicFramePr>
        <xdr:cNvPr id="23" name="Chart 22">
          <a:extLst>
            <a:ext uri="{FF2B5EF4-FFF2-40B4-BE49-F238E27FC236}">
              <a16:creationId xmlns:a16="http://schemas.microsoft.com/office/drawing/2014/main" id="{00000000-0008-0000-0500-00001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44</xdr:col>
      <xdr:colOff>47625</xdr:colOff>
      <xdr:row>24</xdr:row>
      <xdr:rowOff>166687</xdr:rowOff>
    </xdr:from>
    <xdr:to>
      <xdr:col>53</xdr:col>
      <xdr:colOff>111577</xdr:colOff>
      <xdr:row>53</xdr:row>
      <xdr:rowOff>29256</xdr:rowOff>
    </xdr:to>
    <xdr:graphicFrame macro="">
      <xdr:nvGraphicFramePr>
        <xdr:cNvPr id="24" name="Chart 23">
          <a:extLst>
            <a:ext uri="{FF2B5EF4-FFF2-40B4-BE49-F238E27FC236}">
              <a16:creationId xmlns:a16="http://schemas.microsoft.com/office/drawing/2014/main" id="{00000000-0008-0000-0500-00001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37</xdr:col>
      <xdr:colOff>0</xdr:colOff>
      <xdr:row>56</xdr:row>
      <xdr:rowOff>0</xdr:rowOff>
    </xdr:from>
    <xdr:to>
      <xdr:col>46</xdr:col>
      <xdr:colOff>63953</xdr:colOff>
      <xdr:row>83</xdr:row>
      <xdr:rowOff>112601</xdr:rowOff>
    </xdr:to>
    <xdr:graphicFrame macro="">
      <xdr:nvGraphicFramePr>
        <xdr:cNvPr id="25" name="Chart 24">
          <a:extLst>
            <a:ext uri="{FF2B5EF4-FFF2-40B4-BE49-F238E27FC236}">
              <a16:creationId xmlns:a16="http://schemas.microsoft.com/office/drawing/2014/main" id="{00000000-0008-0000-0500-00001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24</xdr:col>
      <xdr:colOff>23812</xdr:colOff>
      <xdr:row>0</xdr:row>
      <xdr:rowOff>125015</xdr:rowOff>
    </xdr:from>
    <xdr:to>
      <xdr:col>39</xdr:col>
      <xdr:colOff>637193</xdr:colOff>
      <xdr:row>23</xdr:row>
      <xdr:rowOff>108536</xdr:rowOff>
    </xdr:to>
    <xdr:graphicFrame macro="">
      <xdr:nvGraphicFramePr>
        <xdr:cNvPr id="26" name="Chart 25">
          <a:extLst>
            <a:ext uri="{FF2B5EF4-FFF2-40B4-BE49-F238E27FC236}">
              <a16:creationId xmlns:a16="http://schemas.microsoft.com/office/drawing/2014/main" id="{00000000-0008-0000-0500-00001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10</xdr:col>
      <xdr:colOff>294147</xdr:colOff>
      <xdr:row>8</xdr:row>
      <xdr:rowOff>126965</xdr:rowOff>
    </xdr:to>
    <xdr:sp macro="" textlink="">
      <xdr:nvSpPr>
        <xdr:cNvPr id="2" name="EsriDoNotEdit">
          <a:extLst>
            <a:ext uri="{FF2B5EF4-FFF2-40B4-BE49-F238E27FC236}">
              <a16:creationId xmlns:a16="http://schemas.microsoft.com/office/drawing/2014/main" id="{00000000-0008-0000-0D00-000002000000}"/>
            </a:ext>
          </a:extLst>
        </xdr:cNvPr>
        <xdr:cNvSpPr/>
      </xdr:nvSpPr>
      <xdr:spPr>
        <a:xfrm>
          <a:off x="0" y="0"/>
          <a:ext cx="6390147" cy="1650965"/>
        </a:xfrm>
        <a:prstGeom prst="rect">
          <a:avLst/>
        </a:prstGeom>
        <a:noFill/>
      </xdr:spPr>
      <xdr:txBody>
        <a:bodyPr wrap="none" lIns="91440" tIns="45720" rIns="91440" bIns="45720">
          <a:spAutoFit/>
        </a:bodyPr>
        <a:lstStyle/>
        <a:p>
          <a:pPr algn="ctr"/>
          <a:r>
            <a:rPr lang="en-US" sz="5000" b="1" i="0" cap="none" spc="0">
              <a:ln w="18000">
                <a:solidFill>
                  <a:schemeClr val="accent2">
                    <a:satMod val="140000"/>
                  </a:schemeClr>
                </a:solidFill>
                <a:prstDash val="solid"/>
                <a:miter lim="800000"/>
              </a:ln>
              <a:noFill/>
              <a:effectLst>
                <a:outerShdw blurRad="25500" dist="23000" dir="7020000" algn="tl">
                  <a:srgbClr val="000000">
                    <a:alpha val="50000"/>
                  </a:srgbClr>
                </a:outerShdw>
              </a:effectLst>
              <a:latin typeface="Verdana" panose="020B0604030504040204" pitchFamily="34" charset="0"/>
            </a:rPr>
            <a:t>DO NOT EDIT </a:t>
          </a:r>
        </a:p>
        <a:p>
          <a:pPr algn="ctr"/>
          <a:r>
            <a:rPr lang="en-US" sz="5000" b="1" i="0" cap="none" spc="0">
              <a:ln w="18000">
                <a:solidFill>
                  <a:schemeClr val="accent2">
                    <a:satMod val="140000"/>
                  </a:schemeClr>
                </a:solidFill>
                <a:prstDash val="solid"/>
                <a:miter lim="800000"/>
              </a:ln>
              <a:noFill/>
              <a:effectLst>
                <a:outerShdw blurRad="25500" dist="23000" dir="7020000" algn="tl">
                  <a:srgbClr val="000000">
                    <a:alpha val="50000"/>
                  </a:srgbClr>
                </a:outerShdw>
              </a:effectLst>
              <a:latin typeface="Verdana" panose="020B0604030504040204" pitchFamily="34" charset="0"/>
            </a:rPr>
            <a:t> For Esri use only</a:t>
          </a:r>
        </a:p>
      </xdr:txBody>
    </xdr:sp>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9" tint="-0.249977111117893"/>
  </sheetPr>
  <dimension ref="A1:X49"/>
  <sheetViews>
    <sheetView tabSelected="1" zoomScale="120" zoomScaleNormal="120" workbookViewId="0">
      <pane xSplit="1" ySplit="5" topLeftCell="B6" activePane="bottomRight" state="frozen"/>
      <selection pane="topRight" activeCell="B1" sqref="B1"/>
      <selection pane="bottomLeft" activeCell="A6" sqref="A6"/>
      <selection pane="bottomRight"/>
    </sheetView>
  </sheetViews>
  <sheetFormatPr baseColWidth="10" defaultColWidth="8.83203125" defaultRowHeight="15" x14ac:dyDescent="0.2"/>
  <cols>
    <col min="2" max="4" width="22.1640625" bestFit="1" customWidth="1"/>
    <col min="5" max="6" width="21.1640625" bestFit="1" customWidth="1"/>
    <col min="7" max="7" width="24" bestFit="1" customWidth="1"/>
    <col min="8" max="16" width="21.1640625" bestFit="1" customWidth="1"/>
    <col min="17" max="17" width="23.83203125" customWidth="1"/>
    <col min="18" max="20" width="18.5" bestFit="1" customWidth="1"/>
    <col min="21" max="21" width="26.5" customWidth="1"/>
    <col min="22" max="22" width="21.33203125" customWidth="1"/>
    <col min="23" max="24" width="18.5" bestFit="1" customWidth="1"/>
  </cols>
  <sheetData>
    <row r="1" spans="1:24" x14ac:dyDescent="0.2">
      <c r="B1" s="83" t="s">
        <v>76</v>
      </c>
      <c r="C1" s="83"/>
      <c r="D1" s="83"/>
      <c r="E1" s="83"/>
      <c r="F1" s="83"/>
      <c r="G1" s="83"/>
      <c r="H1" s="38"/>
      <c r="M1" s="83" t="s">
        <v>76</v>
      </c>
      <c r="N1" s="83"/>
      <c r="O1" s="83"/>
      <c r="P1" s="83"/>
      <c r="Q1" s="83"/>
      <c r="R1" s="83"/>
      <c r="S1" s="83"/>
      <c r="T1" s="83"/>
      <c r="U1" s="83"/>
      <c r="V1" s="83"/>
      <c r="W1" s="83"/>
    </row>
    <row r="2" spans="1:24" ht="34" x14ac:dyDescent="0.4">
      <c r="B2" s="86" t="s">
        <v>97</v>
      </c>
      <c r="C2" s="86"/>
      <c r="D2" s="86"/>
      <c r="E2" s="86"/>
      <c r="F2" s="85" t="s">
        <v>0</v>
      </c>
      <c r="G2" s="85"/>
      <c r="H2" s="85"/>
      <c r="I2" s="85"/>
      <c r="J2" s="85"/>
      <c r="K2" s="85"/>
      <c r="L2" s="85"/>
      <c r="M2" s="85"/>
      <c r="N2" s="85"/>
      <c r="O2" s="85"/>
      <c r="P2" s="85"/>
      <c r="Q2" s="60" t="s">
        <v>120</v>
      </c>
      <c r="R2" s="85" t="s">
        <v>121</v>
      </c>
      <c r="S2" s="85"/>
      <c r="T2" s="85"/>
      <c r="U2" s="85"/>
      <c r="V2" s="85"/>
      <c r="W2" s="85"/>
      <c r="X2" s="85"/>
    </row>
    <row r="3" spans="1:24" x14ac:dyDescent="0.2">
      <c r="F3" s="84" t="s">
        <v>14</v>
      </c>
      <c r="G3" s="84"/>
      <c r="H3" s="84"/>
      <c r="I3" s="84"/>
      <c r="J3" s="84" t="s">
        <v>15</v>
      </c>
      <c r="K3" s="84"/>
      <c r="L3" s="84" t="s">
        <v>18</v>
      </c>
      <c r="M3" s="84"/>
      <c r="N3" s="84"/>
      <c r="O3" s="84"/>
      <c r="P3" s="84"/>
      <c r="R3" s="84" t="s">
        <v>60</v>
      </c>
      <c r="S3" s="84"/>
      <c r="U3" s="84" t="s">
        <v>116</v>
      </c>
      <c r="V3" s="84"/>
      <c r="W3" s="84" t="s">
        <v>64</v>
      </c>
      <c r="X3" s="84"/>
    </row>
    <row r="4" spans="1:24" ht="19" x14ac:dyDescent="0.25">
      <c r="B4" s="37" t="s">
        <v>56</v>
      </c>
      <c r="C4" s="36" t="s">
        <v>57</v>
      </c>
      <c r="D4" s="37" t="s">
        <v>58</v>
      </c>
      <c r="E4" s="36" t="s">
        <v>59</v>
      </c>
      <c r="F4" s="59" t="s">
        <v>4</v>
      </c>
      <c r="G4" s="59" t="s">
        <v>5</v>
      </c>
      <c r="H4" s="59" t="s">
        <v>6</v>
      </c>
      <c r="I4" s="59" t="s">
        <v>7</v>
      </c>
      <c r="J4" s="59" t="s">
        <v>16</v>
      </c>
      <c r="K4" s="59" t="s">
        <v>17</v>
      </c>
      <c r="L4" s="59" t="s">
        <v>19</v>
      </c>
      <c r="M4" s="59" t="s">
        <v>22</v>
      </c>
      <c r="N4" s="59" t="s">
        <v>23</v>
      </c>
      <c r="O4" s="59" t="s">
        <v>24</v>
      </c>
      <c r="P4" s="59" t="s">
        <v>25</v>
      </c>
      <c r="Q4" s="59" t="s">
        <v>26</v>
      </c>
      <c r="R4" s="59" t="s">
        <v>16</v>
      </c>
      <c r="S4" s="59" t="s">
        <v>17</v>
      </c>
      <c r="T4" s="59" t="s">
        <v>28</v>
      </c>
      <c r="U4" s="59" t="s">
        <v>117</v>
      </c>
      <c r="V4" s="59" t="s">
        <v>94</v>
      </c>
      <c r="W4" s="59" t="s">
        <v>67</v>
      </c>
      <c r="X4" s="59" t="s">
        <v>68</v>
      </c>
    </row>
    <row r="5" spans="1:24" x14ac:dyDescent="0.2">
      <c r="A5" t="s">
        <v>3</v>
      </c>
      <c r="B5" s="59" t="s">
        <v>51</v>
      </c>
      <c r="C5" s="59" t="s">
        <v>51</v>
      </c>
      <c r="D5" s="59" t="s">
        <v>51</v>
      </c>
      <c r="E5" s="59" t="s">
        <v>51</v>
      </c>
      <c r="F5" s="59" t="s">
        <v>119</v>
      </c>
      <c r="G5" s="59" t="s">
        <v>119</v>
      </c>
      <c r="H5" s="59" t="s">
        <v>119</v>
      </c>
      <c r="I5" s="59" t="s">
        <v>119</v>
      </c>
      <c r="J5" s="59" t="s">
        <v>119</v>
      </c>
      <c r="K5" s="59" t="s">
        <v>119</v>
      </c>
      <c r="L5" s="59" t="s">
        <v>119</v>
      </c>
      <c r="M5" s="59" t="s">
        <v>119</v>
      </c>
      <c r="N5" s="59" t="s">
        <v>119</v>
      </c>
      <c r="O5" s="59" t="s">
        <v>119</v>
      </c>
      <c r="P5" s="59" t="s">
        <v>119</v>
      </c>
      <c r="Q5" s="59" t="s">
        <v>119</v>
      </c>
      <c r="R5" s="59" t="s">
        <v>119</v>
      </c>
      <c r="S5" s="59" t="s">
        <v>119</v>
      </c>
      <c r="T5" s="59" t="s">
        <v>119</v>
      </c>
      <c r="U5" s="59" t="s">
        <v>118</v>
      </c>
      <c r="V5" s="59" t="s">
        <v>118</v>
      </c>
      <c r="W5" s="59" t="s">
        <v>119</v>
      </c>
      <c r="X5" s="59" t="s">
        <v>119</v>
      </c>
    </row>
    <row r="6" spans="1:24" x14ac:dyDescent="0.2">
      <c r="A6">
        <v>2007</v>
      </c>
      <c r="B6" s="7">
        <f>F6+G6+H6+I6+J6+K6+L6+M6+N6+O6+P6</f>
        <v>101906.40906087424</v>
      </c>
      <c r="C6" s="7">
        <f>Q6</f>
        <v>166134.81714748713</v>
      </c>
      <c r="D6" s="7">
        <f>R6+S6+T6+U6+V6+W6+X6</f>
        <v>70786.918803445456</v>
      </c>
      <c r="E6" s="7">
        <f t="shared" ref="E6:E18" si="0">B6+C6+D6</f>
        <v>338828.14501180686</v>
      </c>
      <c r="F6" s="2">
        <f>ActualEmissionsData!B5*ActualEmissionsData!C5</f>
        <v>91998.145523044266</v>
      </c>
      <c r="G6" s="2">
        <f>ActualEmissionsData!D5*ActualEmissionsData!E5</f>
        <v>4626.7680394325143</v>
      </c>
      <c r="H6" s="2">
        <f>ActualEmissionsData!F5*ActualEmissionsData!G5</f>
        <v>1434.3539489708744</v>
      </c>
      <c r="I6" s="2">
        <f>ActualEmissionsData!H5*ActualEmissionsData!I5</f>
        <v>0</v>
      </c>
      <c r="J6" s="2">
        <f>ActualEmissionsData!J5*ActualEmissionsData!K5</f>
        <v>1839.9399925979947</v>
      </c>
      <c r="K6" s="2">
        <f>ActualEmissionsData!L5*ActualEmissionsData!M5</f>
        <v>1489.521628448</v>
      </c>
      <c r="L6" s="2">
        <f>ActualEmissionsData!N5*ActualEmissionsData!O5*ActualEmissionsData!P5</f>
        <v>26.511820735085717</v>
      </c>
      <c r="M6" s="2">
        <f>ActualEmissionsData!Q5*ActualEmissionsData!R5*ActualEmissionsData!S5</f>
        <v>0.3466646454857143</v>
      </c>
      <c r="N6" s="2">
        <f>ActualEmissionsData!T5*ActualEmissionsData!U5</f>
        <v>13.819533000000002</v>
      </c>
      <c r="O6" s="2">
        <f>ActualEmissionsData!V5*ActualEmissionsData!W5</f>
        <v>6.1421660000000005</v>
      </c>
      <c r="P6" s="2">
        <f>ActualEmissionsData!X5*ActualEmissionsData!Y5</f>
        <v>470.85974400000003</v>
      </c>
      <c r="Q6" s="2">
        <f>(ActualEmissionsData!Z5*ActualEmissionsData!AA5)/1000</f>
        <v>166134.81714748713</v>
      </c>
      <c r="R6" s="2">
        <f>ActualEmissionsData!AB5*ActualEmissionsData!AC5</f>
        <v>26950.704303356095</v>
      </c>
      <c r="S6" s="2">
        <f>ActualEmissionsData!AD5*ActualEmissionsData!AE5</f>
        <v>619.88847764357888</v>
      </c>
      <c r="T6" s="2">
        <f>ActualEmissionsData!AF5*ActualEmissionsData!AG5</f>
        <v>41354.41468926028</v>
      </c>
      <c r="U6" s="2">
        <f>ActualEmissionsData!AH5*ActualEmissionsData!AI5</f>
        <v>0</v>
      </c>
      <c r="V6" s="2">
        <f>ActualEmissionsData!AJ5*ActualEmissionsData!AK5</f>
        <v>0</v>
      </c>
      <c r="W6">
        <f>ActualEmissionsData!AL5*ActualEmissionsData!AM5</f>
        <v>-67.528999999999996</v>
      </c>
      <c r="X6" s="6">
        <f>ActualEmissionsData!AN5*ActualEmissionsData!AO5</f>
        <v>1929.4403331854928</v>
      </c>
    </row>
    <row r="7" spans="1:24" x14ac:dyDescent="0.2">
      <c r="A7">
        <v>2008</v>
      </c>
      <c r="B7" s="7">
        <f t="shared" ref="B7:B18" si="1">F7+G7+H7+I7+J7+K7+L7+M7+N7+O7+P7</f>
        <v>105164.09730720571</v>
      </c>
      <c r="C7" s="7">
        <f t="shared" ref="C7:C18" si="2">Q7</f>
        <v>167368.11878254503</v>
      </c>
      <c r="D7" s="7">
        <f t="shared" ref="D7:D18" si="3">R7+S7+T7+U7+V7+W7+X7</f>
        <v>66350.331841754203</v>
      </c>
      <c r="E7" s="7">
        <f t="shared" si="0"/>
        <v>338882.54793150496</v>
      </c>
      <c r="F7" s="2">
        <f>ActualEmissionsData!B6*ActualEmissionsData!C6</f>
        <v>96280.74081404868</v>
      </c>
      <c r="G7" s="2">
        <f>ActualEmissionsData!D6*ActualEmissionsData!E6</f>
        <v>3972.525601689958</v>
      </c>
      <c r="H7" s="2">
        <f>ActualEmissionsData!F6*ActualEmissionsData!G6</f>
        <v>405.18582992554673</v>
      </c>
      <c r="I7" s="2">
        <f>ActualEmissionsData!H6*ActualEmissionsData!I6</f>
        <v>0</v>
      </c>
      <c r="J7" s="2">
        <f>ActualEmissionsData!J6*ActualEmissionsData!K6</f>
        <v>1852.1075495159546</v>
      </c>
      <c r="K7" s="2">
        <f>ActualEmissionsData!L6*ActualEmissionsData!M6</f>
        <v>1527.5318150374799</v>
      </c>
      <c r="L7" s="2">
        <f>ActualEmissionsData!N6*ActualEmissionsData!O6*ActualEmissionsData!P6</f>
        <v>15.690186298285715</v>
      </c>
      <c r="M7" s="2">
        <f>ActualEmissionsData!Q6*ActualEmissionsData!R6*ActualEmissionsData!S6</f>
        <v>3.2819106898285715</v>
      </c>
      <c r="N7" s="2">
        <f>ActualEmissionsData!T6*ActualEmissionsData!U6</f>
        <v>70.824000000000012</v>
      </c>
      <c r="O7" s="2">
        <f>ActualEmissionsData!V6*ActualEmissionsData!W6</f>
        <v>133.20359999999999</v>
      </c>
      <c r="P7" s="2">
        <f>ActualEmissionsData!X6*ActualEmissionsData!Y6</f>
        <v>903.00600000000009</v>
      </c>
      <c r="Q7" s="2">
        <f>(ActualEmissionsData!Z6*ActualEmissionsData!AA6)/1000</f>
        <v>167368.11878254503</v>
      </c>
      <c r="R7" s="2">
        <f>ActualEmissionsData!AB6*ActualEmissionsData!AC6</f>
        <v>26084.218997328309</v>
      </c>
      <c r="S7" s="2">
        <f>ActualEmissionsData!AD6*ActualEmissionsData!AE6</f>
        <v>821.52327152841599</v>
      </c>
      <c r="T7" s="2">
        <f>ActualEmissionsData!AF6*ActualEmissionsData!AG6</f>
        <v>37697.332611034966</v>
      </c>
      <c r="U7" s="2">
        <f>ActualEmissionsData!AH6*ActualEmissionsData!AI6</f>
        <v>0</v>
      </c>
      <c r="V7" s="2">
        <f>ActualEmissionsData!AJ6*ActualEmissionsData!AK6</f>
        <v>0</v>
      </c>
      <c r="W7">
        <f>ActualEmissionsData!AL6*ActualEmissionsData!AM6</f>
        <v>-46.982100000000003</v>
      </c>
      <c r="X7" s="6">
        <f>ActualEmissionsData!AN6*ActualEmissionsData!AO6</f>
        <v>1794.2390618625191</v>
      </c>
    </row>
    <row r="8" spans="1:24" x14ac:dyDescent="0.2">
      <c r="A8">
        <v>2009</v>
      </c>
      <c r="B8" s="7">
        <f t="shared" si="1"/>
        <v>107302.23615598395</v>
      </c>
      <c r="C8" s="7">
        <f t="shared" si="2"/>
        <v>137793.53212258534</v>
      </c>
      <c r="D8" s="7">
        <f t="shared" si="3"/>
        <v>77258.871471241335</v>
      </c>
      <c r="E8" s="7">
        <f t="shared" si="0"/>
        <v>322354.63974981062</v>
      </c>
      <c r="F8" s="2">
        <f>ActualEmissionsData!B7*ActualEmissionsData!C7</f>
        <v>84286.64954924093</v>
      </c>
      <c r="G8" s="2">
        <f>ActualEmissionsData!D7*ActualEmissionsData!E7</f>
        <v>16860.415548209308</v>
      </c>
      <c r="H8" s="2">
        <f>ActualEmissionsData!F7*ActualEmissionsData!G7</f>
        <v>1304.4211478915404</v>
      </c>
      <c r="I8" s="2">
        <f>ActualEmissionsData!H7*ActualEmissionsData!I7</f>
        <v>0</v>
      </c>
      <c r="J8" s="2">
        <f>ActualEmissionsData!J7*ActualEmissionsData!K7</f>
        <v>1892.8014900228075</v>
      </c>
      <c r="K8" s="2">
        <f>ActualEmissionsData!L7*ActualEmissionsData!M7</f>
        <v>1564.3770272893198</v>
      </c>
      <c r="L8" s="2">
        <f>ActualEmissionsData!N7*ActualEmissionsData!O7*ActualEmissionsData!P7</f>
        <v>12.622765910857144</v>
      </c>
      <c r="M8" s="2">
        <f>ActualEmissionsData!Q7*ActualEmissionsData!R7*ActualEmissionsData!S7</f>
        <v>2.1778674192</v>
      </c>
      <c r="N8" s="2">
        <f>ActualEmissionsData!T7*ActualEmissionsData!U7</f>
        <v>15.345200000000002</v>
      </c>
      <c r="O8" s="2">
        <f>ActualEmissionsData!V7*ActualEmissionsData!W7</f>
        <v>79.922160000000005</v>
      </c>
      <c r="P8" s="2">
        <f>ActualEmissionsData!X7*ActualEmissionsData!Y7</f>
        <v>1283.5034000000001</v>
      </c>
      <c r="Q8" s="2">
        <f>(ActualEmissionsData!Z7*ActualEmissionsData!AA7)/1000</f>
        <v>137793.53212258534</v>
      </c>
      <c r="R8" s="2">
        <f>ActualEmissionsData!AB7*ActualEmissionsData!AC7</f>
        <v>28918.057503954013</v>
      </c>
      <c r="S8" s="2">
        <f>ActualEmissionsData!AD7*ActualEmissionsData!AE7</f>
        <v>1544.6658797822388</v>
      </c>
      <c r="T8" s="2">
        <f>ActualEmissionsData!AF7*ActualEmissionsData!AG7</f>
        <v>45095.400115639066</v>
      </c>
      <c r="U8" s="2">
        <f>ActualEmissionsData!AH7*ActualEmissionsData!AI7</f>
        <v>0</v>
      </c>
      <c r="V8" s="2">
        <f>ActualEmissionsData!AJ7*ActualEmissionsData!AK7</f>
        <v>0</v>
      </c>
      <c r="W8">
        <f>ActualEmissionsData!AL7*ActualEmissionsData!AM7</f>
        <v>-47.817</v>
      </c>
      <c r="X8" s="6">
        <f>ActualEmissionsData!AN7*ActualEmissionsData!AO7</f>
        <v>1748.5649718660188</v>
      </c>
    </row>
    <row r="9" spans="1:24" x14ac:dyDescent="0.2">
      <c r="A9">
        <v>2010</v>
      </c>
      <c r="B9" s="7">
        <f t="shared" si="1"/>
        <v>94548.536264651819</v>
      </c>
      <c r="C9" s="7">
        <f t="shared" si="2"/>
        <v>139724.34272858402</v>
      </c>
      <c r="D9" s="7">
        <f t="shared" si="3"/>
        <v>73484.979823633665</v>
      </c>
      <c r="E9" s="7">
        <f t="shared" si="0"/>
        <v>307757.8588168695</v>
      </c>
      <c r="F9" s="2">
        <f>ActualEmissionsData!B8*ActualEmissionsData!C8</f>
        <v>57489.730052849998</v>
      </c>
      <c r="G9" s="2">
        <f>ActualEmissionsData!D8*ActualEmissionsData!E8</f>
        <v>30130.468771865002</v>
      </c>
      <c r="H9" s="2">
        <f>ActualEmissionsData!F8*ActualEmissionsData!G8</f>
        <v>1179.4010135155247</v>
      </c>
      <c r="I9" s="2">
        <f>ActualEmissionsData!H8*ActualEmissionsData!I8</f>
        <v>435.23929495156273</v>
      </c>
      <c r="J9" s="2">
        <f>ActualEmissionsData!J8*ActualEmissionsData!K8</f>
        <v>1843.73412321405</v>
      </c>
      <c r="K9" s="2">
        <f>ActualEmissionsData!L8*ActualEmissionsData!M8</f>
        <v>1457.0247529873202</v>
      </c>
      <c r="L9" s="2">
        <f>ActualEmissionsData!N8*ActualEmissionsData!O8*ActualEmissionsData!P8</f>
        <v>7.7695009972799998</v>
      </c>
      <c r="M9" s="2">
        <f>ActualEmissionsData!Q8*ActualEmissionsData!R8*ActualEmissionsData!S8</f>
        <v>3.0287542710857145</v>
      </c>
      <c r="N9" s="2">
        <f>ActualEmissionsData!T8*ActualEmissionsData!U8</f>
        <v>265.59000000000003</v>
      </c>
      <c r="O9" s="2">
        <f>ActualEmissionsData!V8*ActualEmissionsData!W8</f>
        <v>0</v>
      </c>
      <c r="P9" s="2">
        <f>ActualEmissionsData!X8*ActualEmissionsData!Y8</f>
        <v>1736.5500000000002</v>
      </c>
      <c r="Q9" s="2">
        <f>(ActualEmissionsData!Z8*ActualEmissionsData!AA8)/1000</f>
        <v>139724.34272858402</v>
      </c>
      <c r="R9" s="2">
        <f>ActualEmissionsData!AB8*ActualEmissionsData!AC8</f>
        <v>27206.959401269571</v>
      </c>
      <c r="S9" s="2">
        <f>ActualEmissionsData!AD8*ActualEmissionsData!AE8</f>
        <v>1453.2671108360405</v>
      </c>
      <c r="T9" s="2">
        <f>ActualEmissionsData!AF8*ActualEmissionsData!AG8</f>
        <v>43791.841944944812</v>
      </c>
      <c r="U9" s="2">
        <f>ActualEmissionsData!AH8*ActualEmissionsData!AI8</f>
        <v>0</v>
      </c>
      <c r="V9" s="2">
        <f>ActualEmissionsData!AJ8*ActualEmissionsData!AK8</f>
        <v>0</v>
      </c>
      <c r="W9">
        <f>ActualEmissionsData!AL8*ActualEmissionsData!AM8</f>
        <v>-55.902000000000008</v>
      </c>
      <c r="X9" s="6">
        <f>ActualEmissionsData!AN8*ActualEmissionsData!AO8</f>
        <v>1088.8133665832381</v>
      </c>
    </row>
    <row r="10" spans="1:24" x14ac:dyDescent="0.2">
      <c r="A10">
        <v>2011</v>
      </c>
      <c r="B10" s="7">
        <f t="shared" si="1"/>
        <v>77330.545346762359</v>
      </c>
      <c r="C10" s="7">
        <f t="shared" si="2"/>
        <v>144650.49191579406</v>
      </c>
      <c r="D10" s="7">
        <f t="shared" si="3"/>
        <v>79253.153516488426</v>
      </c>
      <c r="E10" s="7">
        <f t="shared" si="0"/>
        <v>301234.19077904487</v>
      </c>
      <c r="F10" s="2">
        <f>ActualEmissionsData!B9*ActualEmissionsData!C9</f>
        <v>23841.6270023</v>
      </c>
      <c r="G10" s="2">
        <f>ActualEmissionsData!D9*ActualEmissionsData!E9</f>
        <v>47031.026052266672</v>
      </c>
      <c r="H10" s="2">
        <f>ActualEmissionsData!F9*ActualEmissionsData!G9</f>
        <v>1854.69558584316</v>
      </c>
      <c r="I10" s="2">
        <f>ActualEmissionsData!H9*ActualEmissionsData!I9</f>
        <v>36.995380322000301</v>
      </c>
      <c r="J10" s="2">
        <f>ActualEmissionsData!J9*ActualEmissionsData!K9</f>
        <v>1853.4759383802798</v>
      </c>
      <c r="K10" s="2">
        <f>ActualEmissionsData!L9*ActualEmissionsData!M9</f>
        <v>1405.6663323818836</v>
      </c>
      <c r="L10" s="2">
        <f>ActualEmissionsData!N9*ActualEmissionsData!O9*ActualEmissionsData!P9</f>
        <v>7.7695009972799998</v>
      </c>
      <c r="M10" s="2">
        <f>ActualEmissionsData!Q9*ActualEmissionsData!R9*ActualEmissionsData!S9</f>
        <v>3.0287542710857145</v>
      </c>
      <c r="N10" s="2">
        <f>ActualEmissionsData!T9*ActualEmissionsData!U9</f>
        <v>141.64800000000002</v>
      </c>
      <c r="O10" s="2">
        <f>ActualEmissionsData!V9*ActualEmissionsData!W9</f>
        <v>0</v>
      </c>
      <c r="P10" s="2">
        <f>ActualEmissionsData!X9*ActualEmissionsData!Y9</f>
        <v>1154.6128000000001</v>
      </c>
      <c r="Q10" s="2">
        <f>(ActualEmissionsData!Z9*ActualEmissionsData!AA9)/1000</f>
        <v>144650.49191579406</v>
      </c>
      <c r="R10" s="2">
        <f>ActualEmissionsData!AB9*ActualEmissionsData!AC9</f>
        <v>27980.051008927876</v>
      </c>
      <c r="S10" s="2">
        <f>ActualEmissionsData!AD9*ActualEmissionsData!AE9</f>
        <v>694.37201088999416</v>
      </c>
      <c r="T10" s="2">
        <f>ActualEmissionsData!AF9*ActualEmissionsData!AG9</f>
        <v>49629.765996748094</v>
      </c>
      <c r="U10" s="2">
        <f>ActualEmissionsData!AH9*ActualEmissionsData!AI9</f>
        <v>0</v>
      </c>
      <c r="V10" s="2">
        <f>ActualEmissionsData!AJ9*ActualEmissionsData!AK9</f>
        <v>0</v>
      </c>
      <c r="W10">
        <f>ActualEmissionsData!AL9*ActualEmissionsData!AM9</f>
        <v>-63.162000000000006</v>
      </c>
      <c r="X10" s="6">
        <f>ActualEmissionsData!AN9*ActualEmissionsData!AO9</f>
        <v>1012.1264999224475</v>
      </c>
    </row>
    <row r="11" spans="1:24" x14ac:dyDescent="0.2">
      <c r="A11">
        <v>2012</v>
      </c>
      <c r="B11" s="7">
        <f t="shared" si="1"/>
        <v>64540.689608046479</v>
      </c>
      <c r="C11" s="7">
        <f t="shared" si="2"/>
        <v>141369.04834443628</v>
      </c>
      <c r="D11" s="7">
        <f t="shared" si="3"/>
        <v>79375.547418106362</v>
      </c>
      <c r="E11" s="7">
        <f t="shared" si="0"/>
        <v>285285.28537058912</v>
      </c>
      <c r="F11" s="2">
        <f>ActualEmissionsData!B10*ActualEmissionsData!C10</f>
        <v>0</v>
      </c>
      <c r="G11" s="2">
        <f>ActualEmissionsData!D10*ActualEmissionsData!E10</f>
        <v>58229.523239065689</v>
      </c>
      <c r="H11" s="2">
        <f>ActualEmissionsData!F10*ActualEmissionsData!G10</f>
        <v>510.45244109229469</v>
      </c>
      <c r="I11" s="2">
        <f>ActualEmissionsData!H10*ActualEmissionsData!I10</f>
        <v>0</v>
      </c>
      <c r="J11" s="2">
        <f>ActualEmissionsData!J10*ActualEmissionsData!K10</f>
        <v>1531.6352071922138</v>
      </c>
      <c r="K11" s="2">
        <f>ActualEmissionsData!L10*ActualEmissionsData!M10</f>
        <v>1337.2764015676</v>
      </c>
      <c r="L11" s="2">
        <f>ActualEmissionsData!N10*ActualEmissionsData!O10*ActualEmissionsData!P10</f>
        <v>9.6937706422857151</v>
      </c>
      <c r="M11" s="2">
        <f>ActualEmissionsData!Q10*ActualEmissionsData!R10*ActualEmissionsData!S10</f>
        <v>0.18270848640000001</v>
      </c>
      <c r="N11" s="2">
        <f>ActualEmissionsData!T10*ActualEmissionsData!U10</f>
        <v>70.824000000000012</v>
      </c>
      <c r="O11" s="2">
        <f>ActualEmissionsData!V10*ActualEmissionsData!W10</f>
        <v>142.08384000000001</v>
      </c>
      <c r="P11" s="2">
        <f>ActualEmissionsData!X10*ActualEmissionsData!Y10</f>
        <v>2709.018</v>
      </c>
      <c r="Q11" s="2">
        <f>(ActualEmissionsData!Z10*ActualEmissionsData!AA10)/1000</f>
        <v>141369.04834443628</v>
      </c>
      <c r="R11" s="2">
        <f>ActualEmissionsData!AB10*ActualEmissionsData!AC10</f>
        <v>28968.386113217854</v>
      </c>
      <c r="S11" s="2">
        <f>ActualEmissionsData!AD10*ActualEmissionsData!AE10</f>
        <v>1405.7171192723688</v>
      </c>
      <c r="T11" s="2">
        <f>ActualEmissionsData!AF10*ActualEmissionsData!AG10</f>
        <v>47750.993152383475</v>
      </c>
      <c r="U11" s="2">
        <f>ActualEmissionsData!AH10*ActualEmissionsData!AI10</f>
        <v>0</v>
      </c>
      <c r="V11" s="2">
        <f>ActualEmissionsData!AJ10*ActualEmissionsData!AK10</f>
        <v>0</v>
      </c>
      <c r="W11">
        <f>ActualEmissionsData!AL10*ActualEmissionsData!AM10</f>
        <v>-63.420500000000011</v>
      </c>
      <c r="X11" s="6">
        <f>ActualEmissionsData!AN10*ActualEmissionsData!AO10</f>
        <v>1313.8715332326599</v>
      </c>
    </row>
    <row r="12" spans="1:24" x14ac:dyDescent="0.2">
      <c r="A12">
        <v>2013</v>
      </c>
      <c r="B12" s="7">
        <f t="shared" si="1"/>
        <v>67810.161951285962</v>
      </c>
      <c r="C12" s="7">
        <f t="shared" si="2"/>
        <v>121651.11321065181</v>
      </c>
      <c r="D12" s="7">
        <f t="shared" si="3"/>
        <v>92706.178876048551</v>
      </c>
      <c r="E12" s="7">
        <f t="shared" si="0"/>
        <v>282167.45403798629</v>
      </c>
      <c r="F12" s="2">
        <f>ActualEmissionsData!B11*ActualEmissionsData!C11</f>
        <v>0</v>
      </c>
      <c r="G12" s="2">
        <f>ActualEmissionsData!D11*ActualEmissionsData!E11</f>
        <v>62670.779957298342</v>
      </c>
      <c r="H12" s="2">
        <f>ActualEmissionsData!F11*ActualEmissionsData!G11</f>
        <v>230.46721397069999</v>
      </c>
      <c r="I12" s="2">
        <f>ActualEmissionsData!H11*ActualEmissionsData!I11</f>
        <v>0</v>
      </c>
      <c r="J12" s="2">
        <f>ActualEmissionsData!J11*ActualEmissionsData!K11</f>
        <v>1551.2728217251538</v>
      </c>
      <c r="K12" s="2">
        <f>ActualEmissionsData!L11*ActualEmissionsData!M11</f>
        <v>1451.5293893599999</v>
      </c>
      <c r="L12" s="2">
        <f>ActualEmissionsData!N11*ActualEmissionsData!O11*ActualEmissionsData!P11</f>
        <v>12.297928298605715</v>
      </c>
      <c r="M12" s="2">
        <f>ActualEmissionsData!Q11*ActualEmissionsData!R11*ActualEmissionsData!S11</f>
        <v>0.76403063314285713</v>
      </c>
      <c r="N12" s="2">
        <f>ActualEmissionsData!T11*ActualEmissionsData!U11</f>
        <v>43.556760000000004</v>
      </c>
      <c r="O12" s="2">
        <f>ActualEmissionsData!V11*ActualEmissionsData!W11</f>
        <v>38.851050000000001</v>
      </c>
      <c r="P12" s="2">
        <f>ActualEmissionsData!X11*ActualEmissionsData!Y11</f>
        <v>1810.6428000000001</v>
      </c>
      <c r="Q12" s="2">
        <f>(ActualEmissionsData!Z11*ActualEmissionsData!AA11)/1000</f>
        <v>121651.11321065181</v>
      </c>
      <c r="R12" s="2">
        <f>ActualEmissionsData!AB11*ActualEmissionsData!AC11</f>
        <v>32669.274461815621</v>
      </c>
      <c r="S12" s="2">
        <f>ActualEmissionsData!AD11*ActualEmissionsData!AE11</f>
        <v>2093.1283607066557</v>
      </c>
      <c r="T12" s="2">
        <f>ActualEmissionsData!AF11*ActualEmissionsData!AG11</f>
        <v>56789.96332028621</v>
      </c>
      <c r="U12" s="2">
        <f>ActualEmissionsData!AH11*ActualEmissionsData!AI11</f>
        <v>0</v>
      </c>
      <c r="V12" s="2">
        <f>ActualEmissionsData!AJ11*ActualEmissionsData!AK11</f>
        <v>0</v>
      </c>
      <c r="W12">
        <f>ActualEmissionsData!AL11*ActualEmissionsData!AM11</f>
        <v>-63.47</v>
      </c>
      <c r="X12" s="6">
        <f>ActualEmissionsData!AN11*ActualEmissionsData!AO11</f>
        <v>1217.2827332400609</v>
      </c>
    </row>
    <row r="13" spans="1:24" x14ac:dyDescent="0.2">
      <c r="A13">
        <v>2014</v>
      </c>
      <c r="B13" s="7">
        <f t="shared" si="1"/>
        <v>66629.796825131634</v>
      </c>
      <c r="C13" s="7">
        <f t="shared" si="2"/>
        <v>116450.94728992743</v>
      </c>
      <c r="D13" s="7">
        <f t="shared" si="3"/>
        <v>84854.703609219039</v>
      </c>
      <c r="E13" s="7">
        <f t="shared" si="0"/>
        <v>267935.44772427808</v>
      </c>
      <c r="F13" s="2">
        <f>ActualEmissionsData!B12*ActualEmissionsData!C12</f>
        <v>0</v>
      </c>
      <c r="G13" s="2">
        <f>ActualEmissionsData!D12*ActualEmissionsData!E12</f>
        <v>59593.726398216153</v>
      </c>
      <c r="H13" s="2">
        <f>ActualEmissionsData!F12*ActualEmissionsData!G12</f>
        <v>3165.1225248709047</v>
      </c>
      <c r="I13" s="2">
        <f>ActualEmissionsData!H12*ActualEmissionsData!I12</f>
        <v>0</v>
      </c>
      <c r="J13" s="2">
        <f>ActualEmissionsData!J12*ActualEmissionsData!K12</f>
        <v>1487.0556299432485</v>
      </c>
      <c r="K13" s="2">
        <f>ActualEmissionsData!L12*ActualEmissionsData!M12</f>
        <v>1515.1986247959646</v>
      </c>
      <c r="L13" s="2">
        <f>ActualEmissionsData!N12*ActualEmissionsData!O12*ActualEmissionsData!P12</f>
        <v>12.349927995428573</v>
      </c>
      <c r="M13" s="2">
        <f>ActualEmissionsData!Q12*ActualEmissionsData!R12*ActualEmissionsData!S12</f>
        <v>0.32898930994285713</v>
      </c>
      <c r="N13" s="2">
        <f>ActualEmissionsData!T12*ActualEmissionsData!U12</f>
        <v>161.36068</v>
      </c>
      <c r="O13" s="2">
        <f>ActualEmissionsData!V12*ActualEmissionsData!W12</f>
        <v>33.892916</v>
      </c>
      <c r="P13" s="2">
        <f>ActualEmissionsData!X12*ActualEmissionsData!Y12</f>
        <v>660.76113400000008</v>
      </c>
      <c r="Q13" s="2">
        <f>(ActualEmissionsData!Z12*ActualEmissionsData!AA12)/1000</f>
        <v>116450.94728992743</v>
      </c>
      <c r="R13" s="2">
        <f>ActualEmissionsData!AB12*ActualEmissionsData!AC12</f>
        <v>31112.872679667271</v>
      </c>
      <c r="S13" s="2">
        <f>ActualEmissionsData!AD12*ActualEmissionsData!AE12</f>
        <v>2388.5910175324939</v>
      </c>
      <c r="T13" s="2">
        <f>ActualEmissionsData!AF12*ActualEmissionsData!AG12</f>
        <v>50229.792312110134</v>
      </c>
      <c r="U13" s="2">
        <f>ActualEmissionsData!AH12*ActualEmissionsData!AI12</f>
        <v>0</v>
      </c>
      <c r="V13" s="2">
        <f>ActualEmissionsData!AJ12*ActualEmissionsData!AK12</f>
        <v>0</v>
      </c>
      <c r="W13">
        <f>ActualEmissionsData!AL12*ActualEmissionsData!AM12</f>
        <v>-62.444800000000008</v>
      </c>
      <c r="X13" s="6">
        <f>ActualEmissionsData!AN12*ActualEmissionsData!AO12</f>
        <v>1185.8923999091328</v>
      </c>
    </row>
    <row r="14" spans="1:24" x14ac:dyDescent="0.2">
      <c r="A14">
        <v>2015</v>
      </c>
      <c r="B14" s="7">
        <f t="shared" si="1"/>
        <v>64738.338050448918</v>
      </c>
      <c r="C14" s="7">
        <f t="shared" si="2"/>
        <v>116483.01461209999</v>
      </c>
      <c r="D14" s="7">
        <f t="shared" si="3"/>
        <v>93372.503449458804</v>
      </c>
      <c r="E14" s="7">
        <f t="shared" si="0"/>
        <v>274593.85611200769</v>
      </c>
      <c r="F14" s="2">
        <f>ActualEmissionsData!B13*ActualEmissionsData!C13</f>
        <v>0</v>
      </c>
      <c r="G14" s="2">
        <f>ActualEmissionsData!D13*ActualEmissionsData!E13</f>
        <v>60338.182530908336</v>
      </c>
      <c r="H14" s="2">
        <f>ActualEmissionsData!F13*ActualEmissionsData!G13</f>
        <v>290.916477115992</v>
      </c>
      <c r="I14" s="2">
        <f>ActualEmissionsData!H13*ActualEmissionsData!I13</f>
        <v>0</v>
      </c>
      <c r="J14" s="2">
        <f>ActualEmissionsData!J13*ActualEmissionsData!K13</f>
        <v>1704.5890779572123</v>
      </c>
      <c r="K14" s="2">
        <f>ActualEmissionsData!L13*ActualEmissionsData!M13</f>
        <v>1354.703627162</v>
      </c>
      <c r="L14" s="2">
        <f>ActualEmissionsData!N13*ActualEmissionsData!O13*ActualEmissionsData!P13</f>
        <v>12.349927995428573</v>
      </c>
      <c r="M14" s="2">
        <f>ActualEmissionsData!Q13*ActualEmissionsData!R13*ActualEmissionsData!S13</f>
        <v>0.32898930994285713</v>
      </c>
      <c r="N14" s="2">
        <f>ActualEmissionsData!T13*ActualEmissionsData!U13</f>
        <v>21.542300000000001</v>
      </c>
      <c r="O14" s="2">
        <f>ActualEmissionsData!V13*ActualEmissionsData!W13</f>
        <v>71.041920000000005</v>
      </c>
      <c r="P14" s="2">
        <f>ActualEmissionsData!X13*ActualEmissionsData!Y13</f>
        <v>944.68320000000006</v>
      </c>
      <c r="Q14" s="2">
        <f>(ActualEmissionsData!Z13*ActualEmissionsData!AA13)/1000</f>
        <v>116483.01461209999</v>
      </c>
      <c r="R14" s="2">
        <f>ActualEmissionsData!AB13*ActualEmissionsData!AC13</f>
        <v>34484.856752294181</v>
      </c>
      <c r="S14" s="2">
        <f>ActualEmissionsData!AD13*ActualEmissionsData!AE13</f>
        <v>1669.5231991298976</v>
      </c>
      <c r="T14" s="2">
        <f>ActualEmissionsData!AF13*ActualEmissionsData!AG13</f>
        <v>56139.666264788808</v>
      </c>
      <c r="U14" s="2">
        <f>ActualEmissionsData!AH13*ActualEmissionsData!AI13</f>
        <v>0</v>
      </c>
      <c r="V14" s="2">
        <f>ActualEmissionsData!AJ13*ActualEmissionsData!AK13</f>
        <v>0</v>
      </c>
      <c r="W14">
        <f>ActualEmissionsData!AL13*ActualEmissionsData!AM13</f>
        <v>-62.48</v>
      </c>
      <c r="X14" s="6">
        <f>ActualEmissionsData!AN13*ActualEmissionsData!AO13</f>
        <v>1140.9372332459109</v>
      </c>
    </row>
    <row r="15" spans="1:24" x14ac:dyDescent="0.2">
      <c r="A15">
        <v>2016</v>
      </c>
      <c r="B15" s="7">
        <f t="shared" si="1"/>
        <v>61314.805341917396</v>
      </c>
      <c r="C15" s="7">
        <f t="shared" si="2"/>
        <v>110136.11404396225</v>
      </c>
      <c r="D15" s="7">
        <f t="shared" si="3"/>
        <v>89768.883209261578</v>
      </c>
      <c r="E15" s="7">
        <f t="shared" si="0"/>
        <v>261219.80259514123</v>
      </c>
      <c r="F15" s="2">
        <f>ActualEmissionsData!B14*ActualEmissionsData!C14</f>
        <v>0</v>
      </c>
      <c r="G15" s="2">
        <f>ActualEmissionsData!D14*ActualEmissionsData!E14</f>
        <v>56769.453534511675</v>
      </c>
      <c r="H15" s="2">
        <f>ActualEmissionsData!F14*ActualEmissionsData!G14</f>
        <v>50.818397671619998</v>
      </c>
      <c r="I15" s="2">
        <f>ActualEmissionsData!H14*ActualEmissionsData!I14</f>
        <v>0</v>
      </c>
      <c r="J15" s="2">
        <f>ActualEmissionsData!J14*ActualEmissionsData!K14</f>
        <v>1880.8938381103133</v>
      </c>
      <c r="K15" s="2">
        <f>ActualEmissionsData!L14*ActualEmissionsData!M14</f>
        <v>1464.5897256897997</v>
      </c>
      <c r="L15" s="2">
        <f>ActualEmissionsData!N14*ActualEmissionsData!O14*ActualEmissionsData!P14</f>
        <v>10.296421449600002</v>
      </c>
      <c r="M15" s="2">
        <f>ActualEmissionsData!Q14*ActualEmissionsData!R14*ActualEmissionsData!S14</f>
        <v>0.91592448438857144</v>
      </c>
      <c r="N15" s="2">
        <f>ActualEmissionsData!T14*ActualEmissionsData!U14</f>
        <v>182.96200000000002</v>
      </c>
      <c r="O15" s="2">
        <f>ActualEmissionsData!V14*ActualEmissionsData!W14</f>
        <v>185.005</v>
      </c>
      <c r="P15" s="2">
        <f>ActualEmissionsData!X14*ActualEmissionsData!Y14</f>
        <v>769.87049999999999</v>
      </c>
      <c r="Q15" s="2">
        <f>(ActualEmissionsData!Z14*ActualEmissionsData!AA14)/1000</f>
        <v>110136.11404396225</v>
      </c>
      <c r="R15" s="2">
        <f>ActualEmissionsData!AB14*ActualEmissionsData!AC14</f>
        <v>32744.285195796769</v>
      </c>
      <c r="S15" s="2">
        <f>ActualEmissionsData!AD14*ActualEmissionsData!AE14</f>
        <v>2597.2694317084438</v>
      </c>
      <c r="T15" s="2">
        <f>ActualEmissionsData!AF14*ActualEmissionsData!AG14</f>
        <v>53311.195248513352</v>
      </c>
      <c r="U15" s="2">
        <f>ActualEmissionsData!AH14*ActualEmissionsData!AI14</f>
        <v>0</v>
      </c>
      <c r="V15" s="2">
        <f>ActualEmissionsData!AJ14*ActualEmissionsData!AK14</f>
        <v>0</v>
      </c>
      <c r="W15">
        <f>ActualEmissionsData!AL14*ActualEmissionsData!AM14</f>
        <v>-62.48</v>
      </c>
      <c r="X15" s="6">
        <f>ActualEmissionsData!AN14*ActualEmissionsData!AO14</f>
        <v>1178.613333243024</v>
      </c>
    </row>
    <row r="16" spans="1:24" x14ac:dyDescent="0.2">
      <c r="A16">
        <v>2017</v>
      </c>
      <c r="B16" s="7">
        <f t="shared" si="1"/>
        <v>62431.647422251561</v>
      </c>
      <c r="C16" s="7">
        <f t="shared" si="2"/>
        <v>110501.73971883558</v>
      </c>
      <c r="D16" s="7">
        <f t="shared" si="3"/>
        <v>80063.753087205536</v>
      </c>
      <c r="E16" s="7">
        <f t="shared" si="0"/>
        <v>252997.14022829267</v>
      </c>
      <c r="F16" s="2">
        <f>ActualEmissionsData!B15*ActualEmissionsData!C15</f>
        <v>0</v>
      </c>
      <c r="G16" s="2">
        <f>ActualEmissionsData!D15*ActualEmissionsData!E15</f>
        <v>57999.457309982085</v>
      </c>
      <c r="H16" s="2">
        <f>ActualEmissionsData!F15*ActualEmissionsData!G15</f>
        <v>0</v>
      </c>
      <c r="I16" s="2">
        <f>ActualEmissionsData!H15*ActualEmissionsData!I15</f>
        <v>0</v>
      </c>
      <c r="J16" s="2">
        <f>ActualEmissionsData!J15*ActualEmissionsData!K15</f>
        <v>1943.0333813558825</v>
      </c>
      <c r="K16" s="2">
        <f>ActualEmissionsData!L15*ActualEmissionsData!M15</f>
        <v>1452.870410538</v>
      </c>
      <c r="L16" s="2">
        <f>ActualEmissionsData!N15*ActualEmissionsData!O15*ActualEmissionsData!P15</f>
        <v>6.8932499333028581</v>
      </c>
      <c r="M16" s="2">
        <f>ActualEmissionsData!Q15*ActualEmissionsData!R15*ActualEmissionsData!S15</f>
        <v>1.6744054422857144</v>
      </c>
      <c r="N16" s="2">
        <f>ActualEmissionsData!T15*ActualEmissionsData!U15</f>
        <v>-29.288675000000001</v>
      </c>
      <c r="O16" s="2">
        <f>ActualEmissionsData!V15*ActualEmissionsData!W15</f>
        <v>179.08484000000001</v>
      </c>
      <c r="P16" s="2">
        <f>ActualEmissionsData!X15*ActualEmissionsData!Y15</f>
        <v>877.92250000000001</v>
      </c>
      <c r="Q16" s="2">
        <f>(ActualEmissionsData!Z15*ActualEmissionsData!AA15)/1000</f>
        <v>110501.73971883558</v>
      </c>
      <c r="R16" s="2">
        <f>ActualEmissionsData!AB15*ActualEmissionsData!AC15</f>
        <v>33438.744870294497</v>
      </c>
      <c r="S16" s="2">
        <f>ActualEmissionsData!AD15*ActualEmissionsData!AE15</f>
        <v>3182.4195785155625</v>
      </c>
      <c r="T16" s="2">
        <f>ActualEmissionsData!AF15*ActualEmissionsData!AG15</f>
        <v>31600.962289285711</v>
      </c>
      <c r="U16" s="2">
        <f>ActualEmissionsData!AH15*ActualEmissionsData!AI15</f>
        <v>736.59310783677245</v>
      </c>
      <c r="V16" s="2">
        <f>ActualEmissionsData!AJ15*ActualEmissionsData!AK15/1000</f>
        <v>9945.1565746952019</v>
      </c>
      <c r="W16">
        <f>ActualEmissionsData!AL15*ActualEmissionsData!AM15</f>
        <v>0</v>
      </c>
      <c r="X16" s="6">
        <f>ActualEmissionsData!AN15*ActualEmissionsData!AO15</f>
        <v>1159.876666577793</v>
      </c>
    </row>
    <row r="17" spans="1:24" x14ac:dyDescent="0.2">
      <c r="A17">
        <v>2018</v>
      </c>
      <c r="B17" s="7">
        <f t="shared" si="1"/>
        <v>67158.196530268935</v>
      </c>
      <c r="C17" s="7">
        <f t="shared" si="2"/>
        <v>103256.98178</v>
      </c>
      <c r="D17" s="7">
        <f t="shared" si="3"/>
        <v>86615.673129266055</v>
      </c>
      <c r="E17" s="7">
        <f t="shared" si="0"/>
        <v>257030.85143953498</v>
      </c>
      <c r="F17" s="2">
        <f>ActualEmissionsData!B16*ActualEmissionsData!C16</f>
        <v>0</v>
      </c>
      <c r="G17" s="2">
        <f>ActualEmissionsData!D16*ActualEmissionsData!E16</f>
        <v>62909.45055510501</v>
      </c>
      <c r="H17" s="2">
        <f>ActualEmissionsData!F16*ActualEmissionsData!G16</f>
        <v>0</v>
      </c>
      <c r="I17" s="2">
        <f>ActualEmissionsData!H16*ActualEmissionsData!I16</f>
        <v>0</v>
      </c>
      <c r="J17" s="2">
        <f>ActualEmissionsData!J16*ActualEmissionsData!K16</f>
        <v>2386.357</v>
      </c>
      <c r="K17" s="2">
        <f>ActualEmissionsData!L16*ActualEmissionsData!M16</f>
        <v>1436.8386535979998</v>
      </c>
      <c r="L17" s="2">
        <f>ActualEmissionsData!N16*ActualEmissionsData!O16*ActualEmissionsData!P16</f>
        <v>7.0460391659428581</v>
      </c>
      <c r="M17" s="2">
        <f>ActualEmissionsData!Q16*ActualEmissionsData!R16*ActualEmissionsData!S16</f>
        <v>1.9956024000000001</v>
      </c>
      <c r="N17" s="2">
        <f>ActualEmissionsData!T16*ActualEmissionsData!U16</f>
        <v>63.741600000000005</v>
      </c>
      <c r="O17" s="2">
        <f>ActualEmissionsData!V16*ActualEmissionsData!W16</f>
        <v>106.56288000000001</v>
      </c>
      <c r="P17" s="2">
        <f>ActualEmissionsData!X16*ActualEmissionsData!Y16</f>
        <v>246.20420000000001</v>
      </c>
      <c r="Q17" s="2">
        <f>(ActualEmissionsData!Z16*ActualEmissionsData!AA16)/1000</f>
        <v>103256.98178</v>
      </c>
      <c r="R17" s="2">
        <f>ActualEmissionsData!AB16*ActualEmissionsData!AC16</f>
        <v>38542.041758417734</v>
      </c>
      <c r="S17" s="2">
        <f>ActualEmissionsData!AD16*ActualEmissionsData!AE16</f>
        <v>1798.7589958875321</v>
      </c>
      <c r="T17" s="2">
        <f>ActualEmissionsData!AF16*ActualEmissionsData!AG16</f>
        <v>35020.607326133337</v>
      </c>
      <c r="U17" s="2">
        <f>ActualEmissionsData!AH16*ActualEmissionsData!AI16</f>
        <v>798.95002204983359</v>
      </c>
      <c r="V17" s="2">
        <f>ActualEmissionsData!AJ16*ActualEmissionsData!AK16/1000</f>
        <v>9293.1283601999985</v>
      </c>
      <c r="W17">
        <f>ActualEmissionsData!AL16*ActualEmissionsData!AM16</f>
        <v>0</v>
      </c>
      <c r="X17" s="6">
        <f>ActualEmissionsData!AN16*ActualEmissionsData!AO16</f>
        <v>1162.1866665776161</v>
      </c>
    </row>
    <row r="18" spans="1:24" x14ac:dyDescent="0.2">
      <c r="A18">
        <v>2019</v>
      </c>
      <c r="B18" s="7">
        <f t="shared" si="1"/>
        <v>69276.714386061212</v>
      </c>
      <c r="C18" s="7">
        <f t="shared" si="2"/>
        <v>103872.60551000001</v>
      </c>
      <c r="D18" s="7">
        <f t="shared" si="3"/>
        <v>97115.664173492085</v>
      </c>
      <c r="E18" s="7">
        <f t="shared" si="0"/>
        <v>270264.98406955332</v>
      </c>
      <c r="F18" s="2">
        <f>ActualEmissionsData!B17*ActualEmissionsData!C17</f>
        <v>0</v>
      </c>
      <c r="G18" s="2">
        <f>ActualEmissionsData!D17*ActualEmissionsData!E17</f>
        <v>63989.92738741167</v>
      </c>
      <c r="H18" s="2">
        <f>ActualEmissionsData!F17*ActualEmissionsData!G17</f>
        <v>0</v>
      </c>
      <c r="I18" s="2">
        <f>ActualEmissionsData!H17*ActualEmissionsData!I17</f>
        <v>0</v>
      </c>
      <c r="J18" s="2">
        <f>ActualEmissionsData!J17*ActualEmissionsData!K17</f>
        <v>2477.3416999999999</v>
      </c>
      <c r="K18" s="2">
        <f>ActualEmissionsData!L17*ActualEmissionsData!M17</f>
        <v>1375.7307725609382</v>
      </c>
      <c r="L18" s="2">
        <v>7</v>
      </c>
      <c r="M18" s="2">
        <f>ActualEmissionsData!Q17*ActualEmissionsData!R17*ActualEmissionsData!S17</f>
        <v>2.325846088594286</v>
      </c>
      <c r="N18" s="2">
        <f>ActualEmissionsData!T17*ActualEmissionsData!U17</f>
        <v>132.79500000000002</v>
      </c>
      <c r="O18" s="2">
        <f>ActualEmissionsData!V17*ActualEmissionsData!W17</f>
        <v>853.98307999999997</v>
      </c>
      <c r="P18" s="2">
        <f>ActualEmissionsData!X17*ActualEmissionsData!Y17</f>
        <v>437.61060000000003</v>
      </c>
      <c r="Q18" s="2">
        <f>(ActualEmissionsData!Z17*ActualEmissionsData!AA17)/1000</f>
        <v>103872.60551000001</v>
      </c>
      <c r="R18" s="2">
        <f>ActualEmissionsData!AB17*ActualEmissionsData!AC17</f>
        <v>44745.512618615532</v>
      </c>
      <c r="S18" s="2">
        <f>ActualEmissionsData!AD17*ActualEmissionsData!AE17</f>
        <v>1904.7083017840082</v>
      </c>
      <c r="T18" s="2">
        <f>ActualEmissionsData!AF17*ActualEmissionsData!AG17</f>
        <v>39074.290012800004</v>
      </c>
      <c r="U18" s="2">
        <f>ActualEmissionsData!AH17*ActualEmissionsData!AI17</f>
        <v>812.67207782012827</v>
      </c>
      <c r="V18" s="2">
        <f>ActualEmissionsData!AJ17*ActualEmissionsData!AK17/1000</f>
        <v>9348.5344958999995</v>
      </c>
      <c r="W18">
        <f>ActualEmissionsData!AL17*ActualEmissionsData!AM17</f>
        <v>0</v>
      </c>
      <c r="X18" s="6">
        <f>ActualEmissionsData!AN17*ActualEmissionsData!AO17</f>
        <v>1229.946666572424</v>
      </c>
    </row>
    <row r="19" spans="1:24" x14ac:dyDescent="0.2">
      <c r="A19">
        <v>2020</v>
      </c>
      <c r="B19" s="7">
        <f>F19+G19+H19+I19+J19+K19+L19+M19+N19+O19+P19</f>
        <v>69569.48701734397</v>
      </c>
      <c r="C19" s="7">
        <f>Q19</f>
        <v>87763.859047186925</v>
      </c>
      <c r="D19" s="7">
        <f>R19+S19+T19+U19+V19+W19+X19</f>
        <v>67479.091168164188</v>
      </c>
      <c r="E19" s="7">
        <f>B19+C19+D19</f>
        <v>224812.43723269508</v>
      </c>
      <c r="F19" s="2">
        <f>ActualEmissionsData!B18*ActualEmissionsData!C18</f>
        <v>0</v>
      </c>
      <c r="G19" s="2">
        <f>ActualEmissionsData!D18*ActualEmissionsData!E18</f>
        <v>66902.312239840001</v>
      </c>
      <c r="H19" s="2">
        <f>ActualEmissionsData!F18*ActualEmissionsData!G18</f>
        <v>53.794113934883995</v>
      </c>
      <c r="I19" s="2">
        <f>ActualEmissionsData!H18*ActualEmissionsData!I18</f>
        <v>0</v>
      </c>
      <c r="J19" s="2">
        <f>ActualEmissionsData!J18*ActualEmissionsData!K18</f>
        <v>2311.7660999999998</v>
      </c>
      <c r="K19" s="2">
        <f>ActualEmissionsData!L18*ActualEmissionsData!M18</f>
        <v>926.4547973985824</v>
      </c>
      <c r="L19" s="2">
        <f>ActualEmissionsData!N18*ActualEmissionsData!O18*ActualEmissionsData!P18</f>
        <v>7.0199590710857143</v>
      </c>
      <c r="M19" s="2">
        <f>ActualEmissionsData!Q18*ActualEmissionsData!R18*ActualEmissionsData!S18</f>
        <v>1.6268910994285715</v>
      </c>
      <c r="N19" s="2">
        <f>ActualEmissionsData!T18*ActualEmissionsData!U18</f>
        <v>144.59900000000002</v>
      </c>
      <c r="O19" s="2">
        <f>ActualEmissionsData!V18*ActualEmissionsData!W18</f>
        <v>858.42320000000007</v>
      </c>
      <c r="P19" s="2">
        <f>ActualEmissionsData!X18*ActualEmissionsData!Y18</f>
        <v>-1636.5092840000002</v>
      </c>
      <c r="Q19" s="2">
        <f>(ActualEmissionsData!Z18*ActualEmissionsData!AA18)/1000</f>
        <v>87763.859047186925</v>
      </c>
      <c r="R19" s="2">
        <f>ActualEmissionsData!AB18*ActualEmissionsData!AC18</f>
        <v>30048.206317855682</v>
      </c>
      <c r="S19" s="2">
        <f>ActualEmissionsData!AD18*ActualEmissionsData!AE18</f>
        <v>1262.6352506407675</v>
      </c>
      <c r="T19" s="2">
        <f>ActualEmissionsData!AF18*ActualEmissionsData!AG18</f>
        <v>26397.539586719999</v>
      </c>
      <c r="U19" s="2">
        <f>ActualEmissionsData!AH18*ActualEmissionsData!AI18</f>
        <v>849.65936544591443</v>
      </c>
      <c r="V19" s="2">
        <f>ActualEmissionsData!AJ18*ActualEmissionsData!AK18/1000</f>
        <v>7898.7473142468234</v>
      </c>
      <c r="W19">
        <f>ActualEmissionsData!AL18*ActualEmissionsData!AM18</f>
        <v>0</v>
      </c>
      <c r="X19" s="6">
        <f>ActualEmissionsData!AN18*ActualEmissionsData!AO18</f>
        <v>1022.303333255001</v>
      </c>
    </row>
    <row r="20" spans="1:24" x14ac:dyDescent="0.2">
      <c r="A20">
        <v>2021</v>
      </c>
      <c r="B20" s="7">
        <f>F20+G20+H20+I20+J20+K20+L20+M20+N20+O20+P20</f>
        <v>74540.201750126289</v>
      </c>
      <c r="C20" s="7">
        <f>Q20</f>
        <v>80589.690067785865</v>
      </c>
      <c r="D20" s="7">
        <f>R20+S20+T20+U20+V20+W20+X20</f>
        <v>16361.783935543175</v>
      </c>
      <c r="E20" s="7">
        <f>B20+C20+D20</f>
        <v>171491.67575345535</v>
      </c>
      <c r="F20" s="2">
        <v>0</v>
      </c>
      <c r="G20" s="2">
        <f>ActualEmissionsData!D19*ActualEmissionsData!E19</f>
        <v>69939.777700000006</v>
      </c>
      <c r="H20" s="2">
        <f>ActualEmissionsData!F19*ActualEmissionsData!G19</f>
        <v>112.10206774208399</v>
      </c>
      <c r="I20" s="2">
        <f>ActualEmissionsData!G19*ActualEmissionsData!H19</f>
        <v>0</v>
      </c>
      <c r="J20" s="2">
        <f>ActualEmissionsData!J19*ActualEmissionsData!K19</f>
        <v>1788.5737999999999</v>
      </c>
      <c r="K20" s="2">
        <f>ActualEmissionsData!I19*ActualEmissionsData!J19</f>
        <v>1120.405</v>
      </c>
      <c r="L20" s="2">
        <f>ActualEmissionsData!N19*ActualEmissionsData!O19*ActualEmissionsData!P19</f>
        <v>0</v>
      </c>
      <c r="M20" s="2">
        <f>ActualEmissionsData!Q19*ActualEmissionsData!R19*ActualEmissionsData!S19</f>
        <v>2.4195823841828581</v>
      </c>
      <c r="N20" s="2">
        <f>ActualEmissionsData!T19*ActualEmissionsData!U19</f>
        <v>127.48320000000001</v>
      </c>
      <c r="O20" s="2">
        <f>ActualEmissionsData!V19*ActualEmissionsData!W19</f>
        <v>503.21359999999999</v>
      </c>
      <c r="P20" s="2">
        <f>ActualEmissionsData!X19*ActualEmissionsData!Y19</f>
        <v>946.22680000000003</v>
      </c>
      <c r="Q20" s="2">
        <f>(ActualEmissionsData!Z19*ActualEmissionsData!AA19)/1000</f>
        <v>80589.690067785865</v>
      </c>
      <c r="R20" s="2">
        <f>ActualEmissionsData!AB19*ActualEmissionsData!AC19</f>
        <v>6437.8949144164671</v>
      </c>
      <c r="S20" s="2">
        <f>ActualEmissionsData!AD19*ActualEmissionsData!AE19</f>
        <v>0</v>
      </c>
      <c r="T20" s="2">
        <f>ActualEmissionsData!AF19*ActualEmissionsData!AG19</f>
        <v>664.67916230399999</v>
      </c>
      <c r="U20" s="2">
        <f>ActualEmissionsData!AH19*ActualEmissionsData!AI19</f>
        <v>888.97041947424793</v>
      </c>
      <c r="V20" s="2">
        <f>ActualEmissionsData!AJ19*ActualEmissionsData!AK19/1000</f>
        <v>7253.0721061007271</v>
      </c>
      <c r="W20">
        <f>ActualEmissionsData!AL19*ActualEmissionsData!AM19</f>
        <v>0</v>
      </c>
      <c r="X20" s="6">
        <f>ActualEmissionsData!AN19*ActualEmissionsData!AO19</f>
        <v>1117.1673332477324</v>
      </c>
    </row>
    <row r="21" spans="1:24" x14ac:dyDescent="0.2">
      <c r="A21">
        <v>2022</v>
      </c>
      <c r="B21" s="7">
        <f>F21+G21+H21+I21+J21+K21+L21+M21+N21+O21+P21</f>
        <v>70251.71655991039</v>
      </c>
      <c r="C21" s="7">
        <f>Q21</f>
        <v>85638.740413793101</v>
      </c>
      <c r="D21" s="7">
        <f>R21+S21+T21+U21+V21+W21+X21</f>
        <v>38455.484912439184</v>
      </c>
      <c r="E21" s="7">
        <f>B21+C21+D21</f>
        <v>194345.94188614268</v>
      </c>
      <c r="F21" s="2">
        <v>0</v>
      </c>
      <c r="G21" s="2">
        <f>ActualEmissionsData!D20*ActualEmissionsData!E20</f>
        <v>65971.325500000006</v>
      </c>
      <c r="H21" s="2">
        <f>ActualEmissionsData!F20*ActualEmissionsData!G20</f>
        <v>208.53469999999999</v>
      </c>
      <c r="I21" s="2">
        <f>ActualEmissionsData!G20*ActualEmissionsData!H20</f>
        <v>0</v>
      </c>
      <c r="J21" s="2">
        <f>ActualEmissionsData!J20*ActualEmissionsData!K20</f>
        <v>1875.2763</v>
      </c>
      <c r="K21" s="2">
        <f>ActualEmissionsData!I20*ActualEmissionsData!J20</f>
        <v>1174.7175</v>
      </c>
      <c r="L21" s="2">
        <f>ActualEmissionsData!N20*ActualEmissionsData!O20*ActualEmissionsData!P20</f>
        <v>0</v>
      </c>
      <c r="M21" s="2">
        <f>ActualEmissionsData!Q20*ActualEmissionsData!R20*ActualEmissionsData!S20</f>
        <v>1.9210999104000008</v>
      </c>
      <c r="N21" s="2">
        <f>ActualEmissionsData!T20*ActualEmissionsData!U20</f>
        <v>105.46873999999998</v>
      </c>
      <c r="O21" s="2">
        <f>ActualEmissionsData!V20*ActualEmissionsData!W20</f>
        <v>250.41599999999997</v>
      </c>
      <c r="P21" s="2">
        <f>ActualEmissionsData!X20*ActualEmissionsData!Y20</f>
        <v>664.05672000000004</v>
      </c>
      <c r="Q21" s="2">
        <f>(ActualEmissionsData!Z20*ActualEmissionsData!AA20)/1000</f>
        <v>85638.740413793101</v>
      </c>
      <c r="R21" s="2">
        <f>ActualEmissionsData!AB20*ActualEmissionsData!AC20</f>
        <v>15462.666024824026</v>
      </c>
      <c r="S21" s="2">
        <f>ActualEmissionsData!AD20*ActualEmissionsData!AE20</f>
        <v>0</v>
      </c>
      <c r="T21" s="2">
        <f>ActualEmissionsData!AF20*ActualEmissionsData!AG20</f>
        <v>13503.301358975999</v>
      </c>
      <c r="U21" s="2">
        <f>ActualEmissionsData!AH20*ActualEmissionsData!AI20</f>
        <v>838.5293581367381</v>
      </c>
      <c r="V21" s="2">
        <f>ActualEmissionsData!AJ20*ActualEmissionsData!AK20/1000</f>
        <v>7707.486637241379</v>
      </c>
      <c r="W21">
        <f>ActualEmissionsData!AL20*ActualEmissionsData!AM20</f>
        <v>0</v>
      </c>
      <c r="X21" s="6">
        <f>ActualEmissionsData!AN20*ActualEmissionsData!AO20</f>
        <v>943.50153326103907</v>
      </c>
    </row>
    <row r="22" spans="1:24" x14ac:dyDescent="0.2">
      <c r="A22">
        <v>2023</v>
      </c>
      <c r="B22" s="7"/>
      <c r="C22" s="18"/>
      <c r="D22" s="4"/>
      <c r="K22" s="7"/>
      <c r="R22" s="7"/>
    </row>
    <row r="23" spans="1:24" x14ac:dyDescent="0.2">
      <c r="A23">
        <v>2024</v>
      </c>
      <c r="B23" s="7"/>
      <c r="C23" s="7"/>
      <c r="D23" s="4"/>
      <c r="K23" s="7"/>
      <c r="R23" s="7"/>
    </row>
    <row r="24" spans="1:24" x14ac:dyDescent="0.2">
      <c r="A24">
        <v>2025</v>
      </c>
      <c r="B24" s="7"/>
      <c r="K24" s="7"/>
    </row>
    <row r="25" spans="1:24" x14ac:dyDescent="0.2">
      <c r="A25">
        <v>2026</v>
      </c>
      <c r="B25" s="7"/>
    </row>
    <row r="26" spans="1:24" x14ac:dyDescent="0.2">
      <c r="A26">
        <v>2027</v>
      </c>
      <c r="B26" s="7"/>
    </row>
    <row r="27" spans="1:24" x14ac:dyDescent="0.2">
      <c r="A27">
        <v>2028</v>
      </c>
      <c r="B27" s="7"/>
    </row>
    <row r="28" spans="1:24" x14ac:dyDescent="0.2">
      <c r="A28">
        <v>2029</v>
      </c>
      <c r="B28" s="7"/>
    </row>
    <row r="29" spans="1:24" x14ac:dyDescent="0.2">
      <c r="A29">
        <v>2030</v>
      </c>
    </row>
    <row r="30" spans="1:24" x14ac:dyDescent="0.2">
      <c r="A30">
        <v>2031</v>
      </c>
    </row>
    <row r="31" spans="1:24" x14ac:dyDescent="0.2">
      <c r="A31">
        <v>2032</v>
      </c>
    </row>
    <row r="32" spans="1:24" x14ac:dyDescent="0.2">
      <c r="A32">
        <v>2033</v>
      </c>
    </row>
    <row r="33" spans="1:1" x14ac:dyDescent="0.2">
      <c r="A33">
        <v>2034</v>
      </c>
    </row>
    <row r="34" spans="1:1" x14ac:dyDescent="0.2">
      <c r="A34">
        <v>2035</v>
      </c>
    </row>
    <row r="35" spans="1:1" x14ac:dyDescent="0.2">
      <c r="A35">
        <v>2036</v>
      </c>
    </row>
    <row r="36" spans="1:1" x14ac:dyDescent="0.2">
      <c r="A36">
        <v>2037</v>
      </c>
    </row>
    <row r="37" spans="1:1" x14ac:dyDescent="0.2">
      <c r="A37">
        <v>2038</v>
      </c>
    </row>
    <row r="38" spans="1:1" x14ac:dyDescent="0.2">
      <c r="A38">
        <v>2039</v>
      </c>
    </row>
    <row r="39" spans="1:1" x14ac:dyDescent="0.2">
      <c r="A39">
        <v>2040</v>
      </c>
    </row>
    <row r="40" spans="1:1" x14ac:dyDescent="0.2">
      <c r="A40">
        <v>2041</v>
      </c>
    </row>
    <row r="41" spans="1:1" x14ac:dyDescent="0.2">
      <c r="A41">
        <v>2042</v>
      </c>
    </row>
    <row r="42" spans="1:1" x14ac:dyDescent="0.2">
      <c r="A42">
        <v>2043</v>
      </c>
    </row>
    <row r="43" spans="1:1" x14ac:dyDescent="0.2">
      <c r="A43">
        <v>2044</v>
      </c>
    </row>
    <row r="44" spans="1:1" x14ac:dyDescent="0.2">
      <c r="A44">
        <v>2045</v>
      </c>
    </row>
    <row r="45" spans="1:1" x14ac:dyDescent="0.2">
      <c r="A45">
        <v>2046</v>
      </c>
    </row>
    <row r="46" spans="1:1" x14ac:dyDescent="0.2">
      <c r="A46">
        <v>2047</v>
      </c>
    </row>
    <row r="47" spans="1:1" x14ac:dyDescent="0.2">
      <c r="A47">
        <v>2048</v>
      </c>
    </row>
    <row r="48" spans="1:1" x14ac:dyDescent="0.2">
      <c r="A48">
        <v>2049</v>
      </c>
    </row>
    <row r="49" spans="1:1" x14ac:dyDescent="0.2">
      <c r="A49">
        <v>2050</v>
      </c>
    </row>
  </sheetData>
  <mergeCells count="12">
    <mergeCell ref="M1:S1"/>
    <mergeCell ref="B1:G1"/>
    <mergeCell ref="W3:X3"/>
    <mergeCell ref="R2:X2"/>
    <mergeCell ref="R3:S3"/>
    <mergeCell ref="T1:W1"/>
    <mergeCell ref="B2:E2"/>
    <mergeCell ref="F2:P2"/>
    <mergeCell ref="F3:I3"/>
    <mergeCell ref="J3:K3"/>
    <mergeCell ref="L3:P3"/>
    <mergeCell ref="U3:V3"/>
  </mergeCells>
  <pageMargins left="0.7" right="0.7" top="0.75" bottom="0.75" header="0.3" footer="0.3"/>
  <pageSetup orientation="portrait" horizontalDpi="4294967292" verticalDpi="4294967292"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9" tint="-0.249977111117893"/>
  </sheetPr>
  <dimension ref="A1:AO48"/>
  <sheetViews>
    <sheetView zoomScale="153" zoomScaleNormal="153" workbookViewId="0">
      <pane xSplit="1" ySplit="4" topLeftCell="B5" activePane="bottomRight" state="frozen"/>
      <selection pane="topRight" activeCell="B1" sqref="B1"/>
      <selection pane="bottomLeft" activeCell="A5" sqref="A5"/>
      <selection pane="bottomRight"/>
    </sheetView>
  </sheetViews>
  <sheetFormatPr baseColWidth="10" defaultColWidth="8.83203125" defaultRowHeight="15" x14ac:dyDescent="0.2"/>
  <cols>
    <col min="2" max="2" width="18.5" bestFit="1" customWidth="1"/>
    <col min="3" max="3" width="16.5" bestFit="1" customWidth="1"/>
    <col min="4" max="4" width="21.5" bestFit="1" customWidth="1"/>
    <col min="5" max="5" width="20.5" bestFit="1" customWidth="1"/>
    <col min="6" max="6" width="21.5" bestFit="1" customWidth="1"/>
    <col min="7" max="7" width="19.5" bestFit="1" customWidth="1"/>
    <col min="8" max="8" width="16.83203125" bestFit="1" customWidth="1"/>
    <col min="9" max="9" width="19.5" bestFit="1" customWidth="1"/>
    <col min="10" max="10" width="17.1640625" customWidth="1"/>
    <col min="11" max="11" width="13.5" bestFit="1" customWidth="1"/>
    <col min="12" max="12" width="17" bestFit="1" customWidth="1"/>
    <col min="13" max="13" width="11.83203125" bestFit="1" customWidth="1"/>
    <col min="14" max="14" width="16.83203125" bestFit="1" customWidth="1"/>
    <col min="15" max="15" width="16.83203125" customWidth="1"/>
    <col min="16" max="16" width="11" bestFit="1" customWidth="1"/>
    <col min="17" max="17" width="16.83203125" bestFit="1" customWidth="1"/>
    <col min="18" max="18" width="16.83203125" customWidth="1"/>
    <col min="19" max="19" width="11" bestFit="1" customWidth="1"/>
    <col min="20" max="20" width="16.83203125" bestFit="1" customWidth="1"/>
    <col min="21" max="21" width="11" bestFit="1" customWidth="1"/>
    <col min="22" max="22" width="16.83203125" bestFit="1" customWidth="1"/>
    <col min="23" max="23" width="11" bestFit="1" customWidth="1"/>
    <col min="24" max="24" width="16.83203125" bestFit="1" customWidth="1"/>
    <col min="25" max="25" width="11" bestFit="1" customWidth="1"/>
    <col min="26" max="26" width="24.5" customWidth="1"/>
    <col min="27" max="27" width="21.83203125" customWidth="1"/>
    <col min="28" max="30" width="19.83203125" customWidth="1"/>
    <col min="31" max="31" width="16.5" bestFit="1" customWidth="1"/>
    <col min="32" max="32" width="18.5" customWidth="1"/>
    <col min="33" max="33" width="14.83203125" bestFit="1" customWidth="1"/>
    <col min="34" max="35" width="19.5" customWidth="1"/>
    <col min="36" max="37" width="17" customWidth="1"/>
    <col min="38" max="38" width="23.83203125" bestFit="1" customWidth="1"/>
    <col min="39" max="39" width="17.5" bestFit="1" customWidth="1"/>
    <col min="40" max="40" width="23.83203125" bestFit="1" customWidth="1"/>
    <col min="41" max="41" width="17.5" bestFit="1" customWidth="1"/>
  </cols>
  <sheetData>
    <row r="1" spans="1:41" ht="34" x14ac:dyDescent="0.4">
      <c r="B1" s="85" t="s">
        <v>0</v>
      </c>
      <c r="C1" s="85"/>
      <c r="D1" s="85"/>
      <c r="E1" s="85"/>
      <c r="F1" s="85"/>
      <c r="G1" s="85"/>
      <c r="H1" s="85"/>
      <c r="I1" s="85"/>
      <c r="J1" s="85"/>
      <c r="K1" s="85"/>
      <c r="L1" s="85"/>
      <c r="M1" s="85"/>
      <c r="N1" s="85"/>
      <c r="O1" s="85"/>
      <c r="P1" s="85"/>
      <c r="Q1" s="85"/>
      <c r="R1" s="85"/>
      <c r="S1" s="85"/>
      <c r="T1" s="85"/>
      <c r="U1" s="85"/>
      <c r="V1" s="85"/>
      <c r="W1" s="85"/>
      <c r="X1" s="85"/>
      <c r="Y1" s="85"/>
      <c r="Z1" s="86" t="s">
        <v>1</v>
      </c>
      <c r="AA1" s="86"/>
      <c r="AB1" s="85" t="s">
        <v>2</v>
      </c>
      <c r="AC1" s="85"/>
      <c r="AD1" s="85"/>
      <c r="AE1" s="85"/>
      <c r="AF1" s="85"/>
      <c r="AG1" s="85"/>
      <c r="AH1" s="85"/>
      <c r="AI1" s="85"/>
      <c r="AJ1" s="85"/>
      <c r="AK1" s="85"/>
      <c r="AL1" s="85"/>
      <c r="AM1" s="85"/>
      <c r="AN1" s="85"/>
      <c r="AO1" s="85"/>
    </row>
    <row r="2" spans="1:41" x14ac:dyDescent="0.2">
      <c r="B2" s="84" t="s">
        <v>14</v>
      </c>
      <c r="C2" s="84"/>
      <c r="D2" s="84"/>
      <c r="E2" s="84"/>
      <c r="F2" s="84"/>
      <c r="G2" s="84"/>
      <c r="H2" s="84"/>
      <c r="I2" s="84"/>
      <c r="J2" s="84" t="s">
        <v>15</v>
      </c>
      <c r="K2" s="84"/>
      <c r="L2" s="84"/>
      <c r="M2" s="84"/>
      <c r="N2" s="84" t="s">
        <v>18</v>
      </c>
      <c r="O2" s="84"/>
      <c r="P2" s="84"/>
      <c r="Q2" s="84"/>
      <c r="R2" s="84"/>
      <c r="S2" s="84"/>
      <c r="T2" s="84"/>
      <c r="U2" s="84"/>
      <c r="V2" s="84"/>
      <c r="W2" s="84"/>
      <c r="X2" s="84"/>
      <c r="Y2" s="84"/>
      <c r="AB2" s="89" t="s">
        <v>71</v>
      </c>
      <c r="AC2" s="89"/>
      <c r="AD2" s="89"/>
      <c r="AE2" s="89"/>
      <c r="AF2" s="89"/>
      <c r="AG2" s="89"/>
      <c r="AH2" s="87" t="s">
        <v>116</v>
      </c>
      <c r="AI2" s="90"/>
      <c r="AJ2" s="90"/>
      <c r="AK2" s="90"/>
      <c r="AL2" s="87" t="s">
        <v>64</v>
      </c>
      <c r="AM2" s="87"/>
      <c r="AN2" s="87"/>
      <c r="AO2" s="87"/>
    </row>
    <row r="3" spans="1:41" x14ac:dyDescent="0.2">
      <c r="B3" s="84" t="s">
        <v>4</v>
      </c>
      <c r="C3" s="84"/>
      <c r="D3" s="84" t="s">
        <v>5</v>
      </c>
      <c r="E3" s="84"/>
      <c r="F3" s="84" t="s">
        <v>6</v>
      </c>
      <c r="G3" s="84"/>
      <c r="H3" s="84" t="s">
        <v>7</v>
      </c>
      <c r="I3" s="84"/>
      <c r="J3" s="84" t="s">
        <v>16</v>
      </c>
      <c r="K3" s="84"/>
      <c r="L3" s="84" t="s">
        <v>17</v>
      </c>
      <c r="M3" s="84"/>
      <c r="N3" s="84" t="s">
        <v>19</v>
      </c>
      <c r="O3" s="84"/>
      <c r="P3" s="84"/>
      <c r="Q3" s="84" t="s">
        <v>22</v>
      </c>
      <c r="R3" s="84"/>
      <c r="S3" s="84"/>
      <c r="T3" s="84" t="s">
        <v>23</v>
      </c>
      <c r="U3" s="84"/>
      <c r="V3" s="84" t="s">
        <v>24</v>
      </c>
      <c r="W3" s="84"/>
      <c r="X3" s="84" t="s">
        <v>25</v>
      </c>
      <c r="Y3" s="84"/>
      <c r="Z3" s="84" t="s">
        <v>26</v>
      </c>
      <c r="AA3" s="84"/>
      <c r="AB3" s="88" t="s">
        <v>60</v>
      </c>
      <c r="AC3" s="88"/>
      <c r="AD3" s="88"/>
      <c r="AE3" s="88"/>
      <c r="AF3" s="88" t="s">
        <v>28</v>
      </c>
      <c r="AG3" s="88"/>
      <c r="AH3" s="84" t="s">
        <v>110</v>
      </c>
      <c r="AI3" s="84"/>
      <c r="AJ3" s="84" t="s">
        <v>115</v>
      </c>
      <c r="AK3" s="84"/>
      <c r="AL3" s="84" t="s">
        <v>67</v>
      </c>
      <c r="AM3" s="84"/>
      <c r="AN3" s="84" t="s">
        <v>68</v>
      </c>
      <c r="AO3" s="84"/>
    </row>
    <row r="4" spans="1:41" x14ac:dyDescent="0.2">
      <c r="A4" t="s">
        <v>3</v>
      </c>
      <c r="B4" t="s">
        <v>8</v>
      </c>
      <c r="C4" t="s">
        <v>12</v>
      </c>
      <c r="D4" t="s">
        <v>11</v>
      </c>
      <c r="E4" t="s">
        <v>10</v>
      </c>
      <c r="F4" t="s">
        <v>9</v>
      </c>
      <c r="G4" t="s">
        <v>13</v>
      </c>
      <c r="H4" t="s">
        <v>9</v>
      </c>
      <c r="I4" t="s">
        <v>13</v>
      </c>
      <c r="J4" t="s">
        <v>9</v>
      </c>
      <c r="K4" t="s">
        <v>13</v>
      </c>
      <c r="L4" t="s">
        <v>9</v>
      </c>
      <c r="M4" t="s">
        <v>13</v>
      </c>
      <c r="N4" t="s">
        <v>20</v>
      </c>
      <c r="O4" t="s">
        <v>61</v>
      </c>
      <c r="P4" t="s">
        <v>62</v>
      </c>
      <c r="Q4" t="s">
        <v>20</v>
      </c>
      <c r="R4" t="s">
        <v>61</v>
      </c>
      <c r="S4" t="s">
        <v>62</v>
      </c>
      <c r="T4" t="s">
        <v>20</v>
      </c>
      <c r="U4" t="s">
        <v>21</v>
      </c>
      <c r="V4" t="s">
        <v>20</v>
      </c>
      <c r="W4" t="s">
        <v>21</v>
      </c>
      <c r="X4" t="s">
        <v>20</v>
      </c>
      <c r="Y4" t="s">
        <v>21</v>
      </c>
      <c r="Z4" t="s">
        <v>27</v>
      </c>
      <c r="AA4" t="s">
        <v>53</v>
      </c>
      <c r="AB4" s="11" t="s">
        <v>47</v>
      </c>
      <c r="AC4" s="11" t="s">
        <v>29</v>
      </c>
      <c r="AD4" s="11" t="s">
        <v>48</v>
      </c>
      <c r="AE4" s="11" t="s">
        <v>29</v>
      </c>
      <c r="AF4" s="11" t="s">
        <v>54</v>
      </c>
      <c r="AG4" s="11" t="s">
        <v>55</v>
      </c>
      <c r="AH4" t="s">
        <v>96</v>
      </c>
      <c r="AI4" t="s">
        <v>10</v>
      </c>
      <c r="AJ4" t="s">
        <v>95</v>
      </c>
      <c r="AK4" t="s">
        <v>53</v>
      </c>
      <c r="AL4" t="s">
        <v>65</v>
      </c>
      <c r="AM4" t="s">
        <v>66</v>
      </c>
      <c r="AN4" t="s">
        <v>65</v>
      </c>
      <c r="AO4" t="s">
        <v>66</v>
      </c>
    </row>
    <row r="5" spans="1:41" x14ac:dyDescent="0.2">
      <c r="A5">
        <v>2007</v>
      </c>
      <c r="B5" s="2">
        <v>39073.391319999995</v>
      </c>
      <c r="C5" s="3">
        <v>2.3544960499999998</v>
      </c>
      <c r="D5" s="2">
        <v>87390.196000000011</v>
      </c>
      <c r="E5" s="3">
        <v>5.2943788333333339E-2</v>
      </c>
      <c r="F5" s="2">
        <v>142677.84</v>
      </c>
      <c r="G5" s="3">
        <v>1.0053095484E-2</v>
      </c>
      <c r="H5" s="2">
        <v>0</v>
      </c>
      <c r="I5" s="3">
        <v>5.4563012063492062E-3</v>
      </c>
      <c r="J5" s="2">
        <v>205936.21999999997</v>
      </c>
      <c r="K5" s="3">
        <v>8.9345137664369814E-3</v>
      </c>
      <c r="L5" s="2">
        <v>147728</v>
      </c>
      <c r="M5" s="3">
        <v>1.0082865999999999E-2</v>
      </c>
      <c r="N5" s="2">
        <v>33038</v>
      </c>
      <c r="O5" s="4">
        <v>0.2</v>
      </c>
      <c r="P5" s="3">
        <v>4.012322285714286E-3</v>
      </c>
      <c r="Q5" s="2">
        <v>3040</v>
      </c>
      <c r="R5" s="4">
        <v>0.03</v>
      </c>
      <c r="S5" s="3">
        <v>3.8011474285714287E-3</v>
      </c>
      <c r="T5" s="2">
        <v>23.414999999999999</v>
      </c>
      <c r="U5">
        <v>0.59020000000000006</v>
      </c>
      <c r="V5" s="2">
        <v>4.1500000000000004</v>
      </c>
      <c r="W5" s="5">
        <v>1.48004</v>
      </c>
      <c r="X5" s="2">
        <v>610.08000000000004</v>
      </c>
      <c r="Y5" s="5">
        <v>0.77180000000000004</v>
      </c>
      <c r="Z5" s="2">
        <v>345855576</v>
      </c>
      <c r="AA5" s="3">
        <v>0.48035893788072725</v>
      </c>
      <c r="AB5" s="12">
        <f>CommuterAndAirTravelData!AJ4+CommuterAndAirTravelData!AL4</f>
        <v>3016471.2941176472</v>
      </c>
      <c r="AC5" s="13">
        <f>(8.7170215+(0.001741574*23)+(0.000599446163638452*296))/1000</f>
        <v>8.9345137664369814E-3</v>
      </c>
      <c r="AD5" s="12">
        <f>CommuterAndAirTravelData!AK4+CommuterAndAirTravelData!AM4</f>
        <v>61479.392629395152</v>
      </c>
      <c r="AE5" s="14">
        <v>1.0082865999999999E-2</v>
      </c>
      <c r="AF5" s="12">
        <f>CommuterAndAirTravelData!AS4</f>
        <v>53232837</v>
      </c>
      <c r="AG5" s="15">
        <v>7.7685911591111097E-4</v>
      </c>
      <c r="AH5" s="2">
        <v>0</v>
      </c>
      <c r="AI5" s="3">
        <v>5.2943788333333339E-2</v>
      </c>
      <c r="AJ5" s="61">
        <v>0</v>
      </c>
      <c r="AK5" s="3">
        <v>0.48035893788072725</v>
      </c>
      <c r="AL5" s="2">
        <v>613.9</v>
      </c>
      <c r="AM5" s="3">
        <f>-110/1000</f>
        <v>-0.11</v>
      </c>
      <c r="AN5" s="2">
        <v>7517.2999999999993</v>
      </c>
      <c r="AO5" s="9">
        <f>(11.159420289*23)/1000</f>
        <v>0.256666666647</v>
      </c>
    </row>
    <row r="6" spans="1:41" x14ac:dyDescent="0.2">
      <c r="A6">
        <v>2008</v>
      </c>
      <c r="B6" s="2">
        <v>40892.292350224452</v>
      </c>
      <c r="C6" s="3">
        <v>2.3544960499999998</v>
      </c>
      <c r="D6" s="2">
        <v>75032.892936920063</v>
      </c>
      <c r="E6" s="3">
        <v>5.2943788333333339E-2</v>
      </c>
      <c r="F6" s="2">
        <v>40304.58385384085</v>
      </c>
      <c r="G6" s="3">
        <v>1.0053095484E-2</v>
      </c>
      <c r="H6" s="2">
        <v>0</v>
      </c>
      <c r="I6" s="3">
        <v>5.4563012063492062E-3</v>
      </c>
      <c r="J6" s="2">
        <v>207298.08</v>
      </c>
      <c r="K6" s="3">
        <v>8.9345137664369814E-3</v>
      </c>
      <c r="L6" s="2">
        <v>151497.78</v>
      </c>
      <c r="M6" s="3">
        <v>1.0082865999999999E-2</v>
      </c>
      <c r="N6" s="2">
        <v>17775</v>
      </c>
      <c r="O6" s="4">
        <v>0.22</v>
      </c>
      <c r="P6" s="3">
        <v>4.012322285714286E-3</v>
      </c>
      <c r="Q6" s="2">
        <v>21585</v>
      </c>
      <c r="R6" s="4">
        <v>0.04</v>
      </c>
      <c r="S6" s="3">
        <v>3.8011474285714287E-3</v>
      </c>
      <c r="T6" s="2">
        <v>120</v>
      </c>
      <c r="U6">
        <v>0.59020000000000006</v>
      </c>
      <c r="V6" s="2">
        <v>90</v>
      </c>
      <c r="W6" s="5">
        <v>1.48004</v>
      </c>
      <c r="X6" s="2">
        <v>1170</v>
      </c>
      <c r="Y6" s="5">
        <v>0.77180000000000004</v>
      </c>
      <c r="Z6" s="2">
        <v>342205760.76860547</v>
      </c>
      <c r="AA6" s="3">
        <v>0.489086210608</v>
      </c>
      <c r="AB6" s="12">
        <f>CommuterAndAirTravelData!AJ5+CommuterAndAirTravelData!AL5</f>
        <v>2919489.4852941176</v>
      </c>
      <c r="AC6" s="13">
        <f t="shared" ref="AC6:AC20" si="0">(8.7170215+(0.001741574*23)+(0.000599446163638452*296))/1000</f>
        <v>8.9345137664369814E-3</v>
      </c>
      <c r="AD6" s="12">
        <f>CommuterAndAirTravelData!AK5+CommuterAndAirTravelData!AM5</f>
        <v>81477.158530958957</v>
      </c>
      <c r="AE6" s="14">
        <v>1.0082865999999999E-2</v>
      </c>
      <c r="AF6" s="12">
        <f>CommuterAndAirTravelData!AS5</f>
        <v>48525314.099999994</v>
      </c>
      <c r="AG6" s="15">
        <v>7.7685911591111097E-4</v>
      </c>
      <c r="AH6" s="2">
        <v>0</v>
      </c>
      <c r="AI6" s="3">
        <v>5.2943788333333339E-2</v>
      </c>
      <c r="AJ6" s="61">
        <v>0</v>
      </c>
      <c r="AK6" s="3">
        <v>0.489086210608</v>
      </c>
      <c r="AL6" s="2">
        <v>427.11</v>
      </c>
      <c r="AM6" s="3">
        <f t="shared" ref="AM6:AM20" si="1">-110/1000</f>
        <v>-0.11</v>
      </c>
      <c r="AN6" s="2">
        <v>6990.5417999999991</v>
      </c>
      <c r="AO6" s="9">
        <f t="shared" ref="AO6:AO20" si="2">(11.159420289*23)/1000</f>
        <v>0.256666666647</v>
      </c>
    </row>
    <row r="7" spans="1:41" x14ac:dyDescent="0.2">
      <c r="A7">
        <v>2009</v>
      </c>
      <c r="B7" s="2">
        <v>35798.169867068129</v>
      </c>
      <c r="C7" s="3">
        <v>2.3544960499999998</v>
      </c>
      <c r="D7" s="2">
        <v>318458.80468651716</v>
      </c>
      <c r="E7" s="3">
        <v>5.2943788333333339E-2</v>
      </c>
      <c r="F7" s="2">
        <v>129753.18397876469</v>
      </c>
      <c r="G7" s="3">
        <v>1.0053095484E-2</v>
      </c>
      <c r="H7" s="2">
        <v>0</v>
      </c>
      <c r="I7" s="3">
        <v>5.4563012063492062E-3</v>
      </c>
      <c r="J7" s="2">
        <v>211852.77</v>
      </c>
      <c r="K7" s="3">
        <v>8.9345137664369814E-3</v>
      </c>
      <c r="L7" s="2">
        <v>155152.01999999999</v>
      </c>
      <c r="M7" s="3">
        <v>1.0082865999999999E-2</v>
      </c>
      <c r="N7" s="2">
        <v>14300</v>
      </c>
      <c r="O7" s="4">
        <v>0.22</v>
      </c>
      <c r="P7" s="3">
        <v>4.012322285714286E-3</v>
      </c>
      <c r="Q7" s="2">
        <v>8185</v>
      </c>
      <c r="R7" s="4">
        <v>7.0000000000000007E-2</v>
      </c>
      <c r="S7" s="3">
        <v>3.8011474285714287E-3</v>
      </c>
      <c r="T7" s="2">
        <v>26</v>
      </c>
      <c r="U7">
        <v>0.59020000000000006</v>
      </c>
      <c r="V7" s="2">
        <v>54</v>
      </c>
      <c r="W7" s="5">
        <v>1.48004</v>
      </c>
      <c r="X7" s="2">
        <v>1663</v>
      </c>
      <c r="Y7" s="5">
        <v>0.77180000000000004</v>
      </c>
      <c r="Z7" s="2">
        <v>337657898.11248291</v>
      </c>
      <c r="AA7" s="3">
        <v>0.40808621060800004</v>
      </c>
      <c r="AB7" s="12">
        <f>CommuterAndAirTravelData!AJ6+CommuterAndAirTravelData!AL6</f>
        <v>3236668.3022624431</v>
      </c>
      <c r="AC7" s="13">
        <f t="shared" si="0"/>
        <v>8.9345137664369814E-3</v>
      </c>
      <c r="AD7" s="12">
        <f>CommuterAndAirTravelData!AK6+CommuterAndAirTravelData!AM6</f>
        <v>153197.10484918067</v>
      </c>
      <c r="AE7" s="14">
        <v>1.0082865999999999E-2</v>
      </c>
      <c r="AF7" s="12">
        <f>CommuterAndAirTravelData!AS6</f>
        <v>58048363.199999996</v>
      </c>
      <c r="AG7" s="15">
        <v>7.7685911591111097E-4</v>
      </c>
      <c r="AH7" s="2">
        <v>0</v>
      </c>
      <c r="AI7" s="3">
        <v>5.2943788333333339E-2</v>
      </c>
      <c r="AJ7" s="61">
        <v>0</v>
      </c>
      <c r="AK7" s="3">
        <v>0.40808621060800004</v>
      </c>
      <c r="AL7" s="2">
        <v>434.7</v>
      </c>
      <c r="AM7" s="3">
        <f t="shared" si="1"/>
        <v>-0.11</v>
      </c>
      <c r="AN7" s="2">
        <v>6812.590799999999</v>
      </c>
      <c r="AO7" s="9">
        <f t="shared" si="2"/>
        <v>0.256666666647</v>
      </c>
    </row>
    <row r="8" spans="1:41" x14ac:dyDescent="0.2">
      <c r="A8">
        <v>2010</v>
      </c>
      <c r="B8" s="2">
        <v>24417</v>
      </c>
      <c r="C8" s="3">
        <v>2.3544960499999998</v>
      </c>
      <c r="D8" s="2">
        <v>569103</v>
      </c>
      <c r="E8" s="3">
        <v>5.2943788333333339E-2</v>
      </c>
      <c r="F8" s="2">
        <v>117317.2</v>
      </c>
      <c r="G8" s="3">
        <v>1.0053095484E-2</v>
      </c>
      <c r="H8" s="2">
        <v>79768.194330089042</v>
      </c>
      <c r="I8" s="3">
        <v>5.4563012063492062E-3</v>
      </c>
      <c r="J8" s="2">
        <v>206360.88</v>
      </c>
      <c r="K8" s="3">
        <v>8.9345137664369814E-3</v>
      </c>
      <c r="L8" s="2">
        <v>144505.02000000002</v>
      </c>
      <c r="M8" s="3">
        <v>1.0082865999999999E-2</v>
      </c>
      <c r="N8" s="2">
        <v>9221</v>
      </c>
      <c r="O8" s="4">
        <v>0.21</v>
      </c>
      <c r="P8" s="3">
        <v>4.012322285714286E-3</v>
      </c>
      <c r="Q8" s="2">
        <v>9960</v>
      </c>
      <c r="R8" s="4">
        <v>0.08</v>
      </c>
      <c r="S8" s="3">
        <v>3.8011474285714287E-3</v>
      </c>
      <c r="T8" s="2">
        <v>450</v>
      </c>
      <c r="U8">
        <v>0.59020000000000006</v>
      </c>
      <c r="V8" s="2"/>
      <c r="W8" s="5">
        <v>1.48004</v>
      </c>
      <c r="X8" s="2">
        <v>2250</v>
      </c>
      <c r="Y8" s="5">
        <v>0.77180000000000004</v>
      </c>
      <c r="Z8" s="2">
        <v>327925051.9025377</v>
      </c>
      <c r="AA8" s="3">
        <v>0.426086210608</v>
      </c>
      <c r="AB8" s="12">
        <f>CommuterAndAirTravelData!AJ7+CommuterAndAirTravelData!AL7</f>
        <v>3045152.7763574654</v>
      </c>
      <c r="AC8" s="13">
        <f t="shared" si="0"/>
        <v>8.9345137664369814E-3</v>
      </c>
      <c r="AD8" s="12">
        <f>CommuterAndAirTravelData!AK7+CommuterAndAirTravelData!AM7</f>
        <v>144132.34400179875</v>
      </c>
      <c r="AE8" s="14">
        <v>1.0082865999999999E-2</v>
      </c>
      <c r="AF8" s="12">
        <f>CommuterAndAirTravelData!AS7</f>
        <v>56370377.907691978</v>
      </c>
      <c r="AG8" s="15">
        <v>7.7685911591111097E-4</v>
      </c>
      <c r="AH8" s="2">
        <v>0</v>
      </c>
      <c r="AI8" s="3">
        <v>5.2943788333333339E-2</v>
      </c>
      <c r="AJ8" s="61">
        <v>0</v>
      </c>
      <c r="AK8" s="3">
        <v>0.426086210608</v>
      </c>
      <c r="AL8" s="2">
        <v>508.20000000000005</v>
      </c>
      <c r="AM8" s="3">
        <f t="shared" si="1"/>
        <v>-0.11</v>
      </c>
      <c r="AN8" s="2">
        <v>4242.13</v>
      </c>
      <c r="AO8" s="9">
        <f t="shared" si="2"/>
        <v>0.256666666647</v>
      </c>
    </row>
    <row r="9" spans="1:41" x14ac:dyDescent="0.2">
      <c r="A9">
        <v>2011</v>
      </c>
      <c r="B9" s="2">
        <v>10126</v>
      </c>
      <c r="C9" s="3">
        <v>2.3544960499999998</v>
      </c>
      <c r="D9" s="2">
        <v>888320</v>
      </c>
      <c r="E9" s="3">
        <v>5.2943788333333339E-2</v>
      </c>
      <c r="F9" s="2">
        <v>184490</v>
      </c>
      <c r="G9" s="3">
        <v>1.0053095484E-2</v>
      </c>
      <c r="H9" s="2">
        <v>6780.3038950545388</v>
      </c>
      <c r="I9" s="3">
        <v>5.4563012063492062E-3</v>
      </c>
      <c r="J9" s="2">
        <v>207451.23762000003</v>
      </c>
      <c r="K9" s="3">
        <v>8.9345137664369814E-3</v>
      </c>
      <c r="L9" s="2">
        <v>139411.38684000002</v>
      </c>
      <c r="M9" s="3">
        <v>1.0082865999999999E-2</v>
      </c>
      <c r="N9" s="2">
        <v>9221</v>
      </c>
      <c r="O9" s="4">
        <v>0.21</v>
      </c>
      <c r="P9" s="3">
        <v>4.012322285714286E-3</v>
      </c>
      <c r="Q9" s="2">
        <v>9960</v>
      </c>
      <c r="R9" s="4">
        <v>0.08</v>
      </c>
      <c r="S9" s="3">
        <v>3.8011474285714287E-3</v>
      </c>
      <c r="T9" s="2">
        <v>240</v>
      </c>
      <c r="U9">
        <v>0.59020000000000006</v>
      </c>
      <c r="V9" s="2"/>
      <c r="W9" s="5">
        <v>1.48004</v>
      </c>
      <c r="X9" s="2">
        <v>1496</v>
      </c>
      <c r="Y9" s="5">
        <v>0.77180000000000004</v>
      </c>
      <c r="Z9" s="2">
        <v>339486442.6834802</v>
      </c>
      <c r="AA9" s="3">
        <v>0.426086210608</v>
      </c>
      <c r="AB9" s="12">
        <f>CommuterAndAirTravelData!AJ8+CommuterAndAirTravelData!AL8</f>
        <v>3131681.4479638007</v>
      </c>
      <c r="AC9" s="13">
        <f t="shared" si="0"/>
        <v>8.9345137664369814E-3</v>
      </c>
      <c r="AD9" s="12">
        <f>CommuterAndAirTravelData!AK8+CommuterAndAirTravelData!AM8</f>
        <v>68866.531687517636</v>
      </c>
      <c r="AE9" s="14">
        <v>1.0082865999999999E-2</v>
      </c>
      <c r="AF9" s="12">
        <f>CommuterAndAirTravelData!AS8</f>
        <v>63885156.240384236</v>
      </c>
      <c r="AG9" s="15">
        <v>7.7685911591111097E-4</v>
      </c>
      <c r="AH9" s="2">
        <v>0</v>
      </c>
      <c r="AI9" s="3">
        <v>5.2943788333333339E-2</v>
      </c>
      <c r="AJ9" s="61">
        <v>0</v>
      </c>
      <c r="AK9" s="3">
        <v>0.426086210608</v>
      </c>
      <c r="AL9" s="2">
        <v>574.20000000000005</v>
      </c>
      <c r="AM9" s="3">
        <f t="shared" si="1"/>
        <v>-0.11</v>
      </c>
      <c r="AN9" s="2">
        <v>3943.35</v>
      </c>
      <c r="AO9" s="9">
        <f t="shared" si="2"/>
        <v>0.256666666647</v>
      </c>
    </row>
    <row r="10" spans="1:41" x14ac:dyDescent="0.2">
      <c r="A10">
        <v>2012</v>
      </c>
      <c r="B10" s="2">
        <v>0</v>
      </c>
      <c r="C10" s="3">
        <v>2.3544960499999998</v>
      </c>
      <c r="D10" s="2">
        <v>1099836.7338667463</v>
      </c>
      <c r="E10" s="3">
        <v>5.2943788333333339E-2</v>
      </c>
      <c r="F10" s="2">
        <v>50775.648346790804</v>
      </c>
      <c r="G10" s="3">
        <v>1.0053095484E-2</v>
      </c>
      <c r="H10" s="2">
        <v>0</v>
      </c>
      <c r="I10" s="3">
        <v>5.4563012063492062E-3</v>
      </c>
      <c r="J10" s="2">
        <v>171429.05000000002</v>
      </c>
      <c r="K10" s="3">
        <v>8.9345137664369814E-3</v>
      </c>
      <c r="L10" s="2">
        <v>132628.6</v>
      </c>
      <c r="M10" s="3">
        <v>1.0082865999999999E-2</v>
      </c>
      <c r="N10" s="2">
        <v>15100</v>
      </c>
      <c r="O10" s="4">
        <v>0.16</v>
      </c>
      <c r="P10" s="3">
        <v>4.012322285714286E-3</v>
      </c>
      <c r="Q10" s="2">
        <v>2060</v>
      </c>
      <c r="R10" s="4">
        <v>2.3333333333333334E-2</v>
      </c>
      <c r="S10" s="3">
        <v>3.8011474285714287E-3</v>
      </c>
      <c r="T10" s="2">
        <v>120</v>
      </c>
      <c r="U10">
        <v>0.59020000000000006</v>
      </c>
      <c r="V10" s="2">
        <v>96</v>
      </c>
      <c r="W10" s="5">
        <v>1.48004</v>
      </c>
      <c r="X10" s="2">
        <v>3510</v>
      </c>
      <c r="Y10" s="5">
        <v>0.77180000000000004</v>
      </c>
      <c r="Z10" s="2">
        <v>335724715.70682794</v>
      </c>
      <c r="AA10" s="3">
        <v>0.421086210608</v>
      </c>
      <c r="AB10" s="12">
        <f>CommuterAndAirTravelData!AJ9+CommuterAndAirTravelData!AL9</f>
        <v>3242301.357466063</v>
      </c>
      <c r="AC10" s="13">
        <f t="shared" si="0"/>
        <v>8.9345137664369814E-3</v>
      </c>
      <c r="AD10" s="12">
        <f>CommuterAndAirTravelData!AK9+CommuterAndAirTravelData!AM9</f>
        <v>139416.42378985984</v>
      </c>
      <c r="AE10" s="14">
        <v>1.0082865999999999E-2</v>
      </c>
      <c r="AF10" s="12">
        <f>CommuterAndAirTravelData!AS9</f>
        <v>61466734.668332309</v>
      </c>
      <c r="AG10" s="15">
        <v>7.7685911591111097E-4</v>
      </c>
      <c r="AH10" s="2">
        <v>0</v>
      </c>
      <c r="AI10" s="3">
        <v>5.2943788333333339E-2</v>
      </c>
      <c r="AJ10" s="61">
        <v>0</v>
      </c>
      <c r="AK10" s="3">
        <v>0.421086210608</v>
      </c>
      <c r="AL10" s="2">
        <v>576.55000000000007</v>
      </c>
      <c r="AM10" s="3">
        <f t="shared" si="1"/>
        <v>-0.11</v>
      </c>
      <c r="AN10" s="2">
        <v>5118.9799999999996</v>
      </c>
      <c r="AO10" s="9">
        <f t="shared" si="2"/>
        <v>0.256666666647</v>
      </c>
    </row>
    <row r="11" spans="1:41" x14ac:dyDescent="0.2">
      <c r="A11">
        <v>2013</v>
      </c>
      <c r="B11" s="2">
        <v>0</v>
      </c>
      <c r="C11" s="3">
        <v>2.3544960499999998</v>
      </c>
      <c r="D11" s="2">
        <v>1183723</v>
      </c>
      <c r="E11" s="3">
        <v>5.2943788333333339E-2</v>
      </c>
      <c r="F11" s="2">
        <v>22925</v>
      </c>
      <c r="G11" s="3">
        <v>1.0053095484E-2</v>
      </c>
      <c r="H11" s="2">
        <v>0</v>
      </c>
      <c r="I11" s="3">
        <v>5.4563012063492062E-3</v>
      </c>
      <c r="J11" s="2">
        <v>173627</v>
      </c>
      <c r="K11" s="3">
        <v>8.9345137664369814E-3</v>
      </c>
      <c r="L11" s="2">
        <v>143960</v>
      </c>
      <c r="M11" s="3">
        <v>1.0082865999999999E-2</v>
      </c>
      <c r="N11" s="2">
        <v>17028</v>
      </c>
      <c r="O11" s="4">
        <v>0.18</v>
      </c>
      <c r="P11" s="3">
        <v>4.012322285714286E-3</v>
      </c>
      <c r="Q11" s="2">
        <v>6700</v>
      </c>
      <c r="R11" s="4">
        <v>0.03</v>
      </c>
      <c r="S11" s="3">
        <v>3.8011474285714287E-3</v>
      </c>
      <c r="T11" s="2">
        <v>73.8</v>
      </c>
      <c r="U11">
        <v>0.59020000000000006</v>
      </c>
      <c r="V11" s="2">
        <v>26.25</v>
      </c>
      <c r="W11" s="5">
        <v>1.48004</v>
      </c>
      <c r="X11" s="2">
        <v>2346</v>
      </c>
      <c r="Y11" s="5">
        <v>0.77180000000000004</v>
      </c>
      <c r="Z11" s="2">
        <v>320061896</v>
      </c>
      <c r="AA11" s="3">
        <v>0.38008621060800002</v>
      </c>
      <c r="AB11" s="12">
        <f>CommuterAndAirTravelData!AJ10+CommuterAndAirTravelData!AL10</f>
        <v>3656525.1692307694</v>
      </c>
      <c r="AC11" s="13">
        <f t="shared" si="0"/>
        <v>8.9345137664369814E-3</v>
      </c>
      <c r="AD11" s="12">
        <f>CommuterAndAirTravelData!AK10+CommuterAndAirTravelData!AM10</f>
        <v>207592.59923782147</v>
      </c>
      <c r="AE11" s="14">
        <v>1.0082865999999999E-2</v>
      </c>
      <c r="AF11" s="12">
        <f>CommuterAndAirTravelData!AS10</f>
        <v>73102010.592592672</v>
      </c>
      <c r="AG11" s="15">
        <v>7.7685911591111097E-4</v>
      </c>
      <c r="AH11" s="2">
        <v>0</v>
      </c>
      <c r="AI11" s="3">
        <v>5.2943788333333339E-2</v>
      </c>
      <c r="AJ11" s="61">
        <v>0</v>
      </c>
      <c r="AK11" s="3">
        <v>0.38008621060800002</v>
      </c>
      <c r="AL11" s="2">
        <v>577</v>
      </c>
      <c r="AM11" s="3">
        <f t="shared" si="1"/>
        <v>-0.11</v>
      </c>
      <c r="AN11" s="2">
        <v>4742.66</v>
      </c>
      <c r="AO11" s="9">
        <f t="shared" si="2"/>
        <v>0.256666666647</v>
      </c>
    </row>
    <row r="12" spans="1:41" x14ac:dyDescent="0.2">
      <c r="A12">
        <v>2014</v>
      </c>
      <c r="B12" s="2">
        <v>0</v>
      </c>
      <c r="C12" s="3">
        <v>2.3544960499999998</v>
      </c>
      <c r="D12" s="2">
        <v>1125603.7445415673</v>
      </c>
      <c r="E12" s="3">
        <v>5.2943788333333339E-2</v>
      </c>
      <c r="F12" s="2">
        <v>314840.59113020007</v>
      </c>
      <c r="G12" s="3">
        <v>1.0053095484E-2</v>
      </c>
      <c r="H12" s="2">
        <v>0</v>
      </c>
      <c r="I12" s="3">
        <v>5.4563012063492062E-3</v>
      </c>
      <c r="J12" s="2">
        <v>166439.45813027443</v>
      </c>
      <c r="K12" s="3">
        <v>8.9345137664369814E-3</v>
      </c>
      <c r="L12" s="2">
        <v>150274.59700406261</v>
      </c>
      <c r="M12" s="3">
        <v>1.0082865999999999E-2</v>
      </c>
      <c r="N12" s="2">
        <v>17100</v>
      </c>
      <c r="O12" s="4">
        <v>0.18</v>
      </c>
      <c r="P12" s="3">
        <v>4.012322285714286E-3</v>
      </c>
      <c r="Q12" s="2">
        <v>2885</v>
      </c>
      <c r="R12" s="4">
        <v>0.03</v>
      </c>
      <c r="S12" s="3">
        <v>3.8011474285714287E-3</v>
      </c>
      <c r="T12" s="2">
        <v>273.39999999999998</v>
      </c>
      <c r="U12">
        <v>0.59020000000000006</v>
      </c>
      <c r="V12" s="2">
        <v>22.9</v>
      </c>
      <c r="W12" s="5">
        <v>1.48004</v>
      </c>
      <c r="X12" s="2">
        <v>856.13</v>
      </c>
      <c r="Y12" s="5">
        <v>0.77180000000000004</v>
      </c>
      <c r="Z12" s="2">
        <v>322637194</v>
      </c>
      <c r="AA12" s="3">
        <v>0.36093466424682402</v>
      </c>
      <c r="AB12" s="12">
        <f>CommuterAndAirTravelData!AJ11+CommuterAndAirTravelData!AL11</f>
        <v>3482324.1077253222</v>
      </c>
      <c r="AC12" s="13">
        <f t="shared" si="0"/>
        <v>8.9345137664369814E-3</v>
      </c>
      <c r="AD12" s="12">
        <f>CommuterAndAirTravelData!AK11+CommuterAndAirTravelData!AM11</f>
        <v>236896.03903617227</v>
      </c>
      <c r="AE12" s="14">
        <v>1.0082865999999999E-2</v>
      </c>
      <c r="AF12" s="12">
        <f>CommuterAndAirTravelData!AS11</f>
        <v>64657530.925925925</v>
      </c>
      <c r="AG12" s="15">
        <v>7.7685911591111097E-4</v>
      </c>
      <c r="AH12" s="2">
        <v>0</v>
      </c>
      <c r="AI12" s="3">
        <v>5.2943788333333339E-2</v>
      </c>
      <c r="AJ12" s="61">
        <v>0</v>
      </c>
      <c r="AK12" s="3">
        <v>0.36093466424682402</v>
      </c>
      <c r="AL12" s="2">
        <v>567.68000000000006</v>
      </c>
      <c r="AM12" s="3">
        <f t="shared" si="1"/>
        <v>-0.11</v>
      </c>
      <c r="AN12" s="2">
        <v>4620.3599999999997</v>
      </c>
      <c r="AO12" s="9">
        <f t="shared" si="2"/>
        <v>0.256666666647</v>
      </c>
    </row>
    <row r="13" spans="1:41" x14ac:dyDescent="0.2">
      <c r="A13">
        <v>2015</v>
      </c>
      <c r="B13" s="2">
        <v>0</v>
      </c>
      <c r="C13" s="3">
        <v>2.3544960499999998</v>
      </c>
      <c r="D13" s="2">
        <v>1139665</v>
      </c>
      <c r="E13" s="3">
        <v>5.2943788333333339E-2</v>
      </c>
      <c r="F13" s="2">
        <v>28938</v>
      </c>
      <c r="G13" s="3">
        <v>1.0053095484E-2</v>
      </c>
      <c r="H13" s="2">
        <v>0</v>
      </c>
      <c r="I13" s="3">
        <v>5.4563012063492062E-3</v>
      </c>
      <c r="J13" s="2">
        <v>190787</v>
      </c>
      <c r="K13" s="3">
        <v>8.9345137664369814E-3</v>
      </c>
      <c r="L13" s="2">
        <v>134357</v>
      </c>
      <c r="M13" s="3">
        <v>1.0082865999999999E-2</v>
      </c>
      <c r="N13" s="2">
        <v>17100</v>
      </c>
      <c r="O13" s="4">
        <v>0.18</v>
      </c>
      <c r="P13" s="3">
        <v>4.012322285714286E-3</v>
      </c>
      <c r="Q13" s="2">
        <v>2885</v>
      </c>
      <c r="R13" s="4">
        <v>0.03</v>
      </c>
      <c r="S13" s="3">
        <v>3.8011474285714287E-3</v>
      </c>
      <c r="T13" s="2">
        <v>36.5</v>
      </c>
      <c r="U13">
        <v>0.59020000000000006</v>
      </c>
      <c r="V13" s="2">
        <v>48</v>
      </c>
      <c r="W13" s="5">
        <v>1.48004</v>
      </c>
      <c r="X13" s="2">
        <v>1224</v>
      </c>
      <c r="Y13" s="5">
        <v>0.77180000000000004</v>
      </c>
      <c r="Z13" s="2">
        <v>317305951</v>
      </c>
      <c r="AA13" s="3">
        <v>0.36709999999999998</v>
      </c>
      <c r="AB13" s="12">
        <f>CommuterAndAirTravelData!AJ12+CommuterAndAirTravelData!AL12</f>
        <v>3859735.1410256419</v>
      </c>
      <c r="AC13" s="13">
        <f t="shared" si="0"/>
        <v>8.9345137664369814E-3</v>
      </c>
      <c r="AD13" s="12">
        <f>CommuterAndAirTravelData!AK12+CommuterAndAirTravelData!AM12</f>
        <v>165580.22283841696</v>
      </c>
      <c r="AE13" s="14">
        <v>1.0082865999999999E-2</v>
      </c>
      <c r="AF13" s="12">
        <f>CommuterAndAirTravelData!AS12</f>
        <v>72264925.666666657</v>
      </c>
      <c r="AG13" s="15">
        <v>7.7685911591111097E-4</v>
      </c>
      <c r="AH13" s="2">
        <v>0</v>
      </c>
      <c r="AI13" s="3">
        <v>5.2943788333333339E-2</v>
      </c>
      <c r="AJ13" s="61">
        <v>0</v>
      </c>
      <c r="AK13" s="3">
        <v>0.36709999999999998</v>
      </c>
      <c r="AL13" s="19">
        <v>568</v>
      </c>
      <c r="AM13" s="3">
        <f t="shared" si="1"/>
        <v>-0.11</v>
      </c>
      <c r="AN13" s="2">
        <v>4445.21</v>
      </c>
      <c r="AO13" s="9">
        <f t="shared" si="2"/>
        <v>0.256666666647</v>
      </c>
    </row>
    <row r="14" spans="1:41" x14ac:dyDescent="0.2">
      <c r="A14">
        <v>2016</v>
      </c>
      <c r="B14" s="2">
        <v>0</v>
      </c>
      <c r="C14" s="3">
        <v>2.3544960499999998</v>
      </c>
      <c r="D14" s="2">
        <v>1072259</v>
      </c>
      <c r="E14" s="3">
        <v>5.2943788333333339E-2</v>
      </c>
      <c r="F14" s="2">
        <v>5055</v>
      </c>
      <c r="G14" s="3">
        <v>1.0053095484E-2</v>
      </c>
      <c r="H14" s="2">
        <v>0</v>
      </c>
      <c r="I14" s="3">
        <v>5.4563012063492062E-3</v>
      </c>
      <c r="J14" s="2">
        <v>210520</v>
      </c>
      <c r="K14" s="3">
        <v>8.9345137664369814E-3</v>
      </c>
      <c r="L14" s="2">
        <v>145255.29999999999</v>
      </c>
      <c r="M14" s="3">
        <v>1.0082865999999999E-2</v>
      </c>
      <c r="N14" s="19">
        <v>12831</v>
      </c>
      <c r="O14" s="20">
        <v>0.2</v>
      </c>
      <c r="P14" s="3">
        <v>4.012322285714286E-3</v>
      </c>
      <c r="Q14" s="19">
        <v>8032</v>
      </c>
      <c r="R14" s="20">
        <v>0.03</v>
      </c>
      <c r="S14" s="3">
        <v>3.8011474285714287E-3</v>
      </c>
      <c r="T14" s="2">
        <v>310</v>
      </c>
      <c r="U14">
        <v>0.59020000000000006</v>
      </c>
      <c r="V14" s="2">
        <v>125</v>
      </c>
      <c r="W14" s="5">
        <v>1.48004</v>
      </c>
      <c r="X14" s="2">
        <v>997.5</v>
      </c>
      <c r="Y14" s="5">
        <v>0.77180000000000004</v>
      </c>
      <c r="Z14" s="2">
        <v>324349826</v>
      </c>
      <c r="AA14" s="3">
        <v>0.33955965200351995</v>
      </c>
      <c r="AB14" s="12">
        <f>CommuterAndAirTravelData!AJ13+CommuterAndAirTravelData!AL13</f>
        <v>3664920.7838038788</v>
      </c>
      <c r="AC14" s="13">
        <f t="shared" si="0"/>
        <v>8.9345137664369814E-3</v>
      </c>
      <c r="AD14" s="12">
        <f>CommuterAndAirTravelData!AK13+CommuterAndAirTravelData!AM13</f>
        <v>257592.37816990167</v>
      </c>
      <c r="AE14" s="14">
        <v>1.0082865999999999E-2</v>
      </c>
      <c r="AF14" s="12">
        <f>CommuterAndAirTravelData!AS13</f>
        <v>68624019.666666657</v>
      </c>
      <c r="AG14" s="15">
        <v>7.7685911591111097E-4</v>
      </c>
      <c r="AH14" s="2">
        <v>0</v>
      </c>
      <c r="AI14" s="3">
        <v>5.2943788333333339E-2</v>
      </c>
      <c r="AJ14" s="61">
        <v>0</v>
      </c>
      <c r="AK14" s="3">
        <v>0.33955965200351995</v>
      </c>
      <c r="AL14" s="19">
        <v>568</v>
      </c>
      <c r="AM14" s="3">
        <f t="shared" si="1"/>
        <v>-0.11</v>
      </c>
      <c r="AN14" s="21">
        <v>4592</v>
      </c>
      <c r="AO14" s="9">
        <f t="shared" si="2"/>
        <v>0.256666666647</v>
      </c>
    </row>
    <row r="15" spans="1:41" x14ac:dyDescent="0.2">
      <c r="A15">
        <v>2017</v>
      </c>
      <c r="B15" s="2">
        <v>0</v>
      </c>
      <c r="C15" s="3">
        <v>2.3544960499999998</v>
      </c>
      <c r="D15" s="2">
        <v>1095491.2584800001</v>
      </c>
      <c r="E15" s="3">
        <v>5.2943788333333339E-2</v>
      </c>
      <c r="F15" s="23">
        <f>H13</f>
        <v>0</v>
      </c>
      <c r="G15" s="3">
        <v>1.0053095484E-2</v>
      </c>
      <c r="H15" s="2">
        <v>0</v>
      </c>
      <c r="I15" s="3">
        <v>5.4563012063492062E-3</v>
      </c>
      <c r="J15" s="24">
        <v>217475</v>
      </c>
      <c r="K15" s="3">
        <v>8.9345137664369814E-3</v>
      </c>
      <c r="L15" s="2">
        <v>144093</v>
      </c>
      <c r="M15" s="3">
        <v>1.0082865999999999E-2</v>
      </c>
      <c r="N15" s="24">
        <v>10106</v>
      </c>
      <c r="O15" s="17">
        <v>0.17</v>
      </c>
      <c r="P15" s="3">
        <v>4.012322285714286E-3</v>
      </c>
      <c r="Q15" s="19">
        <v>8810</v>
      </c>
      <c r="R15" s="20">
        <v>0.05</v>
      </c>
      <c r="S15" s="3">
        <v>3.8011474285714287E-3</v>
      </c>
      <c r="T15" s="2">
        <v>-49.625</v>
      </c>
      <c r="U15">
        <v>0.59020000000000006</v>
      </c>
      <c r="V15" s="2">
        <v>121</v>
      </c>
      <c r="W15" s="5">
        <v>1.48004</v>
      </c>
      <c r="X15" s="2">
        <v>1137.5</v>
      </c>
      <c r="Y15" s="5">
        <v>0.77180000000000004</v>
      </c>
      <c r="Z15" s="7">
        <v>333842113.95418602</v>
      </c>
      <c r="AA15" s="3">
        <v>0.33100000000000002</v>
      </c>
      <c r="AB15" s="12">
        <f>CommuterAndAirTravelData!AJ14+CommuterAndAirTravelData!AL14</f>
        <v>3742648.5362761514</v>
      </c>
      <c r="AC15" s="13">
        <f t="shared" si="0"/>
        <v>8.9345137664369814E-3</v>
      </c>
      <c r="AD15" s="12">
        <f>CommuterAndAirTravelData!AK14+CommuterAndAirTravelData!AM14</f>
        <v>315626.48740105866</v>
      </c>
      <c r="AE15" s="14">
        <v>1.0082865999999999E-2</v>
      </c>
      <c r="AF15" s="12">
        <f>CommuterAndAirTravelData!AS14</f>
        <v>65507799.107142851</v>
      </c>
      <c r="AG15" s="15">
        <v>4.8240000000000002E-4</v>
      </c>
      <c r="AH15" s="2">
        <f t="shared" ref="AH15:AH20" si="3">D15*0.0127</f>
        <v>13912.738982696001</v>
      </c>
      <c r="AI15" s="3">
        <v>5.2943788333333339E-2</v>
      </c>
      <c r="AJ15" s="2">
        <f t="shared" ref="AJ15:AJ20" si="4">Z15*0.09</f>
        <v>30045790.255876742</v>
      </c>
      <c r="AK15" s="3">
        <v>0.33100000000000002</v>
      </c>
      <c r="AL15" s="19">
        <v>0</v>
      </c>
      <c r="AM15" s="3">
        <f t="shared" si="1"/>
        <v>-0.11</v>
      </c>
      <c r="AN15" s="2">
        <v>4519</v>
      </c>
      <c r="AO15" s="9">
        <f t="shared" si="2"/>
        <v>0.256666666647</v>
      </c>
    </row>
    <row r="16" spans="1:41" x14ac:dyDescent="0.2">
      <c r="A16">
        <v>2018</v>
      </c>
      <c r="B16" s="2">
        <v>0</v>
      </c>
      <c r="C16" s="3">
        <v>2.3544960499999998</v>
      </c>
      <c r="D16" s="2">
        <v>1188231</v>
      </c>
      <c r="E16" s="3">
        <v>5.2943788333333339E-2</v>
      </c>
      <c r="F16" s="2">
        <v>0</v>
      </c>
      <c r="G16" s="3">
        <v>1.0053095484E-2</v>
      </c>
      <c r="H16" s="2">
        <v>0</v>
      </c>
      <c r="I16" s="3">
        <v>5.4563012063492062E-3</v>
      </c>
      <c r="J16" s="2">
        <v>268130</v>
      </c>
      <c r="K16" s="3">
        <v>8.8999999999999999E-3</v>
      </c>
      <c r="L16" s="2">
        <v>142503</v>
      </c>
      <c r="M16" s="3">
        <v>1.0082865999999999E-2</v>
      </c>
      <c r="N16" s="19">
        <v>10330</v>
      </c>
      <c r="O16" s="17">
        <v>0.17</v>
      </c>
      <c r="P16" s="3">
        <v>4.012322285714286E-3</v>
      </c>
      <c r="Q16" s="19">
        <v>7500</v>
      </c>
      <c r="R16" s="20">
        <v>7.0000000000000007E-2</v>
      </c>
      <c r="S16" s="3">
        <v>3.8011474285714287E-3</v>
      </c>
      <c r="T16" s="2">
        <v>108</v>
      </c>
      <c r="U16">
        <v>0.59020000000000006</v>
      </c>
      <c r="V16" s="2">
        <v>72</v>
      </c>
      <c r="W16" s="5">
        <v>1.48004</v>
      </c>
      <c r="X16" s="2">
        <v>319</v>
      </c>
      <c r="Y16" s="5">
        <v>0.77180000000000004</v>
      </c>
      <c r="Z16" s="2">
        <v>333087038</v>
      </c>
      <c r="AA16" s="3">
        <v>0.31</v>
      </c>
      <c r="AB16" s="12">
        <f>CommuterAndAirTravelData!AJ15+CommuterAndAirTravelData!AL15</f>
        <v>4313837.6375000002</v>
      </c>
      <c r="AC16" s="13">
        <f t="shared" si="0"/>
        <v>8.9345137664369814E-3</v>
      </c>
      <c r="AD16" s="12">
        <f>CommuterAndAirTravelData!AK15+CommuterAndAirTravelData!AM15</f>
        <v>178397.59011847744</v>
      </c>
      <c r="AE16" s="14">
        <v>1.0082865999999999E-2</v>
      </c>
      <c r="AF16" s="12">
        <f>CommuterAndAirTravelData!AS15</f>
        <v>72596615.518518522</v>
      </c>
      <c r="AG16" s="15">
        <v>4.8240000000000002E-4</v>
      </c>
      <c r="AH16" s="2">
        <f t="shared" si="3"/>
        <v>15090.5337</v>
      </c>
      <c r="AI16" s="3">
        <v>5.2943788333333339E-2</v>
      </c>
      <c r="AJ16" s="2">
        <f t="shared" si="4"/>
        <v>29977833.419999998</v>
      </c>
      <c r="AK16" s="3">
        <v>0.31</v>
      </c>
      <c r="AL16" s="19">
        <v>0</v>
      </c>
      <c r="AM16" s="3">
        <f t="shared" si="1"/>
        <v>-0.11</v>
      </c>
      <c r="AN16" s="2">
        <v>4528</v>
      </c>
      <c r="AO16" s="9">
        <f t="shared" si="2"/>
        <v>0.256666666647</v>
      </c>
    </row>
    <row r="17" spans="1:41" x14ac:dyDescent="0.2">
      <c r="A17">
        <v>2019</v>
      </c>
      <c r="B17" s="2">
        <v>0</v>
      </c>
      <c r="C17" s="3">
        <v>2.3544960499999998</v>
      </c>
      <c r="D17" s="2">
        <v>1208639</v>
      </c>
      <c r="E17" s="3">
        <v>5.2943788333333339E-2</v>
      </c>
      <c r="F17" s="2">
        <v>0</v>
      </c>
      <c r="G17" s="3">
        <v>1.0053095484E-2</v>
      </c>
      <c r="H17" s="2">
        <v>0</v>
      </c>
      <c r="I17" s="3">
        <v>5.4563012063492062E-3</v>
      </c>
      <c r="J17" s="2">
        <v>278353</v>
      </c>
      <c r="K17" s="3">
        <v>8.8999999999999999E-3</v>
      </c>
      <c r="L17" s="2">
        <f>217388*'Non_GHG Data'!X15</f>
        <v>136442.43338758429</v>
      </c>
      <c r="M17" s="3">
        <v>1.0082865999999999E-2</v>
      </c>
      <c r="N17" s="19">
        <v>1640</v>
      </c>
      <c r="O17" s="17">
        <v>0.01</v>
      </c>
      <c r="P17" s="3">
        <v>4.012322285714286E-3</v>
      </c>
      <c r="Q17" s="19">
        <v>10198</v>
      </c>
      <c r="R17" s="20">
        <v>0.06</v>
      </c>
      <c r="S17" s="3">
        <v>3.8011474285714287E-3</v>
      </c>
      <c r="T17" s="2">
        <v>225</v>
      </c>
      <c r="U17">
        <v>0.59020000000000006</v>
      </c>
      <c r="V17" s="2">
        <v>577</v>
      </c>
      <c r="W17" s="5">
        <v>1.48004</v>
      </c>
      <c r="X17" s="2">
        <v>567</v>
      </c>
      <c r="Y17" s="5">
        <v>0.77180000000000004</v>
      </c>
      <c r="Z17" s="2">
        <v>335072921</v>
      </c>
      <c r="AA17" s="3">
        <v>0.31</v>
      </c>
      <c r="AB17" s="12">
        <f>CommuterAndAirTravelData!AJ16+CommuterAndAirTravelData!AL16</f>
        <v>5008164.2704166668</v>
      </c>
      <c r="AC17" s="13">
        <f t="shared" si="0"/>
        <v>8.9345137664369814E-3</v>
      </c>
      <c r="AD17" s="12">
        <f>CommuterAndAirTravelData!AK16+CommuterAndAirTravelData!AM16</f>
        <v>188905.44630703298</v>
      </c>
      <c r="AE17" s="14">
        <v>1.0082865999999999E-2</v>
      </c>
      <c r="AF17" s="12">
        <f>CommuterAndAirTravelData!AS16</f>
        <v>80999772</v>
      </c>
      <c r="AG17" s="15">
        <v>4.8240000000000002E-4</v>
      </c>
      <c r="AH17" s="2">
        <f t="shared" si="3"/>
        <v>15349.7153</v>
      </c>
      <c r="AI17" s="3">
        <v>5.2943788333333339E-2</v>
      </c>
      <c r="AJ17" s="2">
        <f t="shared" si="4"/>
        <v>30156562.890000001</v>
      </c>
      <c r="AK17" s="3">
        <v>0.31</v>
      </c>
      <c r="AL17" s="19">
        <v>0</v>
      </c>
      <c r="AM17" s="3">
        <f t="shared" si="1"/>
        <v>-0.11</v>
      </c>
      <c r="AN17" s="2">
        <v>4792</v>
      </c>
      <c r="AO17" s="9">
        <f t="shared" si="2"/>
        <v>0.256666666647</v>
      </c>
    </row>
    <row r="18" spans="1:41" x14ac:dyDescent="0.2">
      <c r="A18">
        <v>2020</v>
      </c>
      <c r="B18" s="2">
        <v>0</v>
      </c>
      <c r="C18" s="3">
        <v>2.3544960499999998</v>
      </c>
      <c r="D18" s="19">
        <v>1263648</v>
      </c>
      <c r="E18" s="3">
        <v>5.2943788333333339E-2</v>
      </c>
      <c r="F18" s="2">
        <v>5351</v>
      </c>
      <c r="G18" s="3">
        <v>1.0053095484E-2</v>
      </c>
      <c r="H18" s="2">
        <v>0</v>
      </c>
      <c r="I18" s="3">
        <v>5.4563012063492062E-3</v>
      </c>
      <c r="J18" s="2">
        <v>259749</v>
      </c>
      <c r="K18" s="3">
        <v>8.8999999999999999E-3</v>
      </c>
      <c r="L18" s="2">
        <f>150085*'Non_GHG Data'!X16</f>
        <v>91884.073179052706</v>
      </c>
      <c r="M18" s="3">
        <v>1.0082865999999999E-2</v>
      </c>
      <c r="N18" s="19">
        <f>1220+8500</f>
        <v>9720</v>
      </c>
      <c r="O18" s="17">
        <v>0.18</v>
      </c>
      <c r="P18" s="3">
        <v>4.012322285714286E-3</v>
      </c>
      <c r="Q18" s="7">
        <v>5350</v>
      </c>
      <c r="R18" s="20">
        <v>0.08</v>
      </c>
      <c r="S18" s="3">
        <v>3.8011474285714287E-3</v>
      </c>
      <c r="T18" s="2">
        <v>245</v>
      </c>
      <c r="U18">
        <v>0.59020000000000006</v>
      </c>
      <c r="V18" s="2">
        <v>580</v>
      </c>
      <c r="W18" s="5">
        <v>1.48004</v>
      </c>
      <c r="X18" s="2">
        <v>-2120.38</v>
      </c>
      <c r="Y18" s="5">
        <v>0.77180000000000004</v>
      </c>
      <c r="Z18" s="19">
        <v>317100894</v>
      </c>
      <c r="AA18" s="3">
        <f>(0.61*1000)/(2204)</f>
        <v>0.27676950998185118</v>
      </c>
      <c r="AB18" s="12">
        <f>CommuterAndAirTravelData!AJ17+CommuterAndAirTravelData!AL17</f>
        <v>3363160.7833806816</v>
      </c>
      <c r="AC18" s="13">
        <f t="shared" si="0"/>
        <v>8.9345137664369814E-3</v>
      </c>
      <c r="AD18" s="12">
        <f>CommuterAndAirTravelData!AK17+CommuterAndAirTravelData!AM17</f>
        <v>125225.82871187295</v>
      </c>
      <c r="AE18" s="14">
        <v>1.0082865999999999E-2</v>
      </c>
      <c r="AF18" s="12">
        <f>CommuterAndAirTravelData!AS17</f>
        <v>54721267.799999997</v>
      </c>
      <c r="AG18" s="15">
        <v>4.8240000000000002E-4</v>
      </c>
      <c r="AH18" s="2">
        <f t="shared" si="3"/>
        <v>16048.329599999999</v>
      </c>
      <c r="AI18" s="3">
        <v>5.2943788333330001E-2</v>
      </c>
      <c r="AJ18" s="2">
        <f t="shared" si="4"/>
        <v>28539080.459999997</v>
      </c>
      <c r="AK18" s="3">
        <f>(0.61*1000)/(2204)</f>
        <v>0.27676950998185118</v>
      </c>
      <c r="AL18" s="19">
        <v>0</v>
      </c>
      <c r="AM18" s="3">
        <f t="shared" si="1"/>
        <v>-0.11</v>
      </c>
      <c r="AN18" s="19">
        <v>3983</v>
      </c>
      <c r="AO18" s="9">
        <f t="shared" si="2"/>
        <v>0.256666666647</v>
      </c>
    </row>
    <row r="19" spans="1:41" x14ac:dyDescent="0.2">
      <c r="A19">
        <v>2021</v>
      </c>
      <c r="B19" s="2">
        <v>0</v>
      </c>
      <c r="C19" s="3">
        <v>2.3544999999999998</v>
      </c>
      <c r="D19" s="19">
        <v>1322113</v>
      </c>
      <c r="E19" s="3">
        <v>5.2900000000000003E-2</v>
      </c>
      <c r="F19" s="24">
        <v>11151</v>
      </c>
      <c r="G19" s="3">
        <v>1.0053095484E-2</v>
      </c>
      <c r="H19" s="2">
        <v>0</v>
      </c>
      <c r="I19" s="3">
        <v>5.4999999999999997E-3</v>
      </c>
      <c r="J19" s="2">
        <v>203710</v>
      </c>
      <c r="K19" s="3">
        <v>8.7799999999999996E-3</v>
      </c>
      <c r="L19" s="2">
        <v>140680</v>
      </c>
      <c r="M19" s="3">
        <v>1.021E-2</v>
      </c>
      <c r="N19" s="19">
        <v>1400</v>
      </c>
      <c r="O19" s="17">
        <v>0</v>
      </c>
      <c r="P19" s="3">
        <v>4.012322285714286E-3</v>
      </c>
      <c r="Q19" s="24">
        <f>11476-1400</f>
        <v>10076</v>
      </c>
      <c r="R19" s="17">
        <f>636.54/Q19</f>
        <v>6.3173878523223495E-2</v>
      </c>
      <c r="S19" s="3">
        <v>3.80114742857143E-3</v>
      </c>
      <c r="T19" s="2">
        <v>216</v>
      </c>
      <c r="U19">
        <v>0.59020000000000006</v>
      </c>
      <c r="V19" s="2">
        <v>340</v>
      </c>
      <c r="W19" s="81">
        <v>1.48004</v>
      </c>
      <c r="X19" s="2">
        <v>1226</v>
      </c>
      <c r="Y19" s="81">
        <v>0.77180000000000004</v>
      </c>
      <c r="Z19" s="19">
        <v>311285799</v>
      </c>
      <c r="AA19" s="3">
        <f>(0.5706*1000)/(2204)</f>
        <v>0.25889292196007263</v>
      </c>
      <c r="AB19" s="12">
        <f>CommuterAndAirTravelData!AJ18+CommuterAndAirTravelData!AL18</f>
        <v>720564.66448132775</v>
      </c>
      <c r="AC19" s="13">
        <f t="shared" si="0"/>
        <v>8.9345137664369814E-3</v>
      </c>
      <c r="AD19" s="12">
        <f>CommuterAndAirTravelData!AK18+CommuterAndAirTravelData!AM18</f>
        <v>0</v>
      </c>
      <c r="AE19" s="14">
        <v>1.0082865999999999E-2</v>
      </c>
      <c r="AF19" s="12">
        <f>CommuterAndAirTravelData!AS18</f>
        <v>1377858.96</v>
      </c>
      <c r="AG19" s="15">
        <v>4.8240000000000002E-4</v>
      </c>
      <c r="AH19" s="2">
        <f t="shared" si="3"/>
        <v>16790.8351</v>
      </c>
      <c r="AI19" s="3">
        <v>5.2943788333330001E-2</v>
      </c>
      <c r="AJ19" s="2">
        <f t="shared" si="4"/>
        <v>28015721.91</v>
      </c>
      <c r="AK19" s="3">
        <f>AA19</f>
        <v>0.25889292196007263</v>
      </c>
      <c r="AL19" s="19">
        <v>0</v>
      </c>
      <c r="AM19" s="3">
        <f t="shared" si="1"/>
        <v>-0.11</v>
      </c>
      <c r="AN19" s="19">
        <v>4352.6000000000004</v>
      </c>
      <c r="AO19" s="9">
        <f t="shared" si="2"/>
        <v>0.256666666647</v>
      </c>
    </row>
    <row r="20" spans="1:41" x14ac:dyDescent="0.2">
      <c r="A20">
        <v>2022</v>
      </c>
      <c r="B20" s="2">
        <v>0</v>
      </c>
      <c r="C20" s="3">
        <v>2.3544999999999998</v>
      </c>
      <c r="D20" s="2">
        <v>1247095</v>
      </c>
      <c r="E20" s="3">
        <v>5.2900000000000003E-2</v>
      </c>
      <c r="F20" s="2">
        <v>20647</v>
      </c>
      <c r="G20" s="3">
        <v>1.01E-2</v>
      </c>
      <c r="H20" s="2">
        <v>0</v>
      </c>
      <c r="I20">
        <v>5.4999999999999997E-3</v>
      </c>
      <c r="J20" s="2">
        <v>213585</v>
      </c>
      <c r="K20" s="3">
        <v>8.7799999999999996E-3</v>
      </c>
      <c r="L20" s="2">
        <f>119544+2315</f>
        <v>121859</v>
      </c>
      <c r="M20" s="3">
        <v>1.021E-2</v>
      </c>
      <c r="N20" s="19">
        <v>0</v>
      </c>
      <c r="O20" s="17">
        <v>0</v>
      </c>
      <c r="P20" s="3">
        <v>4.012322285714286E-3</v>
      </c>
      <c r="Q20" s="2">
        <f>8931</f>
        <v>8931</v>
      </c>
      <c r="R20" s="17">
        <f>505.4/8931</f>
        <v>5.6589407681110739E-2</v>
      </c>
      <c r="S20" s="3">
        <v>3.80114742857143E-3</v>
      </c>
      <c r="T20" s="2">
        <f>88.7+90</f>
        <v>178.7</v>
      </c>
      <c r="U20">
        <v>0.59019999999999995</v>
      </c>
      <c r="V20" s="2">
        <f>1.2+168</f>
        <v>169.2</v>
      </c>
      <c r="W20" s="81">
        <v>1.48</v>
      </c>
      <c r="X20" s="2">
        <f>465.4+395</f>
        <v>860.4</v>
      </c>
      <c r="Y20" s="81">
        <v>0.77180000000000004</v>
      </c>
      <c r="Z20" s="19">
        <v>318830716</v>
      </c>
      <c r="AA20" s="3">
        <f>(0.592*1000)/(2204)</f>
        <v>0.26860254083484575</v>
      </c>
      <c r="AB20" s="12">
        <f>CommuterAndAirTravelData!AJ19+CommuterAndAirTravelData!AL19</f>
        <v>1730666.7636363634</v>
      </c>
      <c r="AC20" s="13">
        <f t="shared" si="0"/>
        <v>8.9345137664369814E-3</v>
      </c>
      <c r="AD20" s="12">
        <f>CommuterAndAirTravelData!AK19+CommuterAndAirTravelData!AM19</f>
        <v>0</v>
      </c>
      <c r="AE20" s="14">
        <v>1.0082865999999999E-2</v>
      </c>
      <c r="AF20" s="12">
        <f>CommuterAndAirTravelData!AS19</f>
        <v>27991918.239999998</v>
      </c>
      <c r="AG20" s="15">
        <v>4.8240000000000002E-4</v>
      </c>
      <c r="AH20" s="2">
        <f t="shared" si="3"/>
        <v>15838.1065</v>
      </c>
      <c r="AI20" s="3">
        <v>5.2943788333330001E-2</v>
      </c>
      <c r="AJ20" s="2">
        <f t="shared" si="4"/>
        <v>28694764.439999998</v>
      </c>
      <c r="AK20" s="3">
        <f>AA20</f>
        <v>0.26860254083484575</v>
      </c>
      <c r="AL20" s="19">
        <v>0</v>
      </c>
      <c r="AM20" s="3">
        <f t="shared" si="1"/>
        <v>-0.11</v>
      </c>
      <c r="AN20" s="19">
        <v>3675.98</v>
      </c>
      <c r="AO20" s="9">
        <f t="shared" si="2"/>
        <v>0.256666666647</v>
      </c>
    </row>
    <row r="21" spans="1:41" x14ac:dyDescent="0.2">
      <c r="A21">
        <v>2023</v>
      </c>
      <c r="C21" s="3"/>
      <c r="E21" s="3"/>
      <c r="V21" s="39"/>
      <c r="Z21" s="18"/>
      <c r="AA21" s="72"/>
      <c r="AB21" s="19"/>
      <c r="AC21" s="82"/>
      <c r="AD21" s="19"/>
      <c r="AE21" s="81"/>
      <c r="AF21" s="19"/>
      <c r="AG21" s="3"/>
    </row>
    <row r="22" spans="1:41" x14ac:dyDescent="0.2">
      <c r="A22">
        <v>2024</v>
      </c>
      <c r="C22" s="3"/>
      <c r="E22" s="3"/>
      <c r="Z22" s="18"/>
      <c r="AB22" s="19"/>
      <c r="AC22" s="82"/>
      <c r="AD22" s="19"/>
      <c r="AE22" s="81"/>
      <c r="AF22" s="19"/>
      <c r="AG22" s="3"/>
      <c r="AO22" s="7"/>
    </row>
    <row r="23" spans="1:41" x14ac:dyDescent="0.2">
      <c r="A23">
        <v>2025</v>
      </c>
      <c r="Z23" s="7"/>
      <c r="AB23" s="10"/>
    </row>
    <row r="24" spans="1:41" x14ac:dyDescent="0.2">
      <c r="A24">
        <v>2026</v>
      </c>
      <c r="D24" s="4"/>
      <c r="Z24" s="4"/>
      <c r="AA24" s="1"/>
      <c r="AB24" s="10"/>
    </row>
    <row r="25" spans="1:41" x14ac:dyDescent="0.2">
      <c r="A25">
        <v>2027</v>
      </c>
      <c r="K25" s="2"/>
      <c r="L25" s="2"/>
      <c r="AA25" s="9"/>
      <c r="AB25" s="10"/>
    </row>
    <row r="26" spans="1:41" x14ac:dyDescent="0.2">
      <c r="A26">
        <v>2028</v>
      </c>
      <c r="D26" s="18"/>
      <c r="E26" s="18"/>
      <c r="K26" s="2"/>
      <c r="L26" s="2"/>
      <c r="AB26" s="10"/>
    </row>
    <row r="27" spans="1:41" x14ac:dyDescent="0.2">
      <c r="A27">
        <v>2029</v>
      </c>
      <c r="C27" s="18"/>
      <c r="D27" s="18"/>
      <c r="E27" s="18"/>
      <c r="F27" s="18"/>
      <c r="G27" s="18"/>
      <c r="K27" s="2"/>
      <c r="L27" s="2"/>
      <c r="AA27" s="4"/>
      <c r="AB27" s="10"/>
    </row>
    <row r="28" spans="1:41" x14ac:dyDescent="0.2">
      <c r="A28">
        <v>2030</v>
      </c>
      <c r="C28" s="18"/>
      <c r="E28" s="18"/>
      <c r="F28" s="18"/>
      <c r="G28" s="18"/>
      <c r="Z28" s="7"/>
      <c r="AB28" s="10"/>
    </row>
    <row r="29" spans="1:41" x14ac:dyDescent="0.2">
      <c r="A29">
        <v>2031</v>
      </c>
      <c r="D29" s="18"/>
      <c r="E29" s="18"/>
      <c r="F29" s="18"/>
      <c r="G29" s="18"/>
      <c r="Z29" s="18"/>
      <c r="AA29" s="18"/>
    </row>
    <row r="30" spans="1:41" x14ac:dyDescent="0.2">
      <c r="A30">
        <v>2032</v>
      </c>
      <c r="D30" s="18"/>
      <c r="E30" s="18"/>
      <c r="Z30" s="7"/>
    </row>
    <row r="31" spans="1:41" x14ac:dyDescent="0.2">
      <c r="A31">
        <v>2033</v>
      </c>
      <c r="Z31" s="18"/>
    </row>
    <row r="32" spans="1:41" x14ac:dyDescent="0.2">
      <c r="A32">
        <v>2034</v>
      </c>
    </row>
    <row r="33" spans="1:1" x14ac:dyDescent="0.2">
      <c r="A33">
        <v>2035</v>
      </c>
    </row>
    <row r="34" spans="1:1" x14ac:dyDescent="0.2">
      <c r="A34">
        <v>2036</v>
      </c>
    </row>
    <row r="35" spans="1:1" x14ac:dyDescent="0.2">
      <c r="A35">
        <v>2037</v>
      </c>
    </row>
    <row r="36" spans="1:1" x14ac:dyDescent="0.2">
      <c r="A36">
        <v>2038</v>
      </c>
    </row>
    <row r="37" spans="1:1" x14ac:dyDescent="0.2">
      <c r="A37">
        <v>2039</v>
      </c>
    </row>
    <row r="38" spans="1:1" x14ac:dyDescent="0.2">
      <c r="A38">
        <v>2040</v>
      </c>
    </row>
    <row r="39" spans="1:1" x14ac:dyDescent="0.2">
      <c r="A39">
        <v>2041</v>
      </c>
    </row>
    <row r="40" spans="1:1" x14ac:dyDescent="0.2">
      <c r="A40">
        <v>2042</v>
      </c>
    </row>
    <row r="41" spans="1:1" x14ac:dyDescent="0.2">
      <c r="A41">
        <v>2043</v>
      </c>
    </row>
    <row r="42" spans="1:1" x14ac:dyDescent="0.2">
      <c r="A42">
        <v>2044</v>
      </c>
    </row>
    <row r="43" spans="1:1" x14ac:dyDescent="0.2">
      <c r="A43">
        <v>2045</v>
      </c>
    </row>
    <row r="44" spans="1:1" x14ac:dyDescent="0.2">
      <c r="A44">
        <v>2046</v>
      </c>
    </row>
    <row r="45" spans="1:1" x14ac:dyDescent="0.2">
      <c r="A45">
        <v>2047</v>
      </c>
    </row>
    <row r="46" spans="1:1" x14ac:dyDescent="0.2">
      <c r="A46">
        <v>2048</v>
      </c>
    </row>
    <row r="47" spans="1:1" x14ac:dyDescent="0.2">
      <c r="A47">
        <v>2049</v>
      </c>
    </row>
    <row r="48" spans="1:1" x14ac:dyDescent="0.2">
      <c r="A48">
        <v>2050</v>
      </c>
    </row>
  </sheetData>
  <mergeCells count="27">
    <mergeCell ref="D3:E3"/>
    <mergeCell ref="F3:G3"/>
    <mergeCell ref="H3:I3"/>
    <mergeCell ref="B2:I2"/>
    <mergeCell ref="B1:Y1"/>
    <mergeCell ref="B3:C3"/>
    <mergeCell ref="J2:M2"/>
    <mergeCell ref="J3:K3"/>
    <mergeCell ref="L3:M3"/>
    <mergeCell ref="N3:P3"/>
    <mergeCell ref="Q3:S3"/>
    <mergeCell ref="N2:Y2"/>
    <mergeCell ref="T3:U3"/>
    <mergeCell ref="V3:W3"/>
    <mergeCell ref="X3:Y3"/>
    <mergeCell ref="Z1:AA1"/>
    <mergeCell ref="AL3:AM3"/>
    <mergeCell ref="AL2:AO2"/>
    <mergeCell ref="AB1:AO1"/>
    <mergeCell ref="AN3:AO3"/>
    <mergeCell ref="Z3:AA3"/>
    <mergeCell ref="AB3:AE3"/>
    <mergeCell ref="AF3:AG3"/>
    <mergeCell ref="AB2:AG2"/>
    <mergeCell ref="AJ3:AK3"/>
    <mergeCell ref="AH3:AI3"/>
    <mergeCell ref="AH2:AK2"/>
  </mergeCells>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9" tint="-0.249977111117893"/>
  </sheetPr>
  <dimension ref="A1:AX47"/>
  <sheetViews>
    <sheetView zoomScaleNormal="100" workbookViewId="0">
      <pane xSplit="1" ySplit="3" topLeftCell="C4" activePane="bottomRight" state="frozen"/>
      <selection pane="topRight" activeCell="B1" sqref="B1"/>
      <selection pane="bottomLeft" activeCell="A4" sqref="A4"/>
      <selection pane="bottomRight"/>
    </sheetView>
  </sheetViews>
  <sheetFormatPr baseColWidth="10" defaultColWidth="8.83203125" defaultRowHeight="15" x14ac:dyDescent="0.2"/>
  <cols>
    <col min="1" max="1" width="8.83203125" style="25"/>
    <col min="2" max="2" width="10.5" style="25" bestFit="1" customWidth="1"/>
    <col min="3" max="3" width="22.5" style="25" bestFit="1" customWidth="1"/>
    <col min="4" max="4" width="17.5" style="25" customWidth="1"/>
    <col min="5" max="5" width="9.83203125" style="25" bestFit="1" customWidth="1"/>
    <col min="6" max="6" width="11.5" style="25" bestFit="1" customWidth="1"/>
    <col min="7" max="7" width="14.5" style="25" bestFit="1" customWidth="1"/>
    <col min="8" max="8" width="14" style="25" bestFit="1" customWidth="1"/>
    <col min="9" max="9" width="22" style="25" bestFit="1" customWidth="1"/>
    <col min="10" max="10" width="11.5" style="25" bestFit="1" customWidth="1"/>
    <col min="11" max="11" width="14.5" style="25" bestFit="1" customWidth="1"/>
    <col min="12" max="12" width="14" style="25" bestFit="1" customWidth="1"/>
    <col min="13" max="13" width="22" style="25" bestFit="1" customWidth="1"/>
    <col min="14" max="14" width="11.5" style="25" bestFit="1" customWidth="1"/>
    <col min="15" max="15" width="14.5" style="25" bestFit="1" customWidth="1"/>
    <col min="16" max="16" width="14" style="25" bestFit="1" customWidth="1"/>
    <col min="17" max="17" width="22" style="25" bestFit="1" customWidth="1"/>
    <col min="18" max="18" width="8.83203125" style="25"/>
    <col min="19" max="19" width="10.5" style="25" bestFit="1" customWidth="1"/>
    <col min="20" max="20" width="22.5" style="25" bestFit="1" customWidth="1"/>
    <col min="21" max="21" width="13.1640625" style="25" bestFit="1" customWidth="1"/>
    <col min="22" max="22" width="9.83203125" style="25" bestFit="1" customWidth="1"/>
    <col min="23" max="23" width="9.5" style="25" bestFit="1" customWidth="1"/>
    <col min="24" max="24" width="14.5" style="25" bestFit="1" customWidth="1"/>
    <col min="25" max="25" width="14" style="25" bestFit="1" customWidth="1"/>
    <col min="26" max="26" width="22" style="25" bestFit="1" customWidth="1"/>
    <col min="27" max="27" width="9.5" style="25" bestFit="1" customWidth="1"/>
    <col min="28" max="28" width="14.5" style="25" bestFit="1" customWidth="1"/>
    <col min="29" max="29" width="14" style="25" bestFit="1" customWidth="1"/>
    <col min="30" max="30" width="22" style="25" bestFit="1" customWidth="1"/>
    <col min="31" max="31" width="9.5" style="25" bestFit="1" customWidth="1"/>
    <col min="32" max="32" width="14.5" style="25" bestFit="1" customWidth="1"/>
    <col min="33" max="33" width="14" style="25" bestFit="1" customWidth="1"/>
    <col min="34" max="34" width="22" style="25" bestFit="1" customWidth="1"/>
    <col min="35" max="35" width="8.83203125" style="25"/>
    <col min="36" max="36" width="13.5" style="25" bestFit="1" customWidth="1"/>
    <col min="37" max="37" width="11" style="25" bestFit="1" customWidth="1"/>
    <col min="38" max="38" width="13.5" style="25" bestFit="1" customWidth="1"/>
    <col min="39" max="39" width="11" style="25" bestFit="1" customWidth="1"/>
    <col min="40" max="40" width="13.5" style="25" bestFit="1" customWidth="1"/>
    <col min="41" max="41" width="14.5" style="25" bestFit="1" customWidth="1"/>
    <col min="42" max="42" width="8.83203125" style="25"/>
    <col min="43" max="43" width="23.5" style="25" bestFit="1" customWidth="1"/>
    <col min="44" max="44" width="16" style="25" bestFit="1" customWidth="1"/>
    <col min="45" max="45" width="19.5" style="25" bestFit="1" customWidth="1"/>
    <col min="46" max="46" width="8.83203125" style="25"/>
    <col min="47" max="47" width="12.33203125" style="25" customWidth="1"/>
    <col min="48" max="48" width="15.33203125" style="25" bestFit="1" customWidth="1"/>
    <col min="49" max="49" width="11.5" style="25" bestFit="1" customWidth="1"/>
    <col min="50" max="50" width="13.5" style="25" bestFit="1" customWidth="1"/>
    <col min="51" max="16384" width="8.83203125" style="25"/>
  </cols>
  <sheetData>
    <row r="1" spans="1:45" ht="34" x14ac:dyDescent="0.4">
      <c r="B1" s="93" t="s">
        <v>33</v>
      </c>
      <c r="C1" s="93"/>
      <c r="D1" s="93"/>
      <c r="E1" s="93"/>
      <c r="F1" s="93"/>
      <c r="G1" s="93"/>
      <c r="H1" s="93"/>
      <c r="I1" s="93"/>
      <c r="J1" s="93"/>
      <c r="K1" s="93"/>
      <c r="L1" s="93"/>
      <c r="M1" s="93"/>
      <c r="N1" s="93"/>
      <c r="O1" s="93"/>
      <c r="P1" s="93"/>
      <c r="Q1" s="93"/>
      <c r="S1" s="93" t="s">
        <v>41</v>
      </c>
      <c r="T1" s="93"/>
      <c r="U1" s="93"/>
      <c r="V1" s="93"/>
      <c r="W1" s="93"/>
      <c r="X1" s="93"/>
      <c r="Y1" s="93"/>
      <c r="Z1" s="93"/>
      <c r="AA1" s="93"/>
      <c r="AB1" s="93"/>
      <c r="AC1" s="93"/>
      <c r="AD1" s="93"/>
      <c r="AE1" s="93"/>
      <c r="AF1" s="93"/>
      <c r="AG1" s="93"/>
      <c r="AH1" s="93"/>
      <c r="AJ1" s="91" t="s">
        <v>46</v>
      </c>
      <c r="AK1" s="91"/>
      <c r="AL1" s="91"/>
      <c r="AM1" s="91"/>
      <c r="AN1" s="91"/>
      <c r="AO1" s="91"/>
      <c r="AQ1" s="91" t="s">
        <v>28</v>
      </c>
      <c r="AR1" s="91"/>
      <c r="AS1" s="91"/>
    </row>
    <row r="2" spans="1:45" x14ac:dyDescent="0.2">
      <c r="B2" s="92" t="s">
        <v>40</v>
      </c>
      <c r="C2" s="92"/>
      <c r="D2" s="92"/>
      <c r="E2" s="92"/>
      <c r="F2" s="92" t="s">
        <v>30</v>
      </c>
      <c r="G2" s="92"/>
      <c r="H2" s="92"/>
      <c r="I2" s="92"/>
      <c r="J2" s="92" t="s">
        <v>31</v>
      </c>
      <c r="K2" s="92"/>
      <c r="L2" s="92"/>
      <c r="M2" s="92"/>
      <c r="N2" s="92" t="s">
        <v>32</v>
      </c>
      <c r="O2" s="92"/>
      <c r="P2" s="92"/>
      <c r="Q2" s="92"/>
      <c r="S2" s="92" t="s">
        <v>42</v>
      </c>
      <c r="T2" s="92"/>
      <c r="U2" s="92"/>
      <c r="V2" s="92"/>
      <c r="W2" s="92" t="s">
        <v>30</v>
      </c>
      <c r="X2" s="92"/>
      <c r="Y2" s="92"/>
      <c r="Z2" s="92"/>
      <c r="AA2" s="92" t="s">
        <v>31</v>
      </c>
      <c r="AB2" s="92"/>
      <c r="AC2" s="92"/>
      <c r="AD2" s="92"/>
      <c r="AE2" s="92" t="s">
        <v>32</v>
      </c>
      <c r="AF2" s="92"/>
      <c r="AG2" s="92"/>
      <c r="AH2" s="92"/>
      <c r="AJ2" s="92" t="s">
        <v>33</v>
      </c>
      <c r="AK2" s="92"/>
      <c r="AL2" s="92" t="s">
        <v>41</v>
      </c>
      <c r="AM2" s="92"/>
      <c r="AN2" s="92" t="s">
        <v>63</v>
      </c>
      <c r="AO2" s="92"/>
      <c r="AS2" s="26"/>
    </row>
    <row r="3" spans="1:45" x14ac:dyDescent="0.2">
      <c r="A3" s="25" t="s">
        <v>3</v>
      </c>
      <c r="B3" s="25" t="s">
        <v>34</v>
      </c>
      <c r="C3" s="25" t="s">
        <v>35</v>
      </c>
      <c r="D3" s="25" t="s">
        <v>36</v>
      </c>
      <c r="E3" s="25" t="s">
        <v>37</v>
      </c>
      <c r="F3" s="25" t="s">
        <v>39</v>
      </c>
      <c r="G3" s="25" t="s">
        <v>44</v>
      </c>
      <c r="H3" s="25" t="s">
        <v>38</v>
      </c>
      <c r="I3" s="25" t="s">
        <v>45</v>
      </c>
      <c r="J3" s="25" t="s">
        <v>39</v>
      </c>
      <c r="K3" s="25" t="s">
        <v>44</v>
      </c>
      <c r="L3" s="25" t="s">
        <v>38</v>
      </c>
      <c r="M3" s="25" t="s">
        <v>45</v>
      </c>
      <c r="N3" s="25" t="s">
        <v>39</v>
      </c>
      <c r="O3" s="25" t="s">
        <v>44</v>
      </c>
      <c r="P3" s="25" t="s">
        <v>38</v>
      </c>
      <c r="Q3" s="25" t="s">
        <v>45</v>
      </c>
      <c r="S3" s="25" t="s">
        <v>34</v>
      </c>
      <c r="T3" s="25" t="s">
        <v>35</v>
      </c>
      <c r="U3" s="25" t="s">
        <v>36</v>
      </c>
      <c r="V3" s="25" t="s">
        <v>37</v>
      </c>
      <c r="W3" s="25" t="s">
        <v>43</v>
      </c>
      <c r="X3" s="25" t="s">
        <v>44</v>
      </c>
      <c r="Y3" s="25" t="s">
        <v>38</v>
      </c>
      <c r="Z3" s="25" t="s">
        <v>45</v>
      </c>
      <c r="AA3" s="25" t="s">
        <v>43</v>
      </c>
      <c r="AB3" s="25" t="s">
        <v>44</v>
      </c>
      <c r="AC3" s="25" t="s">
        <v>38</v>
      </c>
      <c r="AD3" s="25" t="s">
        <v>45</v>
      </c>
      <c r="AE3" s="25" t="s">
        <v>43</v>
      </c>
      <c r="AF3" s="25" t="s">
        <v>44</v>
      </c>
      <c r="AG3" s="25" t="s">
        <v>38</v>
      </c>
      <c r="AH3" s="25" t="s">
        <v>45</v>
      </c>
      <c r="AJ3" s="25" t="s">
        <v>49</v>
      </c>
      <c r="AK3" s="25" t="s">
        <v>50</v>
      </c>
      <c r="AL3" s="25" t="s">
        <v>49</v>
      </c>
      <c r="AM3" s="25" t="s">
        <v>50</v>
      </c>
      <c r="AN3" s="25" t="s">
        <v>49</v>
      </c>
      <c r="AO3" s="25" t="s">
        <v>50</v>
      </c>
      <c r="AQ3" s="25" t="s">
        <v>70</v>
      </c>
      <c r="AR3" s="25" t="s">
        <v>69</v>
      </c>
      <c r="AS3" s="25" t="s">
        <v>54</v>
      </c>
    </row>
    <row r="4" spans="1:45" x14ac:dyDescent="0.2">
      <c r="A4" s="25">
        <v>2007</v>
      </c>
      <c r="B4" s="27">
        <f>'Non_GHG Data'!Q3</f>
        <v>2664</v>
      </c>
      <c r="C4" s="28">
        <v>9.1</v>
      </c>
      <c r="D4" s="25">
        <v>2</v>
      </c>
      <c r="E4" s="25">
        <v>225</v>
      </c>
      <c r="F4" s="29">
        <v>0.77</v>
      </c>
      <c r="G4" s="30">
        <f>B4*F4*C4*D4*E4</f>
        <v>8399991.5999999996</v>
      </c>
      <c r="H4" s="25">
        <v>22.1</v>
      </c>
      <c r="I4" s="30">
        <f>G4/H4</f>
        <v>380090.1176470588</v>
      </c>
      <c r="J4" s="29">
        <v>0.1</v>
      </c>
      <c r="K4" s="30">
        <f>((B4*J4)/2)*C4*D4*E4</f>
        <v>545454</v>
      </c>
      <c r="L4" s="25">
        <v>22.1</v>
      </c>
      <c r="M4" s="30">
        <f>(K4/L4)</f>
        <v>24681.176470588234</v>
      </c>
      <c r="N4" s="29">
        <v>0.03</v>
      </c>
      <c r="O4" s="30">
        <f>B4*N4*C4*D4*E4</f>
        <v>327272.39999999997</v>
      </c>
      <c r="P4" s="28">
        <v>39.670648906734236</v>
      </c>
      <c r="Q4" s="30">
        <f t="shared" ref="Q4:Q15" si="0">O4/P4</f>
        <v>8249.7364933308236</v>
      </c>
      <c r="S4" s="27">
        <f>'Non_GHG Data'!R3</f>
        <v>15470</v>
      </c>
      <c r="T4" s="28">
        <v>9.1</v>
      </c>
      <c r="U4" s="25">
        <v>2</v>
      </c>
      <c r="V4" s="25">
        <v>250</v>
      </c>
      <c r="W4" s="29">
        <v>0.77</v>
      </c>
      <c r="X4" s="30">
        <f>S4*W4*T4*U4*V4</f>
        <v>54199145</v>
      </c>
      <c r="Y4" s="25">
        <v>22.1</v>
      </c>
      <c r="Z4" s="30">
        <f>X4/Y4</f>
        <v>2452450</v>
      </c>
      <c r="AA4" s="29">
        <v>0.1</v>
      </c>
      <c r="AB4" s="30">
        <f>((S4*AA4)/2)*T4*U4*V4</f>
        <v>3519424.9999999995</v>
      </c>
      <c r="AC4" s="25">
        <v>22.1</v>
      </c>
      <c r="AD4" s="30">
        <f>AB4/AC4</f>
        <v>159249.99999999997</v>
      </c>
      <c r="AE4" s="29">
        <v>0.03</v>
      </c>
      <c r="AF4" s="30">
        <f>S4*AE4*T4*U4*V4</f>
        <v>2111654.9999999995</v>
      </c>
      <c r="AG4" s="28">
        <v>39.670648906734236</v>
      </c>
      <c r="AH4" s="30">
        <f>AF4/AG4</f>
        <v>53229.656136064325</v>
      </c>
      <c r="AJ4" s="30">
        <f t="shared" ref="AJ4:AJ12" si="1">I4+M4</f>
        <v>404771.29411764705</v>
      </c>
      <c r="AK4" s="30">
        <f t="shared" ref="AK4:AK12" si="2">Q4</f>
        <v>8249.7364933308236</v>
      </c>
      <c r="AL4" s="30">
        <f t="shared" ref="AL4:AL11" si="3">Z4+AD4</f>
        <v>2611700</v>
      </c>
      <c r="AM4" s="30">
        <f>AH4</f>
        <v>53229.656136064325</v>
      </c>
      <c r="AN4" s="30">
        <f>AJ4+AL4</f>
        <v>3016471.2941176472</v>
      </c>
      <c r="AO4" s="30">
        <f>AK4+AM4</f>
        <v>61479.392629395152</v>
      </c>
      <c r="AQ4" s="31">
        <v>14125576.66</v>
      </c>
      <c r="AR4" s="31">
        <v>0.28000000000000003</v>
      </c>
      <c r="AS4" s="32">
        <v>53232837</v>
      </c>
    </row>
    <row r="5" spans="1:45" x14ac:dyDescent="0.2">
      <c r="A5" s="25">
        <v>2008</v>
      </c>
      <c r="B5" s="27">
        <f>'Non_GHG Data'!Q4</f>
        <v>2730</v>
      </c>
      <c r="C5" s="28">
        <v>9.1</v>
      </c>
      <c r="D5" s="25">
        <v>2</v>
      </c>
      <c r="E5" s="25">
        <v>225</v>
      </c>
      <c r="F5" s="29">
        <v>0.72399999999999998</v>
      </c>
      <c r="G5" s="30">
        <f t="shared" ref="G5:G15" si="4">B5*F5*C5*D5*E5</f>
        <v>8093849.3999999994</v>
      </c>
      <c r="H5" s="25">
        <v>22.1</v>
      </c>
      <c r="I5" s="30">
        <f t="shared" ref="I5:I16" si="5">G5/H5</f>
        <v>366237.52941176464</v>
      </c>
      <c r="J5" s="29">
        <v>0.109</v>
      </c>
      <c r="K5" s="30">
        <f t="shared" ref="K5:K15" si="6">((B5*J5)/2)*C5*D5*E5</f>
        <v>609274.57499999995</v>
      </c>
      <c r="L5" s="25">
        <v>22.1</v>
      </c>
      <c r="M5" s="30">
        <f t="shared" ref="M5:M15" si="7">(K5/L5)</f>
        <v>27568.985294117643</v>
      </c>
      <c r="N5" s="29">
        <v>3.9E-2</v>
      </c>
      <c r="O5" s="30">
        <f t="shared" ref="O5:O15" si="8">B5*N5*C5*D5*E5</f>
        <v>435994.64999999997</v>
      </c>
      <c r="P5" s="28">
        <v>39.670648906734236</v>
      </c>
      <c r="Q5" s="30">
        <f t="shared" si="0"/>
        <v>10990.358413975635</v>
      </c>
      <c r="S5" s="27">
        <f>'Non_GHG Data'!R4</f>
        <v>15758</v>
      </c>
      <c r="T5" s="28">
        <v>9.1</v>
      </c>
      <c r="U5" s="25">
        <v>2</v>
      </c>
      <c r="V5" s="25">
        <v>250</v>
      </c>
      <c r="W5" s="29">
        <v>0.72399999999999998</v>
      </c>
      <c r="X5" s="30">
        <f t="shared" ref="X5:X15" si="9">S5*W5*T5*U5*V5</f>
        <v>51910003.599999994</v>
      </c>
      <c r="Y5" s="25">
        <v>22.1</v>
      </c>
      <c r="Z5" s="30">
        <f t="shared" ref="Z5:Z11" si="10">X5/Y5</f>
        <v>2348868.9411764704</v>
      </c>
      <c r="AA5" s="29">
        <v>0.109</v>
      </c>
      <c r="AB5" s="30">
        <f t="shared" ref="AB5:AB15" si="11">((S5*AA5)/2)*T5*U5*V5</f>
        <v>3907590.05</v>
      </c>
      <c r="AC5" s="25">
        <v>22.1</v>
      </c>
      <c r="AD5" s="30">
        <f t="shared" ref="AD5:AD15" si="12">AB5/AC5</f>
        <v>176814.0294117647</v>
      </c>
      <c r="AE5" s="29">
        <v>3.9E-2</v>
      </c>
      <c r="AF5" s="30">
        <f t="shared" ref="AF5:AF15" si="13">S5*AE5*T5*U5*V5</f>
        <v>2796257.0999999996</v>
      </c>
      <c r="AG5" s="28">
        <v>39.670648906734236</v>
      </c>
      <c r="AH5" s="30">
        <f t="shared" ref="AH5:AH15" si="14">AF5/AG5</f>
        <v>70486.80011698333</v>
      </c>
      <c r="AJ5" s="30">
        <f t="shared" si="1"/>
        <v>393806.51470588229</v>
      </c>
      <c r="AK5" s="30">
        <f t="shared" si="2"/>
        <v>10990.358413975635</v>
      </c>
      <c r="AL5" s="30">
        <f t="shared" si="3"/>
        <v>2525682.9705882352</v>
      </c>
      <c r="AM5" s="30">
        <f t="shared" ref="AM5:AM12" si="15">AH5</f>
        <v>70486.80011698333</v>
      </c>
      <c r="AN5" s="30">
        <f t="shared" ref="AN5:AN12" si="16">AJ5+AL5</f>
        <v>2919489.4852941176</v>
      </c>
      <c r="AO5" s="30">
        <f t="shared" ref="AO5:AO12" si="17">AK5+AM5</f>
        <v>81477.158530958957</v>
      </c>
      <c r="AQ5" s="31">
        <v>15503703.240000062</v>
      </c>
      <c r="AR5" s="31">
        <v>0.32</v>
      </c>
      <c r="AS5" s="32">
        <v>48525314.099999994</v>
      </c>
    </row>
    <row r="6" spans="1:45" x14ac:dyDescent="0.2">
      <c r="A6" s="25">
        <v>2009</v>
      </c>
      <c r="B6" s="27">
        <f>'Non_GHG Data'!Q5</f>
        <v>3026</v>
      </c>
      <c r="C6" s="28">
        <v>10.1</v>
      </c>
      <c r="D6" s="25">
        <v>2</v>
      </c>
      <c r="E6" s="25">
        <v>225</v>
      </c>
      <c r="F6" s="29">
        <v>0.69199999999999995</v>
      </c>
      <c r="G6" s="30">
        <f t="shared" si="4"/>
        <v>9517193.6399999987</v>
      </c>
      <c r="H6" s="25">
        <v>22.1</v>
      </c>
      <c r="I6" s="30">
        <f t="shared" si="5"/>
        <v>430642.24615384609</v>
      </c>
      <c r="J6" s="29">
        <v>9.9000000000000005E-2</v>
      </c>
      <c r="K6" s="30">
        <f t="shared" si="6"/>
        <v>680781.91500000004</v>
      </c>
      <c r="L6" s="25">
        <v>22.1</v>
      </c>
      <c r="M6" s="30">
        <f t="shared" si="7"/>
        <v>30804.611538461537</v>
      </c>
      <c r="N6" s="29">
        <v>6.3E-2</v>
      </c>
      <c r="O6" s="30">
        <f t="shared" si="8"/>
        <v>866449.71</v>
      </c>
      <c r="P6" s="28">
        <v>39.670648906734236</v>
      </c>
      <c r="Q6" s="30">
        <f t="shared" si="0"/>
        <v>21841.077317313986</v>
      </c>
      <c r="S6" s="27">
        <f>'Non_GHG Data'!R5</f>
        <v>16379</v>
      </c>
      <c r="T6" s="28">
        <v>10.1</v>
      </c>
      <c r="U6" s="25">
        <v>2</v>
      </c>
      <c r="V6" s="25">
        <v>250</v>
      </c>
      <c r="W6" s="29">
        <v>0.69199999999999995</v>
      </c>
      <c r="X6" s="30">
        <f t="shared" si="9"/>
        <v>57238053.399999999</v>
      </c>
      <c r="Y6" s="25">
        <v>22.1</v>
      </c>
      <c r="Z6" s="30">
        <f t="shared" si="10"/>
        <v>2589957.1674208143</v>
      </c>
      <c r="AA6" s="29">
        <v>9.9000000000000005E-2</v>
      </c>
      <c r="AB6" s="30">
        <f t="shared" si="11"/>
        <v>4094340.5250000004</v>
      </c>
      <c r="AC6" s="25">
        <v>22.1</v>
      </c>
      <c r="AD6" s="30">
        <f t="shared" si="12"/>
        <v>185264.27714932128</v>
      </c>
      <c r="AE6" s="29">
        <v>6.3E-2</v>
      </c>
      <c r="AF6" s="30">
        <f t="shared" si="13"/>
        <v>5210978.8499999996</v>
      </c>
      <c r="AG6" s="28">
        <v>39.670648906734236</v>
      </c>
      <c r="AH6" s="30">
        <f t="shared" si="14"/>
        <v>131356.02753186668</v>
      </c>
      <c r="AJ6" s="30">
        <f t="shared" si="1"/>
        <v>461446.85769230762</v>
      </c>
      <c r="AK6" s="30">
        <f t="shared" si="2"/>
        <v>21841.077317313986</v>
      </c>
      <c r="AL6" s="30">
        <f t="shared" si="3"/>
        <v>2775221.4445701353</v>
      </c>
      <c r="AM6" s="30">
        <f t="shared" si="15"/>
        <v>131356.02753186668</v>
      </c>
      <c r="AN6" s="30">
        <f t="shared" si="16"/>
        <v>3236668.3022624431</v>
      </c>
      <c r="AO6" s="30">
        <f t="shared" si="17"/>
        <v>153197.10484918067</v>
      </c>
      <c r="AQ6" s="31">
        <v>15676846.900000015</v>
      </c>
      <c r="AR6" s="31">
        <v>0.27</v>
      </c>
      <c r="AS6" s="32">
        <v>58048363.199999996</v>
      </c>
    </row>
    <row r="7" spans="1:45" x14ac:dyDescent="0.2">
      <c r="A7" s="25">
        <v>2010</v>
      </c>
      <c r="B7" s="27">
        <f>'Non_GHG Data'!Q6</f>
        <v>3019</v>
      </c>
      <c r="C7" s="28">
        <v>10.1</v>
      </c>
      <c r="D7" s="25">
        <v>2</v>
      </c>
      <c r="E7" s="25">
        <v>225</v>
      </c>
      <c r="F7" s="29">
        <v>0.69199999999999995</v>
      </c>
      <c r="G7" s="30">
        <f t="shared" si="4"/>
        <v>9495177.6599999983</v>
      </c>
      <c r="H7" s="25">
        <v>22.1</v>
      </c>
      <c r="I7" s="30">
        <f t="shared" si="5"/>
        <v>429646.04796380078</v>
      </c>
      <c r="J7" s="29">
        <v>9.9000000000000005E-2</v>
      </c>
      <c r="K7" s="30">
        <f t="shared" si="6"/>
        <v>679207.07250000001</v>
      </c>
      <c r="L7" s="25">
        <v>22.1</v>
      </c>
      <c r="M7" s="30">
        <f t="shared" si="7"/>
        <v>30733.351696832578</v>
      </c>
      <c r="N7" s="29">
        <v>6.3E-2</v>
      </c>
      <c r="O7" s="30">
        <f t="shared" si="8"/>
        <v>864445.36499999999</v>
      </c>
      <c r="P7" s="28">
        <v>39.670648906734236</v>
      </c>
      <c r="Q7" s="30">
        <f t="shared" si="0"/>
        <v>21790.552683731305</v>
      </c>
      <c r="S7" s="27">
        <f>'Non_GHG Data'!R6</f>
        <v>15255</v>
      </c>
      <c r="T7" s="28">
        <v>10.1</v>
      </c>
      <c r="U7" s="25">
        <v>2</v>
      </c>
      <c r="V7" s="25">
        <v>250</v>
      </c>
      <c r="W7" s="29">
        <v>0.69199999999999995</v>
      </c>
      <c r="X7" s="30">
        <f t="shared" si="9"/>
        <v>53310122.999999993</v>
      </c>
      <c r="Y7" s="25">
        <v>22.1</v>
      </c>
      <c r="Z7" s="30">
        <f t="shared" si="10"/>
        <v>2412222.7601809949</v>
      </c>
      <c r="AA7" s="29">
        <v>9.9000000000000005E-2</v>
      </c>
      <c r="AB7" s="30">
        <f t="shared" si="11"/>
        <v>3813368.625</v>
      </c>
      <c r="AC7" s="25">
        <v>22.1</v>
      </c>
      <c r="AD7" s="30">
        <f t="shared" si="12"/>
        <v>172550.61651583709</v>
      </c>
      <c r="AE7" s="29">
        <v>6.3E-2</v>
      </c>
      <c r="AF7" s="30">
        <f t="shared" si="13"/>
        <v>4853378.25</v>
      </c>
      <c r="AG7" s="28">
        <v>39.670648906734236</v>
      </c>
      <c r="AH7" s="30">
        <f t="shared" si="14"/>
        <v>122341.79131806744</v>
      </c>
      <c r="AJ7" s="30">
        <f t="shared" si="1"/>
        <v>460379.39966063335</v>
      </c>
      <c r="AK7" s="30">
        <f t="shared" si="2"/>
        <v>21790.552683731305</v>
      </c>
      <c r="AL7" s="30">
        <f t="shared" si="3"/>
        <v>2584773.376696832</v>
      </c>
      <c r="AM7" s="30">
        <f t="shared" si="15"/>
        <v>122341.79131806744</v>
      </c>
      <c r="AN7" s="30">
        <f t="shared" si="16"/>
        <v>3045152.7763574654</v>
      </c>
      <c r="AO7" s="30">
        <f t="shared" si="17"/>
        <v>144132.34400179875</v>
      </c>
      <c r="AQ7" s="31">
        <v>14654762.34999991</v>
      </c>
      <c r="AR7" s="31">
        <v>0.26</v>
      </c>
      <c r="AS7" s="32">
        <v>56370377.907691978</v>
      </c>
    </row>
    <row r="8" spans="1:45" x14ac:dyDescent="0.2">
      <c r="A8" s="25">
        <v>2011</v>
      </c>
      <c r="B8" s="27">
        <f>'Non_GHG Data'!Q7</f>
        <v>3138</v>
      </c>
      <c r="C8" s="28">
        <v>10</v>
      </c>
      <c r="D8" s="25">
        <v>2</v>
      </c>
      <c r="E8" s="25">
        <v>225</v>
      </c>
      <c r="F8" s="29">
        <v>0.73</v>
      </c>
      <c r="G8" s="30">
        <f t="shared" si="4"/>
        <v>10308329.999999998</v>
      </c>
      <c r="H8" s="25">
        <v>22.1</v>
      </c>
      <c r="I8" s="30">
        <f t="shared" si="5"/>
        <v>466440.27149321255</v>
      </c>
      <c r="J8" s="29">
        <v>0.06</v>
      </c>
      <c r="K8" s="30">
        <f t="shared" si="6"/>
        <v>423630</v>
      </c>
      <c r="L8" s="25">
        <v>22.1</v>
      </c>
      <c r="M8" s="30">
        <f t="shared" si="7"/>
        <v>19168.778280542985</v>
      </c>
      <c r="N8" s="29">
        <v>0.03</v>
      </c>
      <c r="O8" s="30">
        <f t="shared" si="8"/>
        <v>423630</v>
      </c>
      <c r="P8" s="28">
        <v>39.670648906734236</v>
      </c>
      <c r="Q8" s="30">
        <f t="shared" si="0"/>
        <v>10678.675839055591</v>
      </c>
      <c r="S8" s="27">
        <f>'Non_GHG Data'!R7</f>
        <v>15389</v>
      </c>
      <c r="T8" s="28">
        <v>10</v>
      </c>
      <c r="U8" s="25">
        <v>2</v>
      </c>
      <c r="V8" s="25">
        <v>250</v>
      </c>
      <c r="W8" s="29">
        <v>0.73</v>
      </c>
      <c r="X8" s="30">
        <f t="shared" si="9"/>
        <v>56169850</v>
      </c>
      <c r="Y8" s="25">
        <v>22.1</v>
      </c>
      <c r="Z8" s="30">
        <f t="shared" si="10"/>
        <v>2541622.1719457014</v>
      </c>
      <c r="AA8" s="29">
        <v>0.06</v>
      </c>
      <c r="AB8" s="30">
        <f t="shared" si="11"/>
        <v>2308350</v>
      </c>
      <c r="AC8" s="25">
        <v>22.1</v>
      </c>
      <c r="AD8" s="30">
        <f t="shared" si="12"/>
        <v>104450.22624434388</v>
      </c>
      <c r="AE8" s="29">
        <v>0.03</v>
      </c>
      <c r="AF8" s="30">
        <f t="shared" si="13"/>
        <v>2308350</v>
      </c>
      <c r="AG8" s="28">
        <v>39.670648906734236</v>
      </c>
      <c r="AH8" s="30">
        <f t="shared" si="14"/>
        <v>58187.855848462044</v>
      </c>
      <c r="AJ8" s="30">
        <f t="shared" si="1"/>
        <v>485609.04977375554</v>
      </c>
      <c r="AK8" s="30">
        <f t="shared" si="2"/>
        <v>10678.675839055591</v>
      </c>
      <c r="AL8" s="30">
        <f t="shared" si="3"/>
        <v>2646072.3981900453</v>
      </c>
      <c r="AM8" s="30">
        <f t="shared" si="15"/>
        <v>58187.855848462044</v>
      </c>
      <c r="AN8" s="30">
        <f t="shared" si="16"/>
        <v>3131681.4479638007</v>
      </c>
      <c r="AO8" s="30">
        <f t="shared" si="17"/>
        <v>68866.531687517636</v>
      </c>
      <c r="AQ8" s="31">
        <v>16562021.519999899</v>
      </c>
      <c r="AR8" s="31">
        <v>0.26</v>
      </c>
      <c r="AS8" s="32">
        <v>63885156.240384236</v>
      </c>
    </row>
    <row r="9" spans="1:45" x14ac:dyDescent="0.2">
      <c r="A9" s="25">
        <v>2012</v>
      </c>
      <c r="B9" s="27">
        <f>'Non_GHG Data'!Q8</f>
        <v>3202</v>
      </c>
      <c r="C9" s="28">
        <v>10</v>
      </c>
      <c r="D9" s="25">
        <v>2</v>
      </c>
      <c r="E9" s="25">
        <v>225</v>
      </c>
      <c r="F9" s="29">
        <v>0.74</v>
      </c>
      <c r="G9" s="30">
        <f t="shared" si="4"/>
        <v>10662660</v>
      </c>
      <c r="H9" s="25">
        <v>22.1</v>
      </c>
      <c r="I9" s="30">
        <f t="shared" si="5"/>
        <v>482473.30316742079</v>
      </c>
      <c r="J9" s="29">
        <v>0.1</v>
      </c>
      <c r="K9" s="30">
        <f t="shared" si="6"/>
        <v>720450.00000000012</v>
      </c>
      <c r="L9" s="25">
        <v>22.1</v>
      </c>
      <c r="M9" s="30">
        <f t="shared" si="7"/>
        <v>32599.547511312219</v>
      </c>
      <c r="N9" s="29">
        <v>0.06</v>
      </c>
      <c r="O9" s="30">
        <f t="shared" si="8"/>
        <v>864540</v>
      </c>
      <c r="P9" s="28">
        <v>39.670648906734236</v>
      </c>
      <c r="Q9" s="30">
        <f t="shared" si="0"/>
        <v>21792.938200545574</v>
      </c>
      <c r="S9" s="27">
        <f>'Non_GHG Data'!R8</f>
        <v>15554</v>
      </c>
      <c r="T9" s="28">
        <v>10</v>
      </c>
      <c r="U9" s="25">
        <v>2</v>
      </c>
      <c r="V9" s="25">
        <v>250</v>
      </c>
      <c r="W9" s="29">
        <v>0.74</v>
      </c>
      <c r="X9" s="30">
        <f t="shared" si="9"/>
        <v>57549799.999999993</v>
      </c>
      <c r="Y9" s="25">
        <v>22.1</v>
      </c>
      <c r="Z9" s="30">
        <f t="shared" si="10"/>
        <v>2604063.3484162893</v>
      </c>
      <c r="AA9" s="29">
        <v>7.0000000000000007E-2</v>
      </c>
      <c r="AB9" s="30">
        <f t="shared" si="11"/>
        <v>2721950.0000000009</v>
      </c>
      <c r="AC9" s="25">
        <v>22.1</v>
      </c>
      <c r="AD9" s="30">
        <f t="shared" si="12"/>
        <v>123165.15837104076</v>
      </c>
      <c r="AE9" s="29">
        <v>0.06</v>
      </c>
      <c r="AF9" s="30">
        <f t="shared" si="13"/>
        <v>4666200</v>
      </c>
      <c r="AG9" s="28">
        <v>39.670648906734236</v>
      </c>
      <c r="AH9" s="30">
        <f t="shared" si="14"/>
        <v>117623.48558931427</v>
      </c>
      <c r="AJ9" s="30">
        <f t="shared" si="1"/>
        <v>515072.85067873303</v>
      </c>
      <c r="AK9" s="30">
        <f t="shared" si="2"/>
        <v>21792.938200545574</v>
      </c>
      <c r="AL9" s="30">
        <f t="shared" si="3"/>
        <v>2727228.5067873299</v>
      </c>
      <c r="AM9" s="30">
        <f t="shared" si="15"/>
        <v>117623.48558931427</v>
      </c>
      <c r="AN9" s="30">
        <f t="shared" si="16"/>
        <v>3242301.357466063</v>
      </c>
      <c r="AO9" s="30">
        <f t="shared" si="17"/>
        <v>139416.42378985984</v>
      </c>
      <c r="AQ9" s="31">
        <v>18370604.189999674</v>
      </c>
      <c r="AR9" s="31">
        <v>0.3</v>
      </c>
      <c r="AS9" s="32">
        <v>61466734.668332309</v>
      </c>
    </row>
    <row r="10" spans="1:45" x14ac:dyDescent="0.2">
      <c r="A10" s="25">
        <v>2013</v>
      </c>
      <c r="B10" s="27">
        <f>'Non_GHG Data'!Q9</f>
        <v>3249</v>
      </c>
      <c r="C10" s="28">
        <v>10.88</v>
      </c>
      <c r="D10" s="25">
        <v>2</v>
      </c>
      <c r="E10" s="97">
        <v>225</v>
      </c>
      <c r="F10" s="98">
        <v>0.73</v>
      </c>
      <c r="G10" s="99">
        <f t="shared" si="4"/>
        <v>11612185.920000002</v>
      </c>
      <c r="H10" s="97">
        <v>22.1</v>
      </c>
      <c r="I10" s="99">
        <f t="shared" si="5"/>
        <v>525438.27692307695</v>
      </c>
      <c r="J10" s="98">
        <v>0.11</v>
      </c>
      <c r="K10" s="99">
        <f t="shared" si="6"/>
        <v>874890.72000000009</v>
      </c>
      <c r="L10" s="97">
        <v>22.1</v>
      </c>
      <c r="M10" s="99">
        <f t="shared" si="7"/>
        <v>39587.815384615387</v>
      </c>
      <c r="N10" s="98">
        <v>0.08</v>
      </c>
      <c r="O10" s="30">
        <f t="shared" si="8"/>
        <v>1272568.3200000001</v>
      </c>
      <c r="P10" s="28">
        <v>39.670648906734236</v>
      </c>
      <c r="Q10" s="30">
        <f t="shared" si="0"/>
        <v>32078.333858158217</v>
      </c>
      <c r="S10" s="27">
        <f>'Non_GHG Data'!R9</f>
        <v>15999</v>
      </c>
      <c r="T10" s="28">
        <v>10.88</v>
      </c>
      <c r="U10" s="25">
        <v>2</v>
      </c>
      <c r="V10" s="25">
        <v>250</v>
      </c>
      <c r="W10" s="29">
        <v>0.73</v>
      </c>
      <c r="X10" s="30">
        <f t="shared" si="9"/>
        <v>63535228.800000004</v>
      </c>
      <c r="Y10" s="25">
        <v>22.1</v>
      </c>
      <c r="Z10" s="30">
        <f t="shared" si="10"/>
        <v>2874897.230769231</v>
      </c>
      <c r="AA10" s="29">
        <v>0.11</v>
      </c>
      <c r="AB10" s="30">
        <f t="shared" si="11"/>
        <v>4786900.8000000007</v>
      </c>
      <c r="AC10" s="25">
        <v>22.1</v>
      </c>
      <c r="AD10" s="30">
        <f t="shared" si="12"/>
        <v>216601.84615384619</v>
      </c>
      <c r="AE10" s="29">
        <v>0.08</v>
      </c>
      <c r="AF10" s="30">
        <f t="shared" si="13"/>
        <v>6962764.8000000007</v>
      </c>
      <c r="AG10" s="28">
        <v>39.670648906734236</v>
      </c>
      <c r="AH10" s="30">
        <f t="shared" si="14"/>
        <v>175514.26537966327</v>
      </c>
      <c r="AJ10" s="30">
        <f t="shared" si="1"/>
        <v>565026.09230769239</v>
      </c>
      <c r="AK10" s="30">
        <f t="shared" si="2"/>
        <v>32078.333858158217</v>
      </c>
      <c r="AL10" s="30">
        <f t="shared" si="3"/>
        <v>3091499.076923077</v>
      </c>
      <c r="AM10" s="30">
        <f t="shared" si="15"/>
        <v>175514.26537966327</v>
      </c>
      <c r="AN10" s="30">
        <f t="shared" si="16"/>
        <v>3656525.1692307694</v>
      </c>
      <c r="AO10" s="30">
        <f t="shared" si="17"/>
        <v>207592.59923782147</v>
      </c>
      <c r="AQ10" s="31">
        <v>19737542.860000022</v>
      </c>
      <c r="AR10" s="31">
        <v>0.27</v>
      </c>
      <c r="AS10" s="27">
        <f t="shared" ref="AS10:AS19" si="18">AQ10/AR10</f>
        <v>73102010.592592672</v>
      </c>
    </row>
    <row r="11" spans="1:45" x14ac:dyDescent="0.2">
      <c r="A11" s="25">
        <v>2014</v>
      </c>
      <c r="B11" s="27">
        <f>'Non_GHG Data'!Q10</f>
        <v>3332</v>
      </c>
      <c r="C11" s="28">
        <v>11.48</v>
      </c>
      <c r="D11" s="25">
        <v>2</v>
      </c>
      <c r="E11" s="97">
        <v>225</v>
      </c>
      <c r="F11" s="98">
        <v>0.70099999999999996</v>
      </c>
      <c r="G11" s="99">
        <f t="shared" si="4"/>
        <v>12066391.512</v>
      </c>
      <c r="H11" s="100">
        <v>23.3</v>
      </c>
      <c r="I11" s="99">
        <f t="shared" si="5"/>
        <v>517870.88034334761</v>
      </c>
      <c r="J11" s="98">
        <v>8.3000000000000004E-2</v>
      </c>
      <c r="K11" s="99">
        <f t="shared" si="6"/>
        <v>714344.14800000016</v>
      </c>
      <c r="L11" s="97">
        <v>23.3</v>
      </c>
      <c r="M11" s="99">
        <f t="shared" si="7"/>
        <v>30658.547124463526</v>
      </c>
      <c r="N11" s="98">
        <v>8.5999999999999993E-2</v>
      </c>
      <c r="O11" s="30">
        <f>B11*N11*C11*D11*E11</f>
        <v>1480327.632</v>
      </c>
      <c r="P11" s="28">
        <v>39.670648906734236</v>
      </c>
      <c r="Q11" s="30">
        <f t="shared" si="0"/>
        <v>37315.437805926813</v>
      </c>
      <c r="S11" s="27">
        <f>'Non_GHG Data'!R10</f>
        <v>16039</v>
      </c>
      <c r="T11" s="28">
        <v>11.48</v>
      </c>
      <c r="U11" s="25">
        <v>2</v>
      </c>
      <c r="V11" s="25">
        <v>250</v>
      </c>
      <c r="W11" s="29">
        <v>0.70099999999999996</v>
      </c>
      <c r="X11" s="30">
        <f t="shared" si="9"/>
        <v>64536765.859999999</v>
      </c>
      <c r="Y11" s="25">
        <v>23.3</v>
      </c>
      <c r="Z11" s="30">
        <f t="shared" si="10"/>
        <v>2769818.2772532189</v>
      </c>
      <c r="AA11" s="29">
        <v>8.3000000000000004E-2</v>
      </c>
      <c r="AB11" s="30">
        <f t="shared" si="11"/>
        <v>3820650.1900000004</v>
      </c>
      <c r="AC11" s="25">
        <v>23.3</v>
      </c>
      <c r="AD11" s="30">
        <f t="shared" si="12"/>
        <v>163976.40300429185</v>
      </c>
      <c r="AE11" s="29">
        <v>8.5999999999999993E-2</v>
      </c>
      <c r="AF11" s="30">
        <f t="shared" si="13"/>
        <v>7917491.959999999</v>
      </c>
      <c r="AG11" s="28">
        <v>39.670648906734236</v>
      </c>
      <c r="AH11" s="30">
        <f t="shared" si="14"/>
        <v>199580.60123024546</v>
      </c>
      <c r="AJ11" s="30">
        <f t="shared" si="1"/>
        <v>548529.42746781115</v>
      </c>
      <c r="AK11" s="30">
        <f t="shared" si="2"/>
        <v>37315.437805926813</v>
      </c>
      <c r="AL11" s="30">
        <f t="shared" si="3"/>
        <v>2933794.6802575109</v>
      </c>
      <c r="AM11" s="30">
        <f t="shared" si="15"/>
        <v>199580.60123024546</v>
      </c>
      <c r="AN11" s="30">
        <f t="shared" si="16"/>
        <v>3482324.1077253222</v>
      </c>
      <c r="AO11" s="30">
        <f t="shared" si="17"/>
        <v>236896.03903617227</v>
      </c>
      <c r="AQ11" s="31">
        <v>17457533.350000001</v>
      </c>
      <c r="AR11" s="31">
        <v>0.27</v>
      </c>
      <c r="AS11" s="27">
        <f t="shared" si="18"/>
        <v>64657530.925925925</v>
      </c>
    </row>
    <row r="12" spans="1:45" x14ac:dyDescent="0.2">
      <c r="A12" s="25">
        <v>2015</v>
      </c>
      <c r="B12" s="27">
        <f>'Non_GHG Data'!Q11</f>
        <v>3398</v>
      </c>
      <c r="C12" s="28">
        <v>11.39</v>
      </c>
      <c r="D12" s="25">
        <v>2</v>
      </c>
      <c r="E12" s="97">
        <v>225</v>
      </c>
      <c r="F12" s="98">
        <v>0.79</v>
      </c>
      <c r="G12" s="99">
        <f t="shared" si="4"/>
        <v>13758994.710000001</v>
      </c>
      <c r="H12" s="97">
        <v>23.4</v>
      </c>
      <c r="I12" s="99">
        <f t="shared" si="5"/>
        <v>587991.22692307702</v>
      </c>
      <c r="J12" s="98">
        <v>7.0000000000000007E-2</v>
      </c>
      <c r="K12" s="99">
        <f t="shared" si="6"/>
        <v>609575.71500000008</v>
      </c>
      <c r="L12" s="97">
        <v>23.4</v>
      </c>
      <c r="M12" s="99">
        <f t="shared" si="7"/>
        <v>26050.244230769236</v>
      </c>
      <c r="N12" s="98">
        <v>0.06</v>
      </c>
      <c r="O12" s="30">
        <f t="shared" si="8"/>
        <v>1044986.9400000001</v>
      </c>
      <c r="P12" s="28">
        <v>39.67</v>
      </c>
      <c r="Q12" s="30">
        <f t="shared" si="0"/>
        <v>26341.994958406856</v>
      </c>
      <c r="S12" s="27">
        <f>'Non_GHG Data'!R11</f>
        <v>16165</v>
      </c>
      <c r="T12" s="28">
        <v>11.39</v>
      </c>
      <c r="U12" s="25">
        <v>2</v>
      </c>
      <c r="V12" s="25">
        <v>250</v>
      </c>
      <c r="W12" s="29">
        <v>0.79</v>
      </c>
      <c r="X12" s="30">
        <f t="shared" si="9"/>
        <v>72727143.250000015</v>
      </c>
      <c r="Y12" s="25">
        <v>23.4</v>
      </c>
      <c r="Z12" s="30">
        <f t="shared" ref="Z12:Z19" si="19">X12/Y12</f>
        <v>3107997.5747863255</v>
      </c>
      <c r="AA12" s="29">
        <v>7.0000000000000007E-2</v>
      </c>
      <c r="AB12" s="30">
        <f t="shared" si="11"/>
        <v>3222088.6250000009</v>
      </c>
      <c r="AC12" s="25">
        <v>23.4</v>
      </c>
      <c r="AD12" s="30">
        <f t="shared" si="12"/>
        <v>137696.09508547012</v>
      </c>
      <c r="AE12" s="29">
        <v>0.06</v>
      </c>
      <c r="AF12" s="30">
        <f t="shared" si="13"/>
        <v>5523580.5</v>
      </c>
      <c r="AG12" s="28">
        <v>39.67</v>
      </c>
      <c r="AH12" s="30">
        <f t="shared" si="14"/>
        <v>139238.22788001009</v>
      </c>
      <c r="AJ12" s="30">
        <f t="shared" si="1"/>
        <v>614041.47115384624</v>
      </c>
      <c r="AK12" s="30">
        <f t="shared" si="2"/>
        <v>26341.994958406856</v>
      </c>
      <c r="AL12" s="30">
        <f t="shared" ref="AL12:AL17" si="20">Z12+AD12</f>
        <v>3245693.6698717955</v>
      </c>
      <c r="AM12" s="30">
        <f t="shared" si="15"/>
        <v>139238.22788001009</v>
      </c>
      <c r="AN12" s="30">
        <f t="shared" si="16"/>
        <v>3859735.1410256419</v>
      </c>
      <c r="AO12" s="30">
        <f t="shared" si="17"/>
        <v>165580.22283841696</v>
      </c>
      <c r="AQ12" s="31">
        <v>19511529.93</v>
      </c>
      <c r="AR12" s="31">
        <v>0.27</v>
      </c>
      <c r="AS12" s="27">
        <f t="shared" si="18"/>
        <v>72264925.666666657</v>
      </c>
    </row>
    <row r="13" spans="1:45" x14ac:dyDescent="0.2">
      <c r="A13" s="25">
        <v>2016</v>
      </c>
      <c r="B13" s="27">
        <v>3427</v>
      </c>
      <c r="C13" s="28">
        <v>11.29</v>
      </c>
      <c r="D13" s="25">
        <v>2</v>
      </c>
      <c r="E13" s="97">
        <v>225</v>
      </c>
      <c r="F13" s="98">
        <v>0.73499999999999999</v>
      </c>
      <c r="G13" s="99">
        <f t="shared" si="4"/>
        <v>12796992.022499999</v>
      </c>
      <c r="H13" s="97">
        <v>23.2</v>
      </c>
      <c r="I13" s="99">
        <f t="shared" si="5"/>
        <v>551594.48372844828</v>
      </c>
      <c r="J13" s="98">
        <v>6.0999999999999999E-2</v>
      </c>
      <c r="K13" s="99">
        <f t="shared" si="6"/>
        <v>531031.64174999995</v>
      </c>
      <c r="L13" s="97">
        <v>23.2</v>
      </c>
      <c r="M13" s="99">
        <f t="shared" si="7"/>
        <v>22889.294903017239</v>
      </c>
      <c r="N13" s="98">
        <v>9.1999999999999998E-2</v>
      </c>
      <c r="O13" s="30">
        <f t="shared" si="8"/>
        <v>1601800.3619999997</v>
      </c>
      <c r="P13" s="28">
        <v>39.67</v>
      </c>
      <c r="Q13" s="30">
        <f t="shared" si="0"/>
        <v>40378.12861104108</v>
      </c>
      <c r="S13" s="27">
        <v>16592</v>
      </c>
      <c r="T13" s="28">
        <v>11.29</v>
      </c>
      <c r="U13" s="25">
        <v>2</v>
      </c>
      <c r="V13" s="25">
        <v>250</v>
      </c>
      <c r="W13" s="29">
        <v>0.73499999999999999</v>
      </c>
      <c r="X13" s="30">
        <f t="shared" si="9"/>
        <v>68841452.399999991</v>
      </c>
      <c r="Y13" s="25">
        <v>23.2</v>
      </c>
      <c r="Z13" s="30">
        <f t="shared" si="19"/>
        <v>2967303.9827586203</v>
      </c>
      <c r="AA13" s="29">
        <v>6.0999999999999999E-2</v>
      </c>
      <c r="AB13" s="30">
        <f t="shared" si="11"/>
        <v>2856686.1199999996</v>
      </c>
      <c r="AC13" s="25">
        <v>23.2</v>
      </c>
      <c r="AD13" s="30">
        <f t="shared" si="12"/>
        <v>123133.02241379309</v>
      </c>
      <c r="AE13" s="29">
        <v>9.1999999999999998E-2</v>
      </c>
      <c r="AF13" s="30">
        <f t="shared" si="13"/>
        <v>8616889.2799999993</v>
      </c>
      <c r="AG13" s="28">
        <v>39.67</v>
      </c>
      <c r="AH13" s="30">
        <f t="shared" si="14"/>
        <v>217214.24955886058</v>
      </c>
      <c r="AJ13" s="30">
        <f t="shared" ref="AJ13:AJ19" si="21">I13+M13</f>
        <v>574483.77863146551</v>
      </c>
      <c r="AK13" s="30">
        <f t="shared" ref="AK13:AK19" si="22">Q13</f>
        <v>40378.12861104108</v>
      </c>
      <c r="AL13" s="30">
        <f t="shared" si="20"/>
        <v>3090437.0051724133</v>
      </c>
      <c r="AM13" s="30">
        <f t="shared" ref="AM13:AM19" si="23">AH13</f>
        <v>217214.24955886058</v>
      </c>
      <c r="AN13" s="30">
        <f t="shared" ref="AN13:AN19" si="24">AJ13+AL13</f>
        <v>3664920.7838038788</v>
      </c>
      <c r="AO13" s="30">
        <f t="shared" ref="AO13:AO19" si="25">AK13+AM13</f>
        <v>257592.37816990167</v>
      </c>
      <c r="AQ13" s="31">
        <v>18528485.309999999</v>
      </c>
      <c r="AR13" s="31">
        <v>0.27</v>
      </c>
      <c r="AS13" s="27">
        <f t="shared" si="18"/>
        <v>68624019.666666657</v>
      </c>
    </row>
    <row r="14" spans="1:45" x14ac:dyDescent="0.2">
      <c r="A14" s="25">
        <v>2017</v>
      </c>
      <c r="B14" s="25">
        <v>3522</v>
      </c>
      <c r="C14" s="28">
        <v>11.69</v>
      </c>
      <c r="D14" s="25">
        <v>2</v>
      </c>
      <c r="E14" s="97">
        <v>225</v>
      </c>
      <c r="F14" s="98">
        <v>0.74</v>
      </c>
      <c r="G14" s="99">
        <f t="shared" si="4"/>
        <v>13710335.939999998</v>
      </c>
      <c r="H14" s="97">
        <v>23.9</v>
      </c>
      <c r="I14" s="99">
        <f t="shared" si="5"/>
        <v>573654.2234309623</v>
      </c>
      <c r="J14" s="98">
        <v>5.0999999999999997E-2</v>
      </c>
      <c r="K14" s="99">
        <f t="shared" si="6"/>
        <v>472450.76549999998</v>
      </c>
      <c r="L14" s="97">
        <v>23.9</v>
      </c>
      <c r="M14" s="99">
        <f t="shared" si="7"/>
        <v>19767.814456066946</v>
      </c>
      <c r="N14" s="101">
        <v>0.1072</v>
      </c>
      <c r="O14" s="30">
        <f t="shared" si="8"/>
        <v>1986145.9632000001</v>
      </c>
      <c r="P14" s="28">
        <v>39.67</v>
      </c>
      <c r="Q14" s="30">
        <f t="shared" si="0"/>
        <v>50066.699349634488</v>
      </c>
      <c r="S14" s="25">
        <v>16813</v>
      </c>
      <c r="T14" s="28">
        <v>11.69</v>
      </c>
      <c r="U14" s="25">
        <v>2</v>
      </c>
      <c r="V14" s="25">
        <v>250</v>
      </c>
      <c r="W14" s="29">
        <v>0.74040000000000006</v>
      </c>
      <c r="X14" s="30">
        <f t="shared" si="9"/>
        <v>72760577.694000006</v>
      </c>
      <c r="Y14" s="25">
        <v>23.9</v>
      </c>
      <c r="Z14" s="30">
        <f t="shared" si="19"/>
        <v>3044375.6357322182</v>
      </c>
      <c r="AA14" s="29">
        <v>5.0999999999999997E-2</v>
      </c>
      <c r="AB14" s="30">
        <f t="shared" si="11"/>
        <v>2505935.6174999997</v>
      </c>
      <c r="AC14" s="25">
        <v>23.9</v>
      </c>
      <c r="AD14" s="30">
        <f t="shared" si="12"/>
        <v>104850.86265690376</v>
      </c>
      <c r="AE14" s="29">
        <v>0.1072</v>
      </c>
      <c r="AF14" s="30">
        <f t="shared" si="13"/>
        <v>10534756.791999999</v>
      </c>
      <c r="AG14" s="28">
        <v>39.67</v>
      </c>
      <c r="AH14" s="30">
        <f t="shared" si="14"/>
        <v>265559.7880514242</v>
      </c>
      <c r="AJ14" s="30">
        <f t="shared" si="21"/>
        <v>593422.03788702923</v>
      </c>
      <c r="AK14" s="30">
        <f t="shared" si="22"/>
        <v>50066.699349634488</v>
      </c>
      <c r="AL14" s="30">
        <f t="shared" si="20"/>
        <v>3149226.4983891221</v>
      </c>
      <c r="AM14" s="30">
        <f t="shared" si="23"/>
        <v>265559.7880514242</v>
      </c>
      <c r="AN14" s="30">
        <f t="shared" si="24"/>
        <v>3742648.5362761514</v>
      </c>
      <c r="AO14" s="30">
        <f t="shared" si="25"/>
        <v>315626.48740105866</v>
      </c>
      <c r="AQ14" s="31">
        <v>18342183.75</v>
      </c>
      <c r="AR14" s="31">
        <v>0.28000000000000003</v>
      </c>
      <c r="AS14" s="27">
        <f t="shared" si="18"/>
        <v>65507799.107142851</v>
      </c>
    </row>
    <row r="15" spans="1:45" x14ac:dyDescent="0.2">
      <c r="A15" s="25">
        <v>2018</v>
      </c>
      <c r="B15" s="25">
        <f>'Non_GHG Data'!Q14</f>
        <v>3637</v>
      </c>
      <c r="C15" s="1">
        <v>12</v>
      </c>
      <c r="D15">
        <v>2</v>
      </c>
      <c r="E15" s="96">
        <v>225</v>
      </c>
      <c r="F15" s="102">
        <v>0.81699999999999995</v>
      </c>
      <c r="G15" s="103">
        <f t="shared" si="4"/>
        <v>16045716.599999998</v>
      </c>
      <c r="H15" s="96">
        <v>24</v>
      </c>
      <c r="I15" s="103">
        <f t="shared" si="5"/>
        <v>668571.52499999991</v>
      </c>
      <c r="J15" s="102">
        <v>6.3E-2</v>
      </c>
      <c r="K15" s="103">
        <f t="shared" si="6"/>
        <v>618653.70000000007</v>
      </c>
      <c r="L15" s="96">
        <v>24</v>
      </c>
      <c r="M15" s="103">
        <f t="shared" si="7"/>
        <v>25777.237500000003</v>
      </c>
      <c r="N15" s="102">
        <v>5.8000000000000003E-2</v>
      </c>
      <c r="O15" s="7">
        <f t="shared" si="8"/>
        <v>1139108.3999999999</v>
      </c>
      <c r="P15" s="6">
        <v>39.67</v>
      </c>
      <c r="Q15" s="7">
        <f t="shared" si="0"/>
        <v>28714.605495336524</v>
      </c>
      <c r="S15" s="25">
        <f>'Non_GHG Data'!R14</f>
        <v>17063</v>
      </c>
      <c r="T15" s="6">
        <v>12</v>
      </c>
      <c r="U15">
        <v>2</v>
      </c>
      <c r="V15">
        <v>250</v>
      </c>
      <c r="W15" s="41">
        <v>0.81699999999999995</v>
      </c>
      <c r="X15" s="7">
        <f t="shared" si="9"/>
        <v>83642826</v>
      </c>
      <c r="Y15">
        <v>24</v>
      </c>
      <c r="Z15" s="7">
        <f t="shared" si="19"/>
        <v>3485117.75</v>
      </c>
      <c r="AA15" s="41">
        <v>6.3E-2</v>
      </c>
      <c r="AB15" s="7">
        <f t="shared" si="11"/>
        <v>3224907</v>
      </c>
      <c r="AC15">
        <v>24</v>
      </c>
      <c r="AD15" s="7">
        <f t="shared" si="12"/>
        <v>134371.125</v>
      </c>
      <c r="AE15" s="41">
        <v>5.8000000000000003E-2</v>
      </c>
      <c r="AF15" s="7">
        <f t="shared" si="13"/>
        <v>5937924</v>
      </c>
      <c r="AG15" s="6">
        <v>39.67</v>
      </c>
      <c r="AH15" s="7">
        <f t="shared" si="14"/>
        <v>149682.98462314092</v>
      </c>
      <c r="AJ15" s="7">
        <f t="shared" si="21"/>
        <v>694348.76249999995</v>
      </c>
      <c r="AK15" s="7">
        <f t="shared" si="22"/>
        <v>28714.605495336524</v>
      </c>
      <c r="AL15" s="7">
        <f t="shared" si="20"/>
        <v>3619488.875</v>
      </c>
      <c r="AM15" s="7">
        <f t="shared" si="23"/>
        <v>149682.98462314092</v>
      </c>
      <c r="AN15" s="7">
        <f t="shared" si="24"/>
        <v>4313837.6375000002</v>
      </c>
      <c r="AO15" s="7">
        <f t="shared" si="25"/>
        <v>178397.59011847744</v>
      </c>
      <c r="AQ15" s="31">
        <v>19601086.190000001</v>
      </c>
      <c r="AR15" s="43">
        <v>0.27</v>
      </c>
      <c r="AS15" s="44">
        <f t="shared" si="18"/>
        <v>72596615.518518522</v>
      </c>
    </row>
    <row r="16" spans="1:45" x14ac:dyDescent="0.2">
      <c r="A16" s="25">
        <v>2019</v>
      </c>
      <c r="B16" s="25">
        <f>'Non_GHG Data'!Q15</f>
        <v>3774</v>
      </c>
      <c r="C16" s="6">
        <v>13.85</v>
      </c>
      <c r="D16">
        <v>2</v>
      </c>
      <c r="E16" s="96">
        <v>225</v>
      </c>
      <c r="F16" s="102">
        <v>0.79400000000000004</v>
      </c>
      <c r="G16" s="103">
        <f t="shared" ref="G16:G19" si="26">B16*F16*C16*D16*E16</f>
        <v>18676035.27</v>
      </c>
      <c r="H16" s="96">
        <v>24</v>
      </c>
      <c r="I16" s="99">
        <f t="shared" si="5"/>
        <v>778168.13624999998</v>
      </c>
      <c r="J16" s="102">
        <v>4.8000000000000001E-2</v>
      </c>
      <c r="K16" s="103">
        <f t="shared" ref="K16:K19" si="27">((B16*J16)/2)*C16*D16*E16</f>
        <v>564514.92000000004</v>
      </c>
      <c r="L16" s="96">
        <v>24</v>
      </c>
      <c r="M16" s="103">
        <f t="shared" ref="M16:M19" si="28">(K16/L16)</f>
        <v>23521.455000000002</v>
      </c>
      <c r="N16" s="102">
        <v>5.0999999999999997E-2</v>
      </c>
      <c r="O16" s="7">
        <f t="shared" ref="O16:O19" si="29">B16*N16*C16*D16*E16</f>
        <v>1199594.2049999998</v>
      </c>
      <c r="P16" s="6">
        <v>39.67</v>
      </c>
      <c r="Q16" s="7">
        <f t="shared" ref="Q16:Q19" si="30">O16/P16</f>
        <v>30239.329594151746</v>
      </c>
      <c r="S16" s="25">
        <f>'Non_GHG Data'!R15</f>
        <v>17822</v>
      </c>
      <c r="T16" s="6">
        <v>13.85</v>
      </c>
      <c r="U16">
        <v>2</v>
      </c>
      <c r="V16">
        <v>250</v>
      </c>
      <c r="W16" s="41">
        <v>0.79400000000000004</v>
      </c>
      <c r="X16" s="7">
        <f t="shared" ref="X16:X19" si="31">S16*W16*T16*U16*V16</f>
        <v>97993375.900000021</v>
      </c>
      <c r="Y16">
        <v>24</v>
      </c>
      <c r="Z16" s="7">
        <f t="shared" si="19"/>
        <v>4083057.3291666675</v>
      </c>
      <c r="AA16" s="41">
        <v>4.8000000000000001E-2</v>
      </c>
      <c r="AB16" s="7">
        <f t="shared" ref="AB16:AB19" si="32">((S16*AA16)/2)*T16*U16*V16</f>
        <v>2962016.4</v>
      </c>
      <c r="AC16">
        <v>24</v>
      </c>
      <c r="AD16" s="7">
        <f>AB16/AC16</f>
        <v>123417.34999999999</v>
      </c>
      <c r="AE16" s="41">
        <v>5.0999999999999997E-2</v>
      </c>
      <c r="AF16" s="7">
        <f t="shared" ref="AF16:AF19" si="33">S16*AE16*T16*U16*V16</f>
        <v>6294284.8499999987</v>
      </c>
      <c r="AG16" s="6">
        <v>39.67</v>
      </c>
      <c r="AH16" s="7">
        <f t="shared" ref="AH16:AH19" si="34">AF16/AG16</f>
        <v>158666.11671288122</v>
      </c>
      <c r="AJ16" s="7">
        <f t="shared" si="21"/>
        <v>801689.59124999994</v>
      </c>
      <c r="AK16" s="7">
        <f t="shared" si="22"/>
        <v>30239.329594151746</v>
      </c>
      <c r="AL16" s="7">
        <f t="shared" si="20"/>
        <v>4206474.6791666672</v>
      </c>
      <c r="AM16" s="7">
        <f t="shared" si="23"/>
        <v>158666.11671288122</v>
      </c>
      <c r="AN16" s="7">
        <f t="shared" si="24"/>
        <v>5008164.2704166668</v>
      </c>
      <c r="AO16" s="7">
        <f t="shared" si="25"/>
        <v>188905.44630703298</v>
      </c>
      <c r="AQ16" s="31">
        <v>20249943</v>
      </c>
      <c r="AR16" s="43">
        <v>0.25</v>
      </c>
      <c r="AS16" s="44">
        <f t="shared" si="18"/>
        <v>80999772</v>
      </c>
    </row>
    <row r="17" spans="1:50" x14ac:dyDescent="0.2">
      <c r="A17" s="25">
        <v>2020</v>
      </c>
      <c r="B17" s="25">
        <f>'Non_GHG Data'!Q16</f>
        <v>3873</v>
      </c>
      <c r="C17" s="46">
        <v>13.53</v>
      </c>
      <c r="D17">
        <v>2</v>
      </c>
      <c r="E17" s="96">
        <v>150</v>
      </c>
      <c r="F17" s="102">
        <v>0.79400000000000004</v>
      </c>
      <c r="G17" s="103">
        <f t="shared" si="26"/>
        <v>12482082.558</v>
      </c>
      <c r="H17" s="96">
        <v>24.2</v>
      </c>
      <c r="I17" s="99">
        <f>G17/H17</f>
        <v>515788.53545454546</v>
      </c>
      <c r="J17" s="102">
        <v>0.05</v>
      </c>
      <c r="K17" s="103">
        <f t="shared" si="27"/>
        <v>393012.67499999999</v>
      </c>
      <c r="L17" s="96">
        <v>24.2</v>
      </c>
      <c r="M17" s="103">
        <f t="shared" si="28"/>
        <v>16240.193181818182</v>
      </c>
      <c r="N17" s="102">
        <v>0.05</v>
      </c>
      <c r="O17" s="7">
        <f t="shared" si="29"/>
        <v>786025.35</v>
      </c>
      <c r="P17" s="6">
        <v>39.67</v>
      </c>
      <c r="Q17" s="7">
        <f t="shared" si="30"/>
        <v>19814.100075623897</v>
      </c>
      <c r="S17" s="25">
        <f>'Non_GHG Data'!R16</f>
        <v>17661</v>
      </c>
      <c r="T17" s="6">
        <v>13.53</v>
      </c>
      <c r="U17">
        <v>2</v>
      </c>
      <c r="V17" s="96">
        <v>175</v>
      </c>
      <c r="W17" s="41">
        <v>0.79400000000000004</v>
      </c>
      <c r="X17" s="7">
        <f t="shared" si="31"/>
        <v>66405130.406999998</v>
      </c>
      <c r="Y17">
        <v>24.2</v>
      </c>
      <c r="Z17" s="7">
        <f t="shared" si="19"/>
        <v>2744013.6531818183</v>
      </c>
      <c r="AA17" s="41">
        <v>0.05</v>
      </c>
      <c r="AB17" s="7">
        <f t="shared" si="32"/>
        <v>2090841.6375000002</v>
      </c>
      <c r="AC17">
        <v>24</v>
      </c>
      <c r="AD17" s="7">
        <f>AB17/AC17</f>
        <v>87118.401562500003</v>
      </c>
      <c r="AE17" s="41">
        <v>0.05</v>
      </c>
      <c r="AF17" s="7">
        <f t="shared" si="33"/>
        <v>4181683.2750000004</v>
      </c>
      <c r="AG17" s="6">
        <v>39.67</v>
      </c>
      <c r="AH17" s="7">
        <f t="shared" si="34"/>
        <v>105411.72863624906</v>
      </c>
      <c r="AJ17" s="7">
        <f t="shared" si="21"/>
        <v>532028.72863636364</v>
      </c>
      <c r="AK17" s="7">
        <f t="shared" si="22"/>
        <v>19814.100075623897</v>
      </c>
      <c r="AL17" s="7">
        <f t="shared" si="20"/>
        <v>2831132.0547443181</v>
      </c>
      <c r="AM17" s="7">
        <f t="shared" si="23"/>
        <v>105411.72863624906</v>
      </c>
      <c r="AN17" s="7">
        <f t="shared" si="24"/>
        <v>3363160.7833806816</v>
      </c>
      <c r="AO17" s="7">
        <f t="shared" si="25"/>
        <v>125225.82871187295</v>
      </c>
      <c r="AQ17" s="31">
        <v>13680316.949999999</v>
      </c>
      <c r="AR17" s="43">
        <v>0.25</v>
      </c>
      <c r="AS17" s="27">
        <f t="shared" si="18"/>
        <v>54721267.799999997</v>
      </c>
    </row>
    <row r="18" spans="1:50" x14ac:dyDescent="0.2">
      <c r="A18" s="25">
        <v>2021</v>
      </c>
      <c r="B18" s="25">
        <f>'Non_GHG Data'!Q17</f>
        <v>3957</v>
      </c>
      <c r="C18" s="6">
        <v>15.4</v>
      </c>
      <c r="D18">
        <v>2</v>
      </c>
      <c r="E18" s="96">
        <v>225</v>
      </c>
      <c r="F18" s="102">
        <v>8.7400000000000005E-2</v>
      </c>
      <c r="G18" s="103">
        <f t="shared" si="26"/>
        <v>2396683.6740000001</v>
      </c>
      <c r="H18" s="96">
        <v>24.1</v>
      </c>
      <c r="I18" s="99">
        <f>G18/H18</f>
        <v>99447.455352697099</v>
      </c>
      <c r="J18" s="102">
        <v>0</v>
      </c>
      <c r="K18" s="103">
        <f t="shared" si="27"/>
        <v>0</v>
      </c>
      <c r="L18" s="96">
        <v>24.2</v>
      </c>
      <c r="M18" s="103">
        <f t="shared" si="28"/>
        <v>0</v>
      </c>
      <c r="N18" s="102">
        <v>0</v>
      </c>
      <c r="O18" s="7">
        <f t="shared" si="29"/>
        <v>0</v>
      </c>
      <c r="P18" s="6">
        <v>39.67</v>
      </c>
      <c r="Q18" s="7">
        <f t="shared" si="30"/>
        <v>0</v>
      </c>
      <c r="S18" s="25">
        <f>'Non_GHG Data'!R17</f>
        <v>17577</v>
      </c>
      <c r="T18" s="6">
        <v>15.4</v>
      </c>
      <c r="U18">
        <v>2</v>
      </c>
      <c r="V18">
        <v>250</v>
      </c>
      <c r="W18" s="29">
        <v>0.1106</v>
      </c>
      <c r="X18" s="7">
        <f t="shared" si="31"/>
        <v>14968924.74</v>
      </c>
      <c r="Y18">
        <v>24.1</v>
      </c>
      <c r="Z18" s="7">
        <f t="shared" si="19"/>
        <v>621117.2091286307</v>
      </c>
      <c r="AA18" s="41">
        <v>0</v>
      </c>
      <c r="AB18" s="7">
        <f t="shared" si="32"/>
        <v>0</v>
      </c>
      <c r="AC18">
        <v>24</v>
      </c>
      <c r="AD18" s="7">
        <f>AB18/AC18</f>
        <v>0</v>
      </c>
      <c r="AE18" s="41">
        <v>0</v>
      </c>
      <c r="AF18" s="7">
        <f t="shared" si="33"/>
        <v>0</v>
      </c>
      <c r="AG18" s="6">
        <v>39.67</v>
      </c>
      <c r="AH18" s="7">
        <f t="shared" si="34"/>
        <v>0</v>
      </c>
      <c r="AJ18" s="7">
        <f>I18+M18</f>
        <v>99447.455352697099</v>
      </c>
      <c r="AK18" s="7">
        <f t="shared" si="22"/>
        <v>0</v>
      </c>
      <c r="AL18" s="7">
        <f>Z18+AD18</f>
        <v>621117.2091286307</v>
      </c>
      <c r="AM18" s="7">
        <f t="shared" si="23"/>
        <v>0</v>
      </c>
      <c r="AN18" s="7">
        <f t="shared" si="24"/>
        <v>720564.66448132775</v>
      </c>
      <c r="AO18" s="7">
        <f t="shared" si="25"/>
        <v>0</v>
      </c>
      <c r="AQ18" s="31">
        <v>344464.74</v>
      </c>
      <c r="AR18" s="80">
        <v>0.25</v>
      </c>
      <c r="AS18" s="27">
        <f t="shared" si="18"/>
        <v>1377858.96</v>
      </c>
    </row>
    <row r="19" spans="1:50" x14ac:dyDescent="0.2">
      <c r="A19" s="25">
        <v>2022</v>
      </c>
      <c r="B19" s="25">
        <f>'Non_GHG Data'!Q18</f>
        <v>3982</v>
      </c>
      <c r="C19" s="75">
        <v>17</v>
      </c>
      <c r="D19" s="74">
        <v>2</v>
      </c>
      <c r="E19" s="104">
        <f>G38</f>
        <v>204</v>
      </c>
      <c r="F19" s="105">
        <v>0.28000000000000003</v>
      </c>
      <c r="G19" s="106">
        <f t="shared" si="26"/>
        <v>7733362.5599999996</v>
      </c>
      <c r="H19" s="104">
        <v>24.2</v>
      </c>
      <c r="I19" s="106">
        <f>G19/H19</f>
        <v>319560.43636363634</v>
      </c>
      <c r="J19" s="105">
        <v>0</v>
      </c>
      <c r="K19" s="106">
        <f t="shared" si="27"/>
        <v>0</v>
      </c>
      <c r="L19" s="104">
        <v>24.2</v>
      </c>
      <c r="M19" s="106">
        <f t="shared" si="28"/>
        <v>0</v>
      </c>
      <c r="N19" s="105">
        <v>0</v>
      </c>
      <c r="O19" s="77">
        <f t="shared" si="29"/>
        <v>0</v>
      </c>
      <c r="P19" s="75">
        <v>39.67</v>
      </c>
      <c r="Q19" s="77">
        <f t="shared" si="30"/>
        <v>0</v>
      </c>
      <c r="R19" s="74"/>
      <c r="S19" s="25">
        <f>'Non_GHG Data'!R18</f>
        <v>15664</v>
      </c>
      <c r="T19" s="75">
        <v>17</v>
      </c>
      <c r="U19" s="74">
        <v>2</v>
      </c>
      <c r="V19" s="74">
        <f>G37</f>
        <v>229</v>
      </c>
      <c r="W19" s="76">
        <v>0.28000000000000003</v>
      </c>
      <c r="X19" s="77">
        <f t="shared" si="31"/>
        <v>34148773.119999997</v>
      </c>
      <c r="Y19" s="74">
        <v>24.2</v>
      </c>
      <c r="Z19" s="77">
        <f t="shared" si="19"/>
        <v>1411106.3272727272</v>
      </c>
      <c r="AA19" s="76">
        <v>0</v>
      </c>
      <c r="AB19" s="77">
        <f t="shared" si="32"/>
        <v>0</v>
      </c>
      <c r="AC19" s="74">
        <v>24.2</v>
      </c>
      <c r="AD19" s="77">
        <f>(AB19/AC19)</f>
        <v>0</v>
      </c>
      <c r="AE19" s="76">
        <v>0</v>
      </c>
      <c r="AF19" s="77">
        <f t="shared" si="33"/>
        <v>0</v>
      </c>
      <c r="AG19" s="75">
        <v>39.67</v>
      </c>
      <c r="AH19" s="77">
        <f t="shared" si="34"/>
        <v>0</v>
      </c>
      <c r="AI19" s="74"/>
      <c r="AJ19" s="77">
        <f t="shared" si="21"/>
        <v>319560.43636363634</v>
      </c>
      <c r="AK19" s="77">
        <f t="shared" si="22"/>
        <v>0</v>
      </c>
      <c r="AL19" s="77">
        <f>Z19+AD19</f>
        <v>1411106.3272727272</v>
      </c>
      <c r="AM19" s="77">
        <f t="shared" si="23"/>
        <v>0</v>
      </c>
      <c r="AN19" s="77">
        <f t="shared" si="24"/>
        <v>1730666.7636363634</v>
      </c>
      <c r="AO19" s="77">
        <f t="shared" si="25"/>
        <v>0</v>
      </c>
      <c r="AP19" s="74"/>
      <c r="AQ19" s="43">
        <v>6997979.5599999996</v>
      </c>
      <c r="AR19" s="43">
        <v>0.25</v>
      </c>
      <c r="AS19" s="44">
        <f t="shared" si="18"/>
        <v>27991918.239999998</v>
      </c>
    </row>
    <row r="20" spans="1:50" x14ac:dyDescent="0.2">
      <c r="A20" s="25">
        <v>2023</v>
      </c>
      <c r="B20" s="74"/>
      <c r="C20" s="75"/>
      <c r="D20" s="74"/>
      <c r="E20" s="74"/>
      <c r="F20" s="76"/>
      <c r="G20" s="77"/>
      <c r="H20" s="74"/>
      <c r="I20" s="77"/>
      <c r="J20" s="76"/>
      <c r="K20" s="77"/>
      <c r="L20" s="74"/>
      <c r="M20" s="77"/>
      <c r="N20" s="76"/>
      <c r="O20" s="77"/>
      <c r="P20" s="75"/>
      <c r="Q20" s="77"/>
      <c r="R20" s="74"/>
      <c r="S20" s="74"/>
      <c r="T20" s="75"/>
      <c r="U20" s="74"/>
      <c r="V20" s="74"/>
      <c r="W20" s="76"/>
      <c r="X20" s="77"/>
      <c r="Y20" s="74"/>
      <c r="Z20" s="77"/>
      <c r="AA20" s="76"/>
      <c r="AB20" s="77"/>
      <c r="AC20" s="74"/>
      <c r="AD20" s="77"/>
      <c r="AE20" s="76"/>
      <c r="AF20" s="77"/>
      <c r="AG20" s="75"/>
      <c r="AH20" s="77"/>
      <c r="AI20" s="74"/>
      <c r="AJ20" s="77"/>
      <c r="AK20" s="77"/>
      <c r="AL20" s="77"/>
      <c r="AM20" s="77"/>
      <c r="AN20" s="77"/>
      <c r="AO20" s="77"/>
      <c r="AP20" s="74"/>
      <c r="AQ20" s="78"/>
      <c r="AR20" s="78"/>
      <c r="AS20" s="79"/>
    </row>
    <row r="21" spans="1:50" x14ac:dyDescent="0.2">
      <c r="A21" s="25">
        <v>2024</v>
      </c>
      <c r="B21" s="74"/>
      <c r="C21" s="75"/>
      <c r="D21" s="74"/>
      <c r="E21" s="74"/>
      <c r="F21" s="76"/>
      <c r="G21" s="77"/>
      <c r="H21" s="74"/>
      <c r="I21" s="77"/>
      <c r="J21" s="76"/>
      <c r="K21" s="77"/>
      <c r="L21" s="74"/>
      <c r="M21" s="77"/>
      <c r="N21" s="76"/>
      <c r="O21" s="77"/>
      <c r="P21" s="75"/>
      <c r="Q21" s="77"/>
      <c r="R21" s="74"/>
      <c r="S21" s="74"/>
      <c r="T21" s="75"/>
      <c r="U21" s="74"/>
      <c r="V21" s="74"/>
      <c r="W21" s="76"/>
      <c r="X21" s="77"/>
      <c r="Y21" s="74"/>
      <c r="Z21" s="77"/>
      <c r="AA21" s="76"/>
      <c r="AB21" s="77"/>
      <c r="AC21" s="74"/>
      <c r="AD21" s="77"/>
      <c r="AE21" s="76"/>
      <c r="AF21" s="77"/>
      <c r="AG21" s="75"/>
      <c r="AH21" s="77"/>
      <c r="AI21" s="74"/>
      <c r="AJ21" s="77"/>
      <c r="AK21" s="77"/>
      <c r="AL21" s="77"/>
      <c r="AM21" s="77"/>
      <c r="AN21" s="77"/>
      <c r="AO21" s="77"/>
      <c r="AP21" s="74"/>
      <c r="AQ21" s="78"/>
      <c r="AR21" s="78"/>
      <c r="AS21" s="79"/>
    </row>
    <row r="22" spans="1:50" x14ac:dyDescent="0.2">
      <c r="A22" s="25">
        <v>2025</v>
      </c>
      <c r="W22" s="29"/>
      <c r="AO22" s="33"/>
    </row>
    <row r="23" spans="1:50" x14ac:dyDescent="0.2">
      <c r="A23" s="25">
        <v>2026</v>
      </c>
      <c r="W23" s="29"/>
      <c r="AO23" s="33"/>
      <c r="AQ23" s="70"/>
    </row>
    <row r="24" spans="1:50" x14ac:dyDescent="0.2">
      <c r="A24" s="25">
        <v>2027</v>
      </c>
      <c r="C24" s="28"/>
      <c r="W24" s="29"/>
      <c r="AO24" s="33"/>
    </row>
    <row r="25" spans="1:50" x14ac:dyDescent="0.2">
      <c r="A25" s="25">
        <v>2028</v>
      </c>
      <c r="T25" s="28"/>
      <c r="W25" s="29"/>
      <c r="AO25" s="33"/>
      <c r="AV25"/>
      <c r="AW25"/>
      <c r="AX25"/>
    </row>
    <row r="26" spans="1:50" x14ac:dyDescent="0.2">
      <c r="A26" s="25">
        <v>2029</v>
      </c>
      <c r="W26" s="29"/>
      <c r="AQ26" s="2"/>
      <c r="AU26" s="71"/>
      <c r="AV26" s="70"/>
      <c r="AW26" s="33"/>
    </row>
    <row r="27" spans="1:50" ht="19" x14ac:dyDescent="0.25">
      <c r="A27" s="25">
        <v>2030</v>
      </c>
      <c r="D27" s="42"/>
      <c r="E27"/>
      <c r="W27" s="29"/>
      <c r="AU27" s="71"/>
      <c r="AV27" s="70"/>
      <c r="AW27" s="33"/>
      <c r="AX27" s="46"/>
    </row>
    <row r="28" spans="1:50" x14ac:dyDescent="0.2">
      <c r="A28" s="25">
        <v>2031</v>
      </c>
      <c r="D28"/>
      <c r="F28"/>
      <c r="H28" s="33"/>
      <c r="W28" s="41"/>
      <c r="AU28" s="71"/>
      <c r="AV28" s="70"/>
      <c r="AW28" s="33"/>
      <c r="AX28" s="46"/>
    </row>
    <row r="29" spans="1:50" ht="19" x14ac:dyDescent="0.25">
      <c r="A29" s="25">
        <v>2032</v>
      </c>
      <c r="D29" s="42"/>
      <c r="E29" s="58" t="s">
        <v>135</v>
      </c>
      <c r="F29" s="58" t="s">
        <v>136</v>
      </c>
      <c r="G29" s="58" t="s">
        <v>137</v>
      </c>
      <c r="H29" s="58" t="s">
        <v>138</v>
      </c>
      <c r="I29" s="58" t="s">
        <v>139</v>
      </c>
    </row>
    <row r="30" spans="1:50" ht="15" customHeight="1" x14ac:dyDescent="0.2">
      <c r="A30" s="25">
        <v>2033</v>
      </c>
      <c r="D30" s="64" t="s">
        <v>122</v>
      </c>
      <c r="E30">
        <f>52*5</f>
        <v>260</v>
      </c>
      <c r="F30">
        <f>52*5</f>
        <v>260</v>
      </c>
      <c r="G30">
        <f>52*5</f>
        <v>260</v>
      </c>
      <c r="H30">
        <f>52*5</f>
        <v>260</v>
      </c>
      <c r="I30">
        <f>52*5</f>
        <v>260</v>
      </c>
      <c r="AU30"/>
      <c r="AV30"/>
    </row>
    <row r="31" spans="1:50" x14ac:dyDescent="0.2">
      <c r="A31" s="25">
        <v>2034</v>
      </c>
      <c r="D31" s="64" t="s">
        <v>123</v>
      </c>
      <c r="E31">
        <f>12*1.25</f>
        <v>15</v>
      </c>
      <c r="F31">
        <f>12*1.25</f>
        <v>15</v>
      </c>
      <c r="G31">
        <f>12*1.25</f>
        <v>15</v>
      </c>
      <c r="H31">
        <f>12*1.25</f>
        <v>15</v>
      </c>
      <c r="I31">
        <f>12*1.25</f>
        <v>15</v>
      </c>
      <c r="J31" s="16"/>
    </row>
    <row r="32" spans="1:50" x14ac:dyDescent="0.2">
      <c r="A32" s="25">
        <v>2035</v>
      </c>
      <c r="D32" s="64" t="s">
        <v>126</v>
      </c>
      <c r="E32" s="25">
        <v>12</v>
      </c>
      <c r="F32" s="25">
        <v>12</v>
      </c>
      <c r="G32" s="25">
        <v>12</v>
      </c>
      <c r="H32" s="25">
        <v>12</v>
      </c>
      <c r="I32" s="25">
        <v>12</v>
      </c>
      <c r="J32" s="16"/>
    </row>
    <row r="33" spans="1:20" x14ac:dyDescent="0.2">
      <c r="A33" s="25">
        <v>2036</v>
      </c>
      <c r="D33" s="64" t="s">
        <v>125</v>
      </c>
      <c r="E33" s="25">
        <v>3</v>
      </c>
      <c r="F33" s="25">
        <v>3</v>
      </c>
      <c r="G33" s="25">
        <v>3</v>
      </c>
      <c r="H33" s="25">
        <v>3</v>
      </c>
      <c r="I33" s="25">
        <v>3</v>
      </c>
      <c r="J33" s="16"/>
    </row>
    <row r="34" spans="1:20" x14ac:dyDescent="0.2">
      <c r="A34" s="25">
        <v>2037</v>
      </c>
      <c r="D34" s="64" t="s">
        <v>124</v>
      </c>
      <c r="E34" s="62">
        <v>11</v>
      </c>
      <c r="F34" s="62">
        <v>11</v>
      </c>
      <c r="G34" s="62">
        <v>11</v>
      </c>
      <c r="H34" s="62">
        <v>11</v>
      </c>
      <c r="I34" s="62">
        <v>11</v>
      </c>
      <c r="J34" s="16"/>
    </row>
    <row r="35" spans="1:20" x14ac:dyDescent="0.2">
      <c r="A35" s="25">
        <v>2038</v>
      </c>
      <c r="D35" s="64" t="s">
        <v>129</v>
      </c>
      <c r="E35">
        <f>E30-E31-E32-E33-E34</f>
        <v>219</v>
      </c>
      <c r="F35">
        <f>F30-F31-F32-F33-F34</f>
        <v>219</v>
      </c>
      <c r="G35">
        <f>G30-G31-G32-G33-G34</f>
        <v>219</v>
      </c>
      <c r="H35">
        <f>H30-H31-H32-H33-H34</f>
        <v>219</v>
      </c>
      <c r="I35">
        <f>I30-I31-I32-I33-I34</f>
        <v>219</v>
      </c>
      <c r="J35" s="16"/>
      <c r="S35"/>
    </row>
    <row r="36" spans="1:20" x14ac:dyDescent="0.2">
      <c r="A36" s="25">
        <v>2039</v>
      </c>
      <c r="D36" s="64" t="s">
        <v>127</v>
      </c>
      <c r="E36" s="62">
        <v>10</v>
      </c>
      <c r="F36" s="62">
        <v>10</v>
      </c>
      <c r="G36" s="62">
        <v>10</v>
      </c>
      <c r="H36" s="62">
        <v>10</v>
      </c>
      <c r="I36" s="62">
        <v>10</v>
      </c>
    </row>
    <row r="37" spans="1:20" ht="16" thickBot="1" x14ac:dyDescent="0.25">
      <c r="A37" s="25">
        <v>2040</v>
      </c>
      <c r="D37" s="64" t="s">
        <v>130</v>
      </c>
      <c r="E37" s="63">
        <f>E35+E36</f>
        <v>229</v>
      </c>
      <c r="F37" s="63">
        <f>F35+F36</f>
        <v>229</v>
      </c>
      <c r="G37" s="63">
        <f>G35+G36</f>
        <v>229</v>
      </c>
      <c r="H37" s="63">
        <f>H35+H36</f>
        <v>229</v>
      </c>
      <c r="I37" s="63">
        <f>I35+I36</f>
        <v>229</v>
      </c>
      <c r="T37"/>
    </row>
    <row r="38" spans="1:20" ht="16" thickTop="1" x14ac:dyDescent="0.2">
      <c r="A38" s="25">
        <v>2041</v>
      </c>
      <c r="D38" s="64" t="s">
        <v>131</v>
      </c>
      <c r="E38">
        <f>E37-25</f>
        <v>204</v>
      </c>
      <c r="F38">
        <f>F37-25</f>
        <v>204</v>
      </c>
      <c r="G38">
        <f>G37-25</f>
        <v>204</v>
      </c>
      <c r="H38">
        <f>H37-25</f>
        <v>204</v>
      </c>
      <c r="I38">
        <f>I37-25</f>
        <v>204</v>
      </c>
    </row>
    <row r="39" spans="1:20" x14ac:dyDescent="0.2">
      <c r="A39" s="25">
        <v>2042</v>
      </c>
      <c r="D39" s="65"/>
    </row>
    <row r="40" spans="1:20" x14ac:dyDescent="0.2">
      <c r="A40" s="25">
        <v>2043</v>
      </c>
      <c r="D40" s="64" t="s">
        <v>140</v>
      </c>
      <c r="E40" s="25">
        <f>14*5</f>
        <v>70</v>
      </c>
      <c r="F40" s="25">
        <f>F37</f>
        <v>229</v>
      </c>
      <c r="G40" s="25">
        <f>G37</f>
        <v>229</v>
      </c>
      <c r="H40" s="25">
        <f>H37</f>
        <v>229</v>
      </c>
      <c r="I40" s="25">
        <f>I37</f>
        <v>229</v>
      </c>
    </row>
    <row r="41" spans="1:20" x14ac:dyDescent="0.2">
      <c r="A41" s="25">
        <v>2044</v>
      </c>
      <c r="D41" s="64" t="s">
        <v>132</v>
      </c>
      <c r="E41" s="29">
        <v>0.8</v>
      </c>
      <c r="F41" s="29">
        <v>0.7</v>
      </c>
      <c r="G41" s="29">
        <v>0.25</v>
      </c>
      <c r="H41" s="29">
        <v>0.2</v>
      </c>
      <c r="I41" s="29">
        <v>0.15</v>
      </c>
    </row>
    <row r="42" spans="1:20" x14ac:dyDescent="0.2">
      <c r="A42" s="25">
        <v>2045</v>
      </c>
      <c r="D42" s="64" t="s">
        <v>128</v>
      </c>
      <c r="E42" s="69">
        <f>E40*E41</f>
        <v>56</v>
      </c>
      <c r="F42" s="69">
        <f>F40*F41</f>
        <v>160.29999999999998</v>
      </c>
      <c r="G42" s="69">
        <f>G40*G41</f>
        <v>57.25</v>
      </c>
      <c r="H42" s="69">
        <f>H40*H41</f>
        <v>45.800000000000004</v>
      </c>
      <c r="I42" s="69">
        <f>I40*I41</f>
        <v>34.35</v>
      </c>
    </row>
    <row r="43" spans="1:20" ht="16" thickBot="1" x14ac:dyDescent="0.25">
      <c r="A43" s="25">
        <v>2046</v>
      </c>
      <c r="D43" s="66" t="s">
        <v>133</v>
      </c>
      <c r="E43" s="67">
        <f>E37-E42</f>
        <v>173</v>
      </c>
      <c r="F43" s="67">
        <f>F37-F42</f>
        <v>68.700000000000017</v>
      </c>
      <c r="G43" s="67">
        <f>G37-G42</f>
        <v>171.75</v>
      </c>
      <c r="H43" s="67">
        <f>H37-H42</f>
        <v>183.2</v>
      </c>
      <c r="I43" s="67">
        <f>I37-I42</f>
        <v>194.65</v>
      </c>
    </row>
    <row r="44" spans="1:20" ht="18.75" customHeight="1" thickTop="1" thickBot="1" x14ac:dyDescent="0.25">
      <c r="A44" s="25">
        <v>2047</v>
      </c>
      <c r="D44" s="66" t="s">
        <v>134</v>
      </c>
      <c r="E44" s="68">
        <f>E38-E42</f>
        <v>148</v>
      </c>
      <c r="F44" s="68">
        <f>F38-F42</f>
        <v>43.700000000000017</v>
      </c>
      <c r="G44" s="68">
        <f>G38-G42</f>
        <v>146.75</v>
      </c>
      <c r="H44" s="68">
        <f>H38-H42</f>
        <v>158.19999999999999</v>
      </c>
      <c r="I44" s="68">
        <f>I38-I42</f>
        <v>169.65</v>
      </c>
    </row>
    <row r="45" spans="1:20" ht="16" thickTop="1" x14ac:dyDescent="0.2">
      <c r="A45" s="25">
        <v>2048</v>
      </c>
    </row>
    <row r="46" spans="1:20" x14ac:dyDescent="0.2">
      <c r="A46" s="25">
        <v>2049</v>
      </c>
    </row>
    <row r="47" spans="1:20" x14ac:dyDescent="0.2">
      <c r="A47" s="25">
        <v>2050</v>
      </c>
    </row>
  </sheetData>
  <mergeCells count="15">
    <mergeCell ref="AQ1:AS1"/>
    <mergeCell ref="AN2:AO2"/>
    <mergeCell ref="AJ1:AO1"/>
    <mergeCell ref="B2:E2"/>
    <mergeCell ref="B1:Q1"/>
    <mergeCell ref="S1:AH1"/>
    <mergeCell ref="S2:V2"/>
    <mergeCell ref="W2:Z2"/>
    <mergeCell ref="AA2:AD2"/>
    <mergeCell ref="F2:I2"/>
    <mergeCell ref="J2:M2"/>
    <mergeCell ref="AE2:AH2"/>
    <mergeCell ref="AJ2:AK2"/>
    <mergeCell ref="AL2:AM2"/>
    <mergeCell ref="N2:Q2"/>
  </mergeCells>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9" tint="-0.249977111117893"/>
  </sheetPr>
  <dimension ref="A2:O104"/>
  <sheetViews>
    <sheetView zoomScale="110" zoomScaleNormal="110" workbookViewId="0"/>
  </sheetViews>
  <sheetFormatPr baseColWidth="10" defaultColWidth="9.1640625" defaultRowHeight="15" x14ac:dyDescent="0.2"/>
  <cols>
    <col min="1" max="1" width="7.1640625" bestFit="1" customWidth="1"/>
    <col min="2" max="2" width="29.5" bestFit="1" customWidth="1"/>
    <col min="3" max="4" width="25.5" bestFit="1" customWidth="1"/>
    <col min="5" max="5" width="22.83203125" customWidth="1"/>
    <col min="6" max="6" width="25.5" bestFit="1" customWidth="1"/>
    <col min="7" max="7" width="30.5" bestFit="1" customWidth="1"/>
    <col min="8" max="8" width="25.5" bestFit="1" customWidth="1"/>
    <col min="9" max="9" width="22.83203125" bestFit="1" customWidth="1"/>
    <col min="10" max="10" width="25.5" bestFit="1" customWidth="1"/>
    <col min="11" max="13" width="24.5" customWidth="1"/>
    <col min="15" max="15" width="13.83203125" customWidth="1"/>
  </cols>
  <sheetData>
    <row r="2" spans="1:10" x14ac:dyDescent="0.2">
      <c r="A2" s="48" t="s">
        <v>3</v>
      </c>
      <c r="B2" s="48" t="s">
        <v>59</v>
      </c>
      <c r="C2" s="48" t="s">
        <v>100</v>
      </c>
      <c r="D2" s="48" t="s">
        <v>103</v>
      </c>
      <c r="E2" s="48" t="s">
        <v>101</v>
      </c>
      <c r="F2" s="48" t="s">
        <v>100</v>
      </c>
      <c r="G2" s="48" t="s">
        <v>109</v>
      </c>
      <c r="H2" s="48" t="s">
        <v>100</v>
      </c>
      <c r="I2" s="48" t="s">
        <v>18</v>
      </c>
      <c r="J2" s="48" t="s">
        <v>100</v>
      </c>
    </row>
    <row r="3" spans="1:10" x14ac:dyDescent="0.2">
      <c r="A3">
        <v>2007</v>
      </c>
      <c r="B3" s="2">
        <f>EmissionsDashboard!E6</f>
        <v>338828.14501180686</v>
      </c>
      <c r="C3" s="4">
        <f>(B3-$B$3)/$B$3</f>
        <v>0</v>
      </c>
      <c r="D3" s="19">
        <v>332134.68835487973</v>
      </c>
      <c r="E3" s="2">
        <f>EmissionsDashboard!F6+EmissionsDashboard!G6+EmissionsDashboard!H6+EmissionsDashboard!I6+EmissionsDashboard!Q6+EmissionsDashboard!U6+EmissionsDashboard!V6</f>
        <v>264194.08465893479</v>
      </c>
      <c r="F3" s="4">
        <f>(E3-$E$3)/$E$3</f>
        <v>0</v>
      </c>
      <c r="G3" s="2">
        <f>EmissionsDashboard!J6+EmissionsDashboard!K6+EmissionsDashboard!R6+EmissionsDashboard!S6+EmissionsDashboard!T6</f>
        <v>72254.469091305946</v>
      </c>
      <c r="H3" s="4">
        <f>(G3-$G$3)/$G$3</f>
        <v>0</v>
      </c>
      <c r="I3" s="2">
        <f>EmissionsDashboard!L6+EmissionsDashboard!M6+EmissionsDashboard!N6+EmissionsDashboard!O6+EmissionsDashboard!P6+EmissionsDashboard!W6+EmissionsDashboard!X6</f>
        <v>2379.5912615660645</v>
      </c>
      <c r="J3" s="4">
        <f t="shared" ref="J3:J17" si="0">(I3-$I$3)/$I$3</f>
        <v>0</v>
      </c>
    </row>
    <row r="4" spans="1:10" x14ac:dyDescent="0.2">
      <c r="A4">
        <v>2008</v>
      </c>
      <c r="B4" s="2">
        <f>EmissionsDashboard!E7</f>
        <v>338882.54793150496</v>
      </c>
      <c r="C4" s="4">
        <f t="shared" ref="C4:C14" si="1">(B4-$B$3)/$B$3</f>
        <v>1.6056198547556729E-4</v>
      </c>
      <c r="D4" s="19">
        <v>347362.34220467007</v>
      </c>
      <c r="E4" s="2">
        <f>EmissionsDashboard!F7+EmissionsDashboard!G7+EmissionsDashboard!H7+EmissionsDashboard!I7+EmissionsDashboard!Q7+EmissionsDashboard!U7+EmissionsDashboard!V7</f>
        <v>268026.57102820917</v>
      </c>
      <c r="F4" s="4">
        <f t="shared" ref="F4:F17" si="2">(E4-$E$3)/$E$3</f>
        <v>1.4506329217105622E-2</v>
      </c>
      <c r="G4" s="2">
        <f>EmissionsDashboard!J7+EmissionsDashboard!K7+EmissionsDashboard!R7+EmissionsDashboard!S7+EmissionsDashboard!T7</f>
        <v>67982.714244445116</v>
      </c>
      <c r="H4" s="4">
        <f t="shared" ref="H4:H17" si="3">(G4-$G$3)/$G$3</f>
        <v>-5.9120977575279565E-2</v>
      </c>
      <c r="I4" s="2">
        <f>EmissionsDashboard!L7+EmissionsDashboard!M7+EmissionsDashboard!N7+EmissionsDashboard!O7+EmissionsDashboard!P7+EmissionsDashboard!W7+EmissionsDashboard!X7</f>
        <v>2873.2626588506337</v>
      </c>
      <c r="J4" s="4">
        <f t="shared" si="0"/>
        <v>0.20746058588216215</v>
      </c>
    </row>
    <row r="5" spans="1:10" x14ac:dyDescent="0.2">
      <c r="A5">
        <v>2009</v>
      </c>
      <c r="B5" s="2">
        <f>EmissionsDashboard!E8</f>
        <v>322354.63974981062</v>
      </c>
      <c r="C5" s="4">
        <f t="shared" si="1"/>
        <v>-4.8619058081559897E-2</v>
      </c>
      <c r="D5" s="19">
        <v>341701.76563960145</v>
      </c>
      <c r="E5" s="2">
        <f>EmissionsDashboard!F8+EmissionsDashboard!G8+EmissionsDashboard!H8+EmissionsDashboard!I8+EmissionsDashboard!Q8+EmissionsDashboard!U8+EmissionsDashboard!V8</f>
        <v>240245.01836792711</v>
      </c>
      <c r="F5" s="4">
        <f t="shared" si="2"/>
        <v>-9.0649517463364387E-2</v>
      </c>
      <c r="G5" s="2">
        <f>EmissionsDashboard!J8+EmissionsDashboard!K8+EmissionsDashboard!R8+EmissionsDashboard!S8+EmissionsDashboard!T8</f>
        <v>79015.302016687448</v>
      </c>
      <c r="H5" s="4">
        <f t="shared" si="3"/>
        <v>9.3569754375165751E-2</v>
      </c>
      <c r="I5" s="2">
        <f>EmissionsDashboard!L8+EmissionsDashboard!M8+EmissionsDashboard!N8+EmissionsDashboard!O8+EmissionsDashboard!P8+EmissionsDashboard!W8+EmissionsDashboard!X8</f>
        <v>3094.319365196076</v>
      </c>
      <c r="J5" s="4">
        <f t="shared" si="0"/>
        <v>0.30035750894446983</v>
      </c>
    </row>
    <row r="6" spans="1:10" x14ac:dyDescent="0.2">
      <c r="A6">
        <v>2010</v>
      </c>
      <c r="B6" s="2">
        <f>EmissionsDashboard!E9</f>
        <v>307757.8588168695</v>
      </c>
      <c r="C6" s="4">
        <f t="shared" si="1"/>
        <v>-9.169924828368281E-2</v>
      </c>
      <c r="D6" s="19">
        <v>300562.89726125967</v>
      </c>
      <c r="E6" s="2">
        <f>EmissionsDashboard!F9+EmissionsDashboard!G9+EmissionsDashboard!H9+EmissionsDashboard!I9+EmissionsDashboard!Q9+EmissionsDashboard!U9+EmissionsDashboard!V9</f>
        <v>228959.18186176609</v>
      </c>
      <c r="F6" s="4">
        <f t="shared" si="2"/>
        <v>-0.13336749323004607</v>
      </c>
      <c r="G6" s="2">
        <f>EmissionsDashboard!J9+EmissionsDashboard!K9+EmissionsDashboard!R9+EmissionsDashboard!S9+EmissionsDashboard!T9</f>
        <v>75752.8273332518</v>
      </c>
      <c r="H6" s="4">
        <f t="shared" si="3"/>
        <v>4.8417188389068049E-2</v>
      </c>
      <c r="I6" s="2">
        <f>EmissionsDashboard!L9+EmissionsDashboard!M9+EmissionsDashboard!N9+EmissionsDashboard!O9+EmissionsDashboard!P9+EmissionsDashboard!W9+EmissionsDashboard!X9</f>
        <v>3045.8496218516038</v>
      </c>
      <c r="J6" s="4">
        <f t="shared" si="0"/>
        <v>0.27998857242695502</v>
      </c>
    </row>
    <row r="7" spans="1:10" x14ac:dyDescent="0.2">
      <c r="A7">
        <v>2011</v>
      </c>
      <c r="B7" s="2">
        <f>EmissionsDashboard!E10</f>
        <v>301234.19077904487</v>
      </c>
      <c r="C7" s="4">
        <f t="shared" si="1"/>
        <v>-0.11095286736422673</v>
      </c>
      <c r="D7" s="19">
        <v>300016.13427238469</v>
      </c>
      <c r="E7" s="2">
        <f>EmissionsDashboard!F10+EmissionsDashboard!G10+EmissionsDashboard!H10+EmissionsDashboard!I10+EmissionsDashboard!Q10+EmissionsDashboard!U10+EmissionsDashboard!V10</f>
        <v>217414.83593652589</v>
      </c>
      <c r="F7" s="4">
        <f t="shared" si="2"/>
        <v>-0.1770639519912009</v>
      </c>
      <c r="G7" s="2">
        <f>EmissionsDashboard!J10+EmissionsDashboard!K10+EmissionsDashboard!R10+EmissionsDashboard!S10+EmissionsDashboard!T10</f>
        <v>81563.331287328125</v>
      </c>
      <c r="H7" s="4">
        <f t="shared" si="3"/>
        <v>0.12883441416279498</v>
      </c>
      <c r="I7" s="2">
        <f>EmissionsDashboard!L10+EmissionsDashboard!M10+EmissionsDashboard!N10+EmissionsDashboard!O10+EmissionsDashboard!P10+EmissionsDashboard!W10+EmissionsDashboard!X10</f>
        <v>2256.0235551908136</v>
      </c>
      <c r="J7" s="4">
        <f t="shared" si="0"/>
        <v>-5.1928122434744602E-2</v>
      </c>
    </row>
    <row r="8" spans="1:10" x14ac:dyDescent="0.2">
      <c r="A8">
        <v>2012</v>
      </c>
      <c r="B8" s="2">
        <f>EmissionsDashboard!E11</f>
        <v>285285.28537058912</v>
      </c>
      <c r="C8" s="4">
        <f t="shared" si="1"/>
        <v>-0.15802364835823182</v>
      </c>
      <c r="D8" s="19">
        <v>291359.05083073361</v>
      </c>
      <c r="E8" s="2">
        <f>EmissionsDashboard!F11+EmissionsDashboard!G11+EmissionsDashboard!H11+EmissionsDashboard!I11+EmissionsDashboard!Q11+EmissionsDashboard!U11+EmissionsDashboard!V11</f>
        <v>200109.02402459426</v>
      </c>
      <c r="F8" s="4">
        <f t="shared" si="2"/>
        <v>-0.24256811320008198</v>
      </c>
      <c r="G8" s="2">
        <f>EmissionsDashboard!J11+EmissionsDashboard!K11+EmissionsDashboard!R11+EmissionsDashboard!S11+EmissionsDashboard!T11</f>
        <v>80994.00799363351</v>
      </c>
      <c r="H8" s="4">
        <f t="shared" si="3"/>
        <v>0.12095499437250938</v>
      </c>
      <c r="I8" s="2">
        <f>EmissionsDashboard!L11+EmissionsDashboard!M11+EmissionsDashboard!N11+EmissionsDashboard!O11+EmissionsDashboard!P11+EmissionsDashboard!W11+EmissionsDashboard!X11</f>
        <v>4182.2533523613456</v>
      </c>
      <c r="J8" s="4">
        <f t="shared" si="0"/>
        <v>0.75755114750627683</v>
      </c>
    </row>
    <row r="9" spans="1:10" x14ac:dyDescent="0.2">
      <c r="A9">
        <v>2013</v>
      </c>
      <c r="B9" s="2">
        <f>EmissionsDashboard!E12</f>
        <v>282167.45403798629</v>
      </c>
      <c r="C9" s="4">
        <f t="shared" si="1"/>
        <v>-0.16722545575972197</v>
      </c>
      <c r="D9" s="19">
        <v>274808.36331643525</v>
      </c>
      <c r="E9" s="2">
        <f>EmissionsDashboard!F12+EmissionsDashboard!G12+EmissionsDashboard!H12+EmissionsDashboard!I12+EmissionsDashboard!Q12+EmissionsDashboard!U12+EmissionsDashboard!V12</f>
        <v>184552.36038192085</v>
      </c>
      <c r="F9" s="4">
        <f t="shared" si="2"/>
        <v>-0.30145158011326628</v>
      </c>
      <c r="G9" s="2">
        <f>EmissionsDashboard!J12+EmissionsDashboard!K12+EmissionsDashboard!R12+EmissionsDashboard!S12+EmissionsDashboard!T12</f>
        <v>94555.168353893649</v>
      </c>
      <c r="H9" s="4">
        <f t="shared" si="3"/>
        <v>0.30864110612185019</v>
      </c>
      <c r="I9" s="2">
        <f>EmissionsDashboard!L12+EmissionsDashboard!M12+EmissionsDashboard!N12+EmissionsDashboard!O12+EmissionsDashboard!P12+EmissionsDashboard!W12+EmissionsDashboard!X12</f>
        <v>3059.9253021718096</v>
      </c>
      <c r="J9" s="4">
        <f t="shared" si="0"/>
        <v>0.28590373968594984</v>
      </c>
    </row>
    <row r="10" spans="1:10" x14ac:dyDescent="0.2">
      <c r="A10">
        <v>2014</v>
      </c>
      <c r="B10" s="2">
        <f>EmissionsDashboard!E13</f>
        <v>267935.44772427808</v>
      </c>
      <c r="C10" s="4">
        <f t="shared" si="1"/>
        <v>-0.20922906886928899</v>
      </c>
      <c r="D10" s="19">
        <v>267204.4741158851</v>
      </c>
      <c r="E10" s="2">
        <f>EmissionsDashboard!F13+EmissionsDashboard!G13+EmissionsDashboard!H13+EmissionsDashboard!I13+EmissionsDashboard!Q13+EmissionsDashboard!U13+EmissionsDashboard!V13</f>
        <v>179209.79621301449</v>
      </c>
      <c r="F10" s="4">
        <f t="shared" si="2"/>
        <v>-0.3216736989233957</v>
      </c>
      <c r="G10" s="2">
        <f>EmissionsDashboard!J13+EmissionsDashboard!K13+EmissionsDashboard!R13+EmissionsDashboard!S13+EmissionsDashboard!T13</f>
        <v>86733.51026404911</v>
      </c>
      <c r="H10" s="4">
        <f t="shared" si="3"/>
        <v>0.20038955866448074</v>
      </c>
      <c r="I10" s="2">
        <f>EmissionsDashboard!L13+EmissionsDashboard!M13+EmissionsDashboard!N13+EmissionsDashboard!O13+EmissionsDashboard!P13+EmissionsDashboard!W13+EmissionsDashboard!X13</f>
        <v>1992.1412472145043</v>
      </c>
      <c r="J10" s="4">
        <f t="shared" si="0"/>
        <v>-0.16282208655303695</v>
      </c>
    </row>
    <row r="11" spans="1:10" x14ac:dyDescent="0.2">
      <c r="A11">
        <v>2015</v>
      </c>
      <c r="B11" s="2">
        <f>EmissionsDashboard!E14</f>
        <v>274593.85611200769</v>
      </c>
      <c r="C11" s="4">
        <f t="shared" si="1"/>
        <v>-0.18957778403432468</v>
      </c>
      <c r="D11" s="19">
        <v>259629.12638676073</v>
      </c>
      <c r="E11" s="2">
        <f>EmissionsDashboard!F14+EmissionsDashboard!G14+EmissionsDashboard!H14+EmissionsDashboard!I14+EmissionsDashboard!Q14+EmissionsDashboard!U14+EmissionsDashboard!V14</f>
        <v>177112.11362012432</v>
      </c>
      <c r="F11" s="4">
        <f t="shared" si="2"/>
        <v>-0.32961362912886644</v>
      </c>
      <c r="G11" s="2">
        <f>EmissionsDashboard!J14+EmissionsDashboard!K14+EmissionsDashboard!R14+EmissionsDashboard!S14+EmissionsDashboard!T14</f>
        <v>95353.338921332092</v>
      </c>
      <c r="H11" s="4">
        <f t="shared" si="3"/>
        <v>0.31968776631431273</v>
      </c>
      <c r="I11" s="2">
        <f>EmissionsDashboard!L14+EmissionsDashboard!M14+EmissionsDashboard!N14+EmissionsDashboard!O14+EmissionsDashboard!P14+EmissionsDashboard!W14+EmissionsDashboard!X14</f>
        <v>2128.4035705512824</v>
      </c>
      <c r="J11" s="4">
        <f t="shared" si="0"/>
        <v>-0.10555917525494257</v>
      </c>
    </row>
    <row r="12" spans="1:10" x14ac:dyDescent="0.2">
      <c r="A12">
        <v>2016</v>
      </c>
      <c r="B12" s="2">
        <f>EmissionsDashboard!E15</f>
        <v>261219.80259514123</v>
      </c>
      <c r="C12" s="4">
        <f t="shared" si="1"/>
        <v>-0.22904927928570185</v>
      </c>
      <c r="D12" s="19">
        <v>255510.01891868381</v>
      </c>
      <c r="E12" s="2">
        <f>EmissionsDashboard!F15+EmissionsDashboard!G15+EmissionsDashboard!H15+EmissionsDashboard!I15+EmissionsDashboard!Q15+EmissionsDashboard!U15+EmissionsDashboard!V15</f>
        <v>166956.38597614554</v>
      </c>
      <c r="F12" s="4">
        <f t="shared" si="2"/>
        <v>-0.36805403424652627</v>
      </c>
      <c r="G12" s="2">
        <f>EmissionsDashboard!J15+EmissionsDashboard!K15+EmissionsDashboard!R15+EmissionsDashboard!S15+EmissionsDashboard!T15</f>
        <v>91998.233439818679</v>
      </c>
      <c r="H12" s="4">
        <f t="shared" si="3"/>
        <v>0.27325319245738411</v>
      </c>
      <c r="I12" s="2">
        <f>EmissionsDashboard!L15+EmissionsDashboard!M15+EmissionsDashboard!N15+EmissionsDashboard!O15+EmissionsDashboard!P15+EmissionsDashboard!W15+EmissionsDashboard!X15</f>
        <v>2265.1831791770128</v>
      </c>
      <c r="J12" s="4">
        <f t="shared" si="0"/>
        <v>-4.8078879863492657E-2</v>
      </c>
    </row>
    <row r="13" spans="1:10" x14ac:dyDescent="0.2">
      <c r="A13">
        <v>2017</v>
      </c>
      <c r="B13" s="2">
        <f>EmissionsDashboard!E16</f>
        <v>252997.14022829267</v>
      </c>
      <c r="C13" s="4">
        <f t="shared" si="1"/>
        <v>-0.2533172230439219</v>
      </c>
      <c r="D13" s="19">
        <v>251390.91145060692</v>
      </c>
      <c r="E13" s="2">
        <f>EmissionsDashboard!F16+EmissionsDashboard!G16+EmissionsDashboard!H16+EmissionsDashboard!I16+EmissionsDashboard!Q16+EmissionsDashboard!U16+EmissionsDashboard!V16</f>
        <v>179182.94671134965</v>
      </c>
      <c r="F13" s="4">
        <f t="shared" si="2"/>
        <v>-0.3217753268674865</v>
      </c>
      <c r="G13" s="2">
        <f>EmissionsDashboard!J16+EmissionsDashboard!K16+EmissionsDashboard!R16+EmissionsDashboard!S16+EmissionsDashboard!T16</f>
        <v>71618.030529989657</v>
      </c>
      <c r="H13" s="4">
        <f t="shared" si="3"/>
        <v>-8.8082933736879174E-3</v>
      </c>
      <c r="I13" s="2">
        <f>EmissionsDashboard!L16+EmissionsDashboard!M16+EmissionsDashboard!N16+EmissionsDashboard!O16+EmissionsDashboard!P16+EmissionsDashboard!W16+EmissionsDashboard!X16</f>
        <v>2196.1629869533817</v>
      </c>
      <c r="J13" s="4">
        <f t="shared" si="0"/>
        <v>-7.708394192537267E-2</v>
      </c>
    </row>
    <row r="14" spans="1:10" x14ac:dyDescent="0.2">
      <c r="A14">
        <v>2018</v>
      </c>
      <c r="B14" s="2">
        <f>EmissionsDashboard!E17</f>
        <v>257030.85143953498</v>
      </c>
      <c r="C14" s="4">
        <f t="shared" si="1"/>
        <v>-0.24141233476759011</v>
      </c>
      <c r="D14" s="19">
        <v>217228.7401078126</v>
      </c>
      <c r="E14" s="2">
        <f>EmissionsDashboard!F17+EmissionsDashboard!G17+EmissionsDashboard!H17+EmissionsDashboard!I17+EmissionsDashboard!Q17+EmissionsDashboard!U17+EmissionsDashboard!V17</f>
        <v>176258.51071735486</v>
      </c>
      <c r="F14" s="4">
        <f t="shared" si="2"/>
        <v>-0.33284459814874978</v>
      </c>
      <c r="G14" s="2">
        <f>EmissionsDashboard!J17+EmissionsDashboard!K17+EmissionsDashboard!R17+EmissionsDashboard!S17+EmissionsDashboard!T17</f>
        <v>79184.603734036602</v>
      </c>
      <c r="H14" s="4">
        <f t="shared" si="3"/>
        <v>9.5912885803274534E-2</v>
      </c>
      <c r="I14" s="2">
        <f>EmissionsDashboard!L17+EmissionsDashboard!M17+EmissionsDashboard!N17+EmissionsDashboard!O17+EmissionsDashboard!P17+EmissionsDashboard!W17+EmissionsDashboard!X17</f>
        <v>1587.7369881435588</v>
      </c>
      <c r="J14" s="4">
        <f t="shared" si="0"/>
        <v>-0.33276902895557275</v>
      </c>
    </row>
    <row r="15" spans="1:10" x14ac:dyDescent="0.2">
      <c r="A15">
        <v>2019</v>
      </c>
      <c r="B15" s="2">
        <f>EmissionsDashboard!E18</f>
        <v>270264.98406955332</v>
      </c>
      <c r="C15" s="4">
        <f>(B15-$B$3)/$B$3</f>
        <v>-0.20235379484152469</v>
      </c>
      <c r="D15" s="19">
        <v>183497.24932030687</v>
      </c>
      <c r="E15" s="2">
        <f>EmissionsDashboard!F18+EmissionsDashboard!G18+EmissionsDashboard!H18+EmissionsDashboard!I18+EmissionsDashboard!Q18+EmissionsDashboard!U18+EmissionsDashboard!V18</f>
        <v>178023.73947113182</v>
      </c>
      <c r="F15" s="4">
        <f t="shared" si="2"/>
        <v>-0.3261630376737838</v>
      </c>
      <c r="G15" s="2">
        <f>EmissionsDashboard!J18+EmissionsDashboard!K18+EmissionsDashboard!R18+EmissionsDashboard!S18+EmissionsDashboard!T18</f>
        <v>89577.583405760481</v>
      </c>
      <c r="H15" s="4">
        <f t="shared" si="3"/>
        <v>0.23975145803872425</v>
      </c>
      <c r="I15" s="2">
        <f>EmissionsDashboard!L18+EmissionsDashboard!M18+EmissionsDashboard!N18+EmissionsDashboard!O18+EmissionsDashboard!P18+EmissionsDashboard!W18+EmissionsDashboard!X18</f>
        <v>2663.6611926610185</v>
      </c>
      <c r="J15" s="4">
        <f t="shared" si="0"/>
        <v>0.11937761567841736</v>
      </c>
    </row>
    <row r="16" spans="1:10" x14ac:dyDescent="0.2">
      <c r="A16">
        <v>2020</v>
      </c>
      <c r="B16" s="2">
        <f>EmissionsDashboard!E19</f>
        <v>224812.43723269508</v>
      </c>
      <c r="C16" s="4">
        <f>(B16-$B$3)/$B$3</f>
        <v>-0.3365001091486623</v>
      </c>
      <c r="D16" s="19">
        <v>176343.6995071978</v>
      </c>
      <c r="E16" s="2">
        <f>EmissionsDashboard!F19+EmissionsDashboard!G19+EmissionsDashboard!H19+EmissionsDashboard!I19+EmissionsDashboard!Q19+EmissionsDashboard!U19+EmissionsDashboard!V19</f>
        <v>163468.37208065458</v>
      </c>
      <c r="F16" s="4">
        <f t="shared" si="2"/>
        <v>-0.38125650204588624</v>
      </c>
      <c r="G16" s="2">
        <f>EmissionsDashboard!J19+EmissionsDashboard!K19+EmissionsDashboard!R19+EmissionsDashboard!S19+EmissionsDashboard!T19</f>
        <v>60946.602052615024</v>
      </c>
      <c r="H16" s="4">
        <f t="shared" si="3"/>
        <v>-0.15650058994138463</v>
      </c>
      <c r="I16" s="2">
        <f>EmissionsDashboard!L19+EmissionsDashboard!M19+EmissionsDashboard!N19+EmissionsDashboard!O19+EmissionsDashboard!P19+EmissionsDashboard!W19+EmissionsDashboard!X19</f>
        <v>397.46309942551511</v>
      </c>
      <c r="J16" s="4">
        <f t="shared" si="0"/>
        <v>-0.8329700121843886</v>
      </c>
    </row>
    <row r="17" spans="1:11" x14ac:dyDescent="0.2">
      <c r="A17">
        <v>2021</v>
      </c>
      <c r="B17" s="2">
        <f>EmissionsDashboard!E20</f>
        <v>171491.67575345535</v>
      </c>
      <c r="C17" s="4">
        <f>(B17-$B$3)/$B$3</f>
        <v>-0.49386826838874465</v>
      </c>
      <c r="D17" s="19">
        <v>174350.26746210508</v>
      </c>
      <c r="E17" s="2">
        <f>EmissionsDashboard!F20+EmissionsDashboard!G20+EmissionsDashboard!H20+EmissionsDashboard!I20+EmissionsDashboard!Q20+EmissionsDashboard!U20+EmissionsDashboard!V20</f>
        <v>158783.61236110295</v>
      </c>
      <c r="F17" s="4">
        <f t="shared" si="2"/>
        <v>-0.39898876779891962</v>
      </c>
      <c r="G17" s="2">
        <f>EmissionsDashboard!J20+EmissionsDashboard!K20+EmissionsDashboard!R20+EmissionsDashboard!S20+EmissionsDashboard!T20</f>
        <v>10011.552876720467</v>
      </c>
      <c r="H17" s="4">
        <f t="shared" si="3"/>
        <v>-0.86144036482962527</v>
      </c>
      <c r="I17" s="2">
        <f>EmissionsDashboard!L20+EmissionsDashboard!M20+EmissionsDashboard!N20+EmissionsDashboard!O20+EmissionsDashboard!P20+EmissionsDashboard!W20+EmissionsDashboard!X20</f>
        <v>2696.510515631915</v>
      </c>
      <c r="J17" s="4">
        <f t="shared" si="0"/>
        <v>0.13318222300802976</v>
      </c>
    </row>
    <row r="18" spans="1:11" x14ac:dyDescent="0.2">
      <c r="A18">
        <v>2022</v>
      </c>
      <c r="B18" s="2">
        <f>EmissionsDashboard!E21</f>
        <v>194345.94188614268</v>
      </c>
      <c r="C18" s="4">
        <f>(B18-$B$3)/$B$3</f>
        <v>-0.42641736010634396</v>
      </c>
      <c r="D18" s="19">
        <v>174351.267462105</v>
      </c>
      <c r="E18" s="2">
        <f>EmissionsDashboard!F21+EmissionsDashboard!G21+EmissionsDashboard!H21+EmissionsDashboard!I21+EmissionsDashboard!Q21+EmissionsDashboard!U21+EmissionsDashboard!V21</f>
        <v>160364.61660917124</v>
      </c>
      <c r="F18" s="4">
        <f t="shared" ref="F18" si="4">(E18-$E$3)/$E$3</f>
        <v>-0.39300451478239462</v>
      </c>
      <c r="G18" s="2">
        <f>EmissionsDashboard!J21+EmissionsDashboard!K21+EmissionsDashboard!R21+EmissionsDashboard!S21+EmissionsDashboard!T21</f>
        <v>32015.961183800027</v>
      </c>
      <c r="H18" s="4">
        <f t="shared" ref="H18" si="5">(G18-$G$3)/$G$3</f>
        <v>-0.55689991793666971</v>
      </c>
      <c r="I18" s="2">
        <f>EmissionsDashboard!L21+EmissionsDashboard!M21+EmissionsDashboard!N21+EmissionsDashboard!O21+EmissionsDashboard!P21+EmissionsDashboard!W21+EmissionsDashboard!X21</f>
        <v>1965.364093171439</v>
      </c>
      <c r="J18" s="4">
        <f t="shared" ref="J18" si="6">(I18-$I$3)/$I$3</f>
        <v>-0.17407492416240131</v>
      </c>
    </row>
    <row r="19" spans="1:11" x14ac:dyDescent="0.2">
      <c r="G19" s="8"/>
    </row>
    <row r="21" spans="1:11" x14ac:dyDescent="0.2">
      <c r="A21" s="48" t="s">
        <v>3</v>
      </c>
      <c r="B21" s="48" t="s">
        <v>59</v>
      </c>
      <c r="C21" s="48" t="s">
        <v>101</v>
      </c>
      <c r="D21" s="48" t="s">
        <v>105</v>
      </c>
      <c r="E21" s="48" t="s">
        <v>26</v>
      </c>
      <c r="F21" s="48" t="s">
        <v>102</v>
      </c>
      <c r="G21" s="48" t="s">
        <v>109</v>
      </c>
      <c r="H21" s="48" t="s">
        <v>98</v>
      </c>
      <c r="I21" s="48" t="s">
        <v>28</v>
      </c>
      <c r="J21" s="48" t="s">
        <v>99</v>
      </c>
      <c r="K21" s="48" t="s">
        <v>104</v>
      </c>
    </row>
    <row r="22" spans="1:11" x14ac:dyDescent="0.2">
      <c r="A22">
        <v>2007</v>
      </c>
      <c r="B22" s="7">
        <f>B3</f>
        <v>338828.14501180686</v>
      </c>
      <c r="C22" s="7">
        <f>E3</f>
        <v>264194.08465893479</v>
      </c>
      <c r="D22" s="47">
        <f>EmissionsDashboard!F6+EmissionsDashboard!G6+EmissionsDashboard!H6+EmissionsDashboard!I6</f>
        <v>98059.267511447659</v>
      </c>
      <c r="E22" s="47">
        <f>EmissionsDashboard!Q6</f>
        <v>166134.81714748713</v>
      </c>
      <c r="F22" s="47">
        <f>EmissionsDashboard!U6+EmissionsDashboard!V6</f>
        <v>0</v>
      </c>
      <c r="G22" s="7">
        <f>G3</f>
        <v>72254.469091305946</v>
      </c>
      <c r="H22" s="47">
        <f>EmissionsDashboard!R6+EmissionsDashboard!S6</f>
        <v>27570.592780999672</v>
      </c>
      <c r="I22" s="47">
        <f>EmissionsDashboard!T6</f>
        <v>41354.41468926028</v>
      </c>
      <c r="J22" s="47">
        <f>EmissionsDashboard!J6+EmissionsDashboard!K6</f>
        <v>3329.4616210459944</v>
      </c>
      <c r="K22" s="47">
        <f>EmissionsDashboard!L6+EmissionsDashboard!M6+EmissionsDashboard!N6+EmissionsDashboard!O6+EmissionsDashboard!P6+EmissionsDashboard!W6+EmissionsDashboard!X6</f>
        <v>2379.5912615660645</v>
      </c>
    </row>
    <row r="23" spans="1:11" x14ac:dyDescent="0.2">
      <c r="A23">
        <v>2008</v>
      </c>
      <c r="B23" s="7">
        <f>B4</f>
        <v>338882.54793150496</v>
      </c>
      <c r="C23" s="7">
        <f>E4</f>
        <v>268026.57102820917</v>
      </c>
      <c r="D23" s="47">
        <f>EmissionsDashboard!F7+EmissionsDashboard!G7+EmissionsDashboard!H7+EmissionsDashboard!I7</f>
        <v>100658.45224566417</v>
      </c>
      <c r="E23" s="47">
        <f>EmissionsDashboard!Q7</f>
        <v>167368.11878254503</v>
      </c>
      <c r="F23" s="47">
        <f>EmissionsDashboard!U7+EmissionsDashboard!V7</f>
        <v>0</v>
      </c>
      <c r="G23" s="7">
        <f>G4</f>
        <v>67982.714244445116</v>
      </c>
      <c r="H23" s="47">
        <f>EmissionsDashboard!R7+EmissionsDashboard!S7</f>
        <v>26905.742268856724</v>
      </c>
      <c r="I23" s="47">
        <f>EmissionsDashboard!T7</f>
        <v>37697.332611034966</v>
      </c>
      <c r="J23" s="47">
        <f>EmissionsDashboard!J7+EmissionsDashboard!K7</f>
        <v>3379.6393645534345</v>
      </c>
      <c r="K23" s="47">
        <f>EmissionsDashboard!L7+EmissionsDashboard!M7+EmissionsDashboard!N7+EmissionsDashboard!O7+EmissionsDashboard!P7+EmissionsDashboard!W7+EmissionsDashboard!X7</f>
        <v>2873.2626588506337</v>
      </c>
    </row>
    <row r="24" spans="1:11" x14ac:dyDescent="0.2">
      <c r="A24">
        <v>2009</v>
      </c>
      <c r="B24" s="7">
        <f>B5</f>
        <v>322354.63974981062</v>
      </c>
      <c r="C24" s="7">
        <f>E5</f>
        <v>240245.01836792711</v>
      </c>
      <c r="D24" s="47">
        <f>EmissionsDashboard!F8+EmissionsDashboard!G8+EmissionsDashboard!H8+EmissionsDashboard!I8</f>
        <v>102451.48624534177</v>
      </c>
      <c r="E24" s="47">
        <f>EmissionsDashboard!Q8</f>
        <v>137793.53212258534</v>
      </c>
      <c r="F24" s="47">
        <f>EmissionsDashboard!U8+EmissionsDashboard!V8</f>
        <v>0</v>
      </c>
      <c r="G24" s="7">
        <f>G5</f>
        <v>79015.302016687448</v>
      </c>
      <c r="H24" s="47">
        <f>EmissionsDashboard!R8+EmissionsDashboard!S8</f>
        <v>30462.723383736251</v>
      </c>
      <c r="I24" s="47">
        <f>EmissionsDashboard!T8</f>
        <v>45095.400115639066</v>
      </c>
      <c r="J24" s="47">
        <f>EmissionsDashboard!J8+EmissionsDashboard!K8</f>
        <v>3457.178517312127</v>
      </c>
      <c r="K24" s="47">
        <f>EmissionsDashboard!L8+EmissionsDashboard!M8+EmissionsDashboard!N8+EmissionsDashboard!O8+EmissionsDashboard!P8+EmissionsDashboard!W8+EmissionsDashboard!X8</f>
        <v>3094.319365196076</v>
      </c>
    </row>
    <row r="25" spans="1:11" x14ac:dyDescent="0.2">
      <c r="A25">
        <v>2010</v>
      </c>
      <c r="B25" s="7">
        <f>B6</f>
        <v>307757.8588168695</v>
      </c>
      <c r="C25" s="7">
        <f>E6</f>
        <v>228959.18186176609</v>
      </c>
      <c r="D25" s="47">
        <f>EmissionsDashboard!F9+EmissionsDashboard!G9+EmissionsDashboard!H9+EmissionsDashboard!I9</f>
        <v>89234.839133182089</v>
      </c>
      <c r="E25" s="47">
        <f>EmissionsDashboard!Q9</f>
        <v>139724.34272858402</v>
      </c>
      <c r="F25" s="47">
        <f>EmissionsDashboard!U9+EmissionsDashboard!V9</f>
        <v>0</v>
      </c>
      <c r="G25" s="7">
        <f>G6</f>
        <v>75752.8273332518</v>
      </c>
      <c r="H25" s="47">
        <f>EmissionsDashboard!R9+EmissionsDashboard!S9</f>
        <v>28660.226512105612</v>
      </c>
      <c r="I25" s="47">
        <f>EmissionsDashboard!T9</f>
        <v>43791.841944944812</v>
      </c>
      <c r="J25" s="47">
        <f>EmissionsDashboard!J9+EmissionsDashboard!K9</f>
        <v>3300.7588762013702</v>
      </c>
      <c r="K25" s="47">
        <f>EmissionsDashboard!L9+EmissionsDashboard!M9+EmissionsDashboard!N9+EmissionsDashboard!O9+EmissionsDashboard!P9+EmissionsDashboard!W9+EmissionsDashboard!X9</f>
        <v>3045.8496218516038</v>
      </c>
    </row>
    <row r="26" spans="1:11" x14ac:dyDescent="0.2">
      <c r="A26">
        <v>2011</v>
      </c>
      <c r="B26" s="7">
        <f>B7</f>
        <v>301234.19077904487</v>
      </c>
      <c r="C26" s="7">
        <f>E7</f>
        <v>217414.83593652589</v>
      </c>
      <c r="D26" s="47">
        <f>EmissionsDashboard!F10+EmissionsDashboard!G10+EmissionsDashboard!H10+EmissionsDashboard!I10</f>
        <v>72764.344020731834</v>
      </c>
      <c r="E26" s="47">
        <f>EmissionsDashboard!Q10</f>
        <v>144650.49191579406</v>
      </c>
      <c r="F26" s="47">
        <f>EmissionsDashboard!U10+EmissionsDashboard!V10</f>
        <v>0</v>
      </c>
      <c r="G26" s="7">
        <f>G7</f>
        <v>81563.331287328125</v>
      </c>
      <c r="H26" s="47">
        <f>EmissionsDashboard!R10+EmissionsDashboard!S10</f>
        <v>28674.42301981787</v>
      </c>
      <c r="I26" s="47">
        <f>EmissionsDashboard!T10</f>
        <v>49629.765996748094</v>
      </c>
      <c r="J26" s="47">
        <f>EmissionsDashboard!J10+EmissionsDashboard!K10</f>
        <v>3259.1422707621632</v>
      </c>
      <c r="K26" s="47">
        <f>EmissionsDashboard!L10+EmissionsDashboard!M10+EmissionsDashboard!N10+EmissionsDashboard!O10+EmissionsDashboard!P10+EmissionsDashboard!W10+EmissionsDashboard!X10</f>
        <v>2256.0235551908136</v>
      </c>
    </row>
    <row r="27" spans="1:11" x14ac:dyDescent="0.2">
      <c r="A27">
        <v>2012</v>
      </c>
      <c r="B27" s="7">
        <f>B8</f>
        <v>285285.28537058912</v>
      </c>
      <c r="C27" s="7">
        <f>E8</f>
        <v>200109.02402459426</v>
      </c>
      <c r="D27" s="47">
        <f>EmissionsDashboard!F11+EmissionsDashboard!G11+EmissionsDashboard!H11+EmissionsDashboard!I11</f>
        <v>58739.975680157986</v>
      </c>
      <c r="E27" s="47">
        <f>EmissionsDashboard!Q11</f>
        <v>141369.04834443628</v>
      </c>
      <c r="F27" s="47">
        <f>EmissionsDashboard!U11+EmissionsDashboard!V11</f>
        <v>0</v>
      </c>
      <c r="G27" s="7">
        <f>G8</f>
        <v>80994.00799363351</v>
      </c>
      <c r="H27" s="47">
        <f>EmissionsDashboard!R11+EmissionsDashboard!S11</f>
        <v>30374.103232490223</v>
      </c>
      <c r="I27" s="47">
        <f>EmissionsDashboard!T11</f>
        <v>47750.993152383475</v>
      </c>
      <c r="J27" s="47">
        <f>EmissionsDashboard!J11+EmissionsDashboard!K11</f>
        <v>2868.911608759814</v>
      </c>
      <c r="K27" s="47">
        <f>EmissionsDashboard!L11+EmissionsDashboard!M11+EmissionsDashboard!N11+EmissionsDashboard!O11+EmissionsDashboard!P11+EmissionsDashboard!W11+EmissionsDashboard!X11</f>
        <v>4182.2533523613456</v>
      </c>
    </row>
    <row r="28" spans="1:11" x14ac:dyDescent="0.2">
      <c r="A28">
        <v>2013</v>
      </c>
      <c r="B28" s="7">
        <f>B9</f>
        <v>282167.45403798629</v>
      </c>
      <c r="C28" s="7">
        <f>E9</f>
        <v>184552.36038192085</v>
      </c>
      <c r="D28" s="47">
        <f>EmissionsDashboard!F12+EmissionsDashboard!G12+EmissionsDashboard!H12+EmissionsDashboard!I12</f>
        <v>62901.247171269046</v>
      </c>
      <c r="E28" s="47">
        <f>EmissionsDashboard!Q12</f>
        <v>121651.11321065181</v>
      </c>
      <c r="F28" s="47">
        <f>EmissionsDashboard!U12+EmissionsDashboard!V12</f>
        <v>0</v>
      </c>
      <c r="G28" s="7">
        <f>G9</f>
        <v>94555.168353893649</v>
      </c>
      <c r="H28" s="47">
        <f>EmissionsDashboard!R12+EmissionsDashboard!S12</f>
        <v>34762.402822522279</v>
      </c>
      <c r="I28" s="47">
        <f>EmissionsDashboard!T12</f>
        <v>56789.96332028621</v>
      </c>
      <c r="J28" s="47">
        <f>EmissionsDashboard!J12+EmissionsDashboard!K12</f>
        <v>3002.8022110851534</v>
      </c>
      <c r="K28" s="47">
        <f>EmissionsDashboard!L12+EmissionsDashboard!M12+EmissionsDashboard!N12+EmissionsDashboard!O12+EmissionsDashboard!P12+EmissionsDashboard!W12+EmissionsDashboard!X12</f>
        <v>3059.9253021718096</v>
      </c>
    </row>
    <row r="29" spans="1:11" x14ac:dyDescent="0.2">
      <c r="A29">
        <v>2014</v>
      </c>
      <c r="B29" s="7">
        <f>B10</f>
        <v>267935.44772427808</v>
      </c>
      <c r="C29" s="7">
        <f>E10</f>
        <v>179209.79621301449</v>
      </c>
      <c r="D29" s="47">
        <f>EmissionsDashboard!F13+EmissionsDashboard!G13+EmissionsDashboard!H13+EmissionsDashboard!I13</f>
        <v>62758.848923087055</v>
      </c>
      <c r="E29" s="47">
        <f>EmissionsDashboard!Q13</f>
        <v>116450.94728992743</v>
      </c>
      <c r="F29" s="47">
        <f>EmissionsDashboard!U13+EmissionsDashboard!V13</f>
        <v>0</v>
      </c>
      <c r="G29" s="7">
        <f>G10</f>
        <v>86733.51026404911</v>
      </c>
      <c r="H29" s="47">
        <f>EmissionsDashboard!R13+EmissionsDashboard!S13</f>
        <v>33501.463697199768</v>
      </c>
      <c r="I29" s="47">
        <f>EmissionsDashboard!T13</f>
        <v>50229.792312110134</v>
      </c>
      <c r="J29" s="47">
        <f>EmissionsDashboard!J13+EmissionsDashboard!K13</f>
        <v>3002.2542547392131</v>
      </c>
      <c r="K29" s="47">
        <f>EmissionsDashboard!L13+EmissionsDashboard!M13+EmissionsDashboard!N13+EmissionsDashboard!O13+EmissionsDashboard!P13+EmissionsDashboard!W13+EmissionsDashboard!X13</f>
        <v>1992.1412472145043</v>
      </c>
    </row>
    <row r="30" spans="1:11" x14ac:dyDescent="0.2">
      <c r="A30">
        <v>2015</v>
      </c>
      <c r="B30" s="7">
        <f>B11</f>
        <v>274593.85611200769</v>
      </c>
      <c r="C30" s="7">
        <f>E11</f>
        <v>177112.11362012432</v>
      </c>
      <c r="D30" s="47">
        <f>EmissionsDashboard!F14+EmissionsDashboard!G14+EmissionsDashboard!H14+EmissionsDashboard!I14</f>
        <v>60629.099008024328</v>
      </c>
      <c r="E30" s="47">
        <f>EmissionsDashboard!Q14</f>
        <v>116483.01461209999</v>
      </c>
      <c r="F30" s="47">
        <f>EmissionsDashboard!U14+EmissionsDashboard!V14</f>
        <v>0</v>
      </c>
      <c r="G30" s="7">
        <f>G11</f>
        <v>95353.338921332092</v>
      </c>
      <c r="H30" s="47">
        <f>EmissionsDashboard!R14+EmissionsDashboard!S14</f>
        <v>36154.379951424082</v>
      </c>
      <c r="I30" s="47">
        <f>EmissionsDashboard!T14</f>
        <v>56139.666264788808</v>
      </c>
      <c r="J30" s="47">
        <f>EmissionsDashboard!J14+EmissionsDashboard!K14</f>
        <v>3059.2927051192123</v>
      </c>
      <c r="K30" s="47">
        <f>EmissionsDashboard!L14+EmissionsDashboard!M14+EmissionsDashboard!N14+EmissionsDashboard!O14+EmissionsDashboard!P14+EmissionsDashboard!W14+EmissionsDashboard!X14</f>
        <v>2128.4035705512824</v>
      </c>
    </row>
    <row r="31" spans="1:11" x14ac:dyDescent="0.2">
      <c r="A31">
        <v>2016</v>
      </c>
      <c r="B31" s="7">
        <f>B12</f>
        <v>261219.80259514123</v>
      </c>
      <c r="C31" s="7">
        <f>E12</f>
        <v>166956.38597614554</v>
      </c>
      <c r="D31" s="47">
        <f>EmissionsDashboard!F15+EmissionsDashboard!G15+EmissionsDashboard!H15+EmissionsDashboard!I15</f>
        <v>56820.271932183292</v>
      </c>
      <c r="E31" s="47">
        <f>EmissionsDashboard!Q15</f>
        <v>110136.11404396225</v>
      </c>
      <c r="F31" s="47">
        <f>EmissionsDashboard!U15+EmissionsDashboard!V15</f>
        <v>0</v>
      </c>
      <c r="G31" s="7">
        <f>G12</f>
        <v>91998.233439818679</v>
      </c>
      <c r="H31" s="47">
        <f>EmissionsDashboard!R15+EmissionsDashboard!S15</f>
        <v>35341.554627505211</v>
      </c>
      <c r="I31" s="47">
        <f>EmissionsDashboard!T15</f>
        <v>53311.195248513352</v>
      </c>
      <c r="J31" s="47">
        <f>EmissionsDashboard!J15+EmissionsDashboard!K15</f>
        <v>3345.4835638001132</v>
      </c>
      <c r="K31" s="47">
        <f>EmissionsDashboard!L15+EmissionsDashboard!M15+EmissionsDashboard!N15+EmissionsDashboard!O15+EmissionsDashboard!P15+EmissionsDashboard!W15+EmissionsDashboard!X15</f>
        <v>2265.1831791770128</v>
      </c>
    </row>
    <row r="32" spans="1:11" x14ac:dyDescent="0.2">
      <c r="A32">
        <v>2017</v>
      </c>
      <c r="B32" s="7">
        <f>B13</f>
        <v>252997.14022829267</v>
      </c>
      <c r="C32" s="7">
        <f>E13</f>
        <v>179182.94671134965</v>
      </c>
      <c r="D32" s="47">
        <f>EmissionsDashboard!F16+EmissionsDashboard!G16+EmissionsDashboard!H16+EmissionsDashboard!I16</f>
        <v>57999.457309982085</v>
      </c>
      <c r="E32" s="47">
        <f>EmissionsDashboard!Q16</f>
        <v>110501.73971883558</v>
      </c>
      <c r="F32" s="47">
        <f>EmissionsDashboard!U16+EmissionsDashboard!V16</f>
        <v>10681.749682531974</v>
      </c>
      <c r="G32" s="7">
        <f>G13</f>
        <v>71618.030529989657</v>
      </c>
      <c r="H32" s="47">
        <f>EmissionsDashboard!R16+EmissionsDashboard!S16</f>
        <v>36621.164448810057</v>
      </c>
      <c r="I32" s="47">
        <f>EmissionsDashboard!T16</f>
        <v>31600.962289285711</v>
      </c>
      <c r="J32" s="47">
        <f>EmissionsDashboard!J16+EmissionsDashboard!K16</f>
        <v>3395.9037918938825</v>
      </c>
      <c r="K32" s="47">
        <f>EmissionsDashboard!L16+EmissionsDashboard!M16+EmissionsDashboard!N16+EmissionsDashboard!O16+EmissionsDashboard!P16+EmissionsDashboard!W16+EmissionsDashboard!X16</f>
        <v>2196.1629869533817</v>
      </c>
    </row>
    <row r="33" spans="1:11" x14ac:dyDescent="0.2">
      <c r="A33">
        <v>2018</v>
      </c>
      <c r="B33" s="7">
        <f>B14</f>
        <v>257030.85143953498</v>
      </c>
      <c r="C33" s="7">
        <f>E14</f>
        <v>176258.51071735486</v>
      </c>
      <c r="D33" s="47">
        <f>EmissionsDashboard!F17+EmissionsDashboard!G17+EmissionsDashboard!H17+EmissionsDashboard!I17</f>
        <v>62909.45055510501</v>
      </c>
      <c r="E33" s="47">
        <f>EmissionsDashboard!Q17</f>
        <v>103256.98178</v>
      </c>
      <c r="F33" s="47">
        <f>EmissionsDashboard!U17+EmissionsDashboard!V17</f>
        <v>10092.078382249832</v>
      </c>
      <c r="G33" s="7">
        <f>G14</f>
        <v>79184.603734036602</v>
      </c>
      <c r="H33" s="47">
        <f>EmissionsDashboard!R17+EmissionsDashboard!S17</f>
        <v>40340.800754305266</v>
      </c>
      <c r="I33" s="47">
        <f>EmissionsDashboard!T17</f>
        <v>35020.607326133337</v>
      </c>
      <c r="J33" s="47">
        <f>EmissionsDashboard!J17+EmissionsDashboard!K17</f>
        <v>3823.1956535979998</v>
      </c>
      <c r="K33" s="47">
        <f>EmissionsDashboard!L17+EmissionsDashboard!M17+EmissionsDashboard!N17+EmissionsDashboard!O17+EmissionsDashboard!P17+EmissionsDashboard!W17+EmissionsDashboard!X17</f>
        <v>1587.7369881435588</v>
      </c>
    </row>
    <row r="34" spans="1:11" x14ac:dyDescent="0.2">
      <c r="A34">
        <v>2019</v>
      </c>
      <c r="B34" s="7">
        <f>B15</f>
        <v>270264.98406955332</v>
      </c>
      <c r="C34" s="7">
        <f>E15</f>
        <v>178023.73947113182</v>
      </c>
      <c r="D34" s="47">
        <f>EmissionsDashboard!F18+EmissionsDashboard!G18+EmissionsDashboard!H18+EmissionsDashboard!I18</f>
        <v>63989.92738741167</v>
      </c>
      <c r="E34" s="47">
        <f>EmissionsDashboard!Q18</f>
        <v>103872.60551000001</v>
      </c>
      <c r="F34" s="47">
        <f>EmissionsDashboard!U18+EmissionsDashboard!V18</f>
        <v>10161.206573720128</v>
      </c>
      <c r="G34" s="7">
        <f>G15</f>
        <v>89577.583405760481</v>
      </c>
      <c r="H34" s="47">
        <f>EmissionsDashboard!R18+EmissionsDashboard!S18</f>
        <v>46650.220920399537</v>
      </c>
      <c r="I34" s="47">
        <f>EmissionsDashboard!T18</f>
        <v>39074.290012800004</v>
      </c>
      <c r="J34" s="47">
        <f>EmissionsDashboard!J18+EmissionsDashboard!K18</f>
        <v>3853.072472560938</v>
      </c>
      <c r="K34" s="47">
        <f>EmissionsDashboard!L18+EmissionsDashboard!M18+EmissionsDashboard!N18+EmissionsDashboard!O18+EmissionsDashboard!P18+EmissionsDashboard!W18+EmissionsDashboard!X18</f>
        <v>2663.6611926610185</v>
      </c>
    </row>
    <row r="35" spans="1:11" x14ac:dyDescent="0.2">
      <c r="A35">
        <v>2020</v>
      </c>
      <c r="B35" s="7">
        <f>B16</f>
        <v>224812.43723269508</v>
      </c>
      <c r="C35" s="7">
        <f>E16</f>
        <v>163468.37208065458</v>
      </c>
      <c r="D35" s="47">
        <f>EmissionsDashboard!F19+EmissionsDashboard!G19+EmissionsDashboard!H19+EmissionsDashboard!I19</f>
        <v>66956.106353774885</v>
      </c>
      <c r="E35" s="47">
        <f>EmissionsDashboard!Q19</f>
        <v>87763.859047186925</v>
      </c>
      <c r="F35" s="47">
        <f>EmissionsDashboard!U19+EmissionsDashboard!V19</f>
        <v>8748.4066796927382</v>
      </c>
      <c r="G35" s="7">
        <f>G16</f>
        <v>60946.602052615024</v>
      </c>
      <c r="H35" s="47">
        <f>EmissionsDashboard!R19+EmissionsDashboard!S19</f>
        <v>31310.841568496449</v>
      </c>
      <c r="I35" s="47">
        <f>EmissionsDashboard!T19</f>
        <v>26397.539586719999</v>
      </c>
      <c r="J35" s="47">
        <f>EmissionsDashboard!J19+EmissionsDashboard!K19</f>
        <v>3238.2208973985821</v>
      </c>
      <c r="K35" s="47">
        <f>EmissionsDashboard!L19+EmissionsDashboard!M19+EmissionsDashboard!N19+EmissionsDashboard!O19+EmissionsDashboard!P19+EmissionsDashboard!W19+EmissionsDashboard!X19</f>
        <v>397.46309942551511</v>
      </c>
    </row>
    <row r="36" spans="1:11" x14ac:dyDescent="0.2">
      <c r="A36">
        <v>2021</v>
      </c>
      <c r="B36" s="7">
        <f>B17</f>
        <v>171491.67575345535</v>
      </c>
      <c r="C36" s="7">
        <f>E17</f>
        <v>158783.61236110295</v>
      </c>
      <c r="D36" s="47">
        <f>EmissionsDashboard!F20+EmissionsDashboard!G20+EmissionsDashboard!H20+EmissionsDashboard!I20</f>
        <v>70051.879767742095</v>
      </c>
      <c r="E36" s="47">
        <f>EmissionsDashboard!Q20</f>
        <v>80589.690067785865</v>
      </c>
      <c r="F36" s="47">
        <f>EmissionsDashboard!U20+EmissionsDashboard!V20</f>
        <v>8142.0425255749751</v>
      </c>
      <c r="G36" s="7">
        <f>G17</f>
        <v>10011.552876720467</v>
      </c>
      <c r="H36" s="47">
        <f>EmissionsDashboard!R20+EmissionsDashboard!S20</f>
        <v>6437.8949144164671</v>
      </c>
      <c r="I36" s="47">
        <f>EmissionsDashboard!T20</f>
        <v>664.67916230399999</v>
      </c>
      <c r="J36" s="47">
        <f>EmissionsDashboard!J20+EmissionsDashboard!K20</f>
        <v>2908.9787999999999</v>
      </c>
      <c r="K36" s="47">
        <f>EmissionsDashboard!L20+EmissionsDashboard!M20+EmissionsDashboard!N20+EmissionsDashboard!O20+EmissionsDashboard!P20+EmissionsDashboard!W20+EmissionsDashboard!X20</f>
        <v>2696.510515631915</v>
      </c>
    </row>
    <row r="37" spans="1:11" x14ac:dyDescent="0.2">
      <c r="A37">
        <v>2022</v>
      </c>
      <c r="B37" s="7">
        <f>B18</f>
        <v>194345.94188614268</v>
      </c>
      <c r="C37" s="7">
        <f>E18</f>
        <v>160364.61660917124</v>
      </c>
      <c r="D37" s="47">
        <f>EmissionsDashboard!F21+EmissionsDashboard!G21+EmissionsDashboard!H21+EmissionsDashboard!I21</f>
        <v>66179.86020000001</v>
      </c>
      <c r="E37" s="47">
        <f>EmissionsDashboard!Q21</f>
        <v>85638.740413793101</v>
      </c>
      <c r="F37" s="47">
        <f>EmissionsDashboard!U21+EmissionsDashboard!V21</f>
        <v>8546.0159953781167</v>
      </c>
      <c r="G37" s="7">
        <f>G18</f>
        <v>32015.961183800027</v>
      </c>
      <c r="H37" s="47">
        <f>EmissionsDashboard!R21+EmissionsDashboard!S21</f>
        <v>15462.666024824026</v>
      </c>
      <c r="I37" s="47">
        <f>EmissionsDashboard!T21</f>
        <v>13503.301358975999</v>
      </c>
      <c r="J37" s="47">
        <f>EmissionsDashboard!J21+EmissionsDashboard!K21</f>
        <v>3049.9938000000002</v>
      </c>
      <c r="K37" s="47">
        <f>EmissionsDashboard!L21+EmissionsDashboard!M21+EmissionsDashboard!N21+EmissionsDashboard!O21+EmissionsDashboard!P21+EmissionsDashboard!W21+EmissionsDashboard!X21</f>
        <v>1965.364093171439</v>
      </c>
    </row>
    <row r="39" spans="1:11" x14ac:dyDescent="0.2">
      <c r="B39" s="50">
        <f>B22-B37</f>
        <v>144482.20312566418</v>
      </c>
      <c r="C39" s="4">
        <f>(C37-C22)/C22</f>
        <v>-0.39300451478239462</v>
      </c>
      <c r="D39" s="4">
        <f t="shared" ref="D39:K39" si="7">(D37-D22)/D22</f>
        <v>-0.32510346161545595</v>
      </c>
      <c r="E39" s="4">
        <f t="shared" si="7"/>
        <v>-0.48452261913427325</v>
      </c>
      <c r="F39" s="4"/>
      <c r="G39" s="4">
        <f t="shared" si="7"/>
        <v>-0.55689991793666971</v>
      </c>
      <c r="H39" s="4">
        <f t="shared" si="7"/>
        <v>-0.43916091512257394</v>
      </c>
      <c r="I39" s="4">
        <f t="shared" si="7"/>
        <v>-0.67347376427787287</v>
      </c>
      <c r="J39" s="4">
        <f t="shared" si="7"/>
        <v>-8.3937841265218041E-2</v>
      </c>
      <c r="K39" s="4">
        <f t="shared" si="7"/>
        <v>-0.17407492416240131</v>
      </c>
    </row>
    <row r="40" spans="1:11" x14ac:dyDescent="0.2">
      <c r="B40" s="50"/>
      <c r="C40" s="4"/>
      <c r="D40" s="4"/>
      <c r="E40" s="4"/>
      <c r="F40" s="4"/>
      <c r="G40" s="4"/>
      <c r="H40" s="4"/>
      <c r="I40" s="4"/>
      <c r="J40" s="4"/>
      <c r="K40" s="4"/>
    </row>
    <row r="41" spans="1:11" ht="24" x14ac:dyDescent="0.3">
      <c r="A41" s="94" t="s">
        <v>106</v>
      </c>
      <c r="B41" s="94"/>
      <c r="C41" s="94"/>
      <c r="D41" s="94"/>
      <c r="E41" s="94"/>
      <c r="F41" s="94"/>
      <c r="G41" s="94"/>
      <c r="H41" s="94"/>
    </row>
    <row r="42" spans="1:11" x14ac:dyDescent="0.2">
      <c r="A42" s="48" t="s">
        <v>3</v>
      </c>
      <c r="B42" s="40" t="s">
        <v>160</v>
      </c>
      <c r="C42" s="48" t="s">
        <v>105</v>
      </c>
      <c r="D42" s="48" t="s">
        <v>26</v>
      </c>
      <c r="E42" s="48" t="s">
        <v>102</v>
      </c>
      <c r="F42" s="48" t="s">
        <v>98</v>
      </c>
      <c r="G42" s="48" t="s">
        <v>28</v>
      </c>
      <c r="H42" s="48" t="s">
        <v>99</v>
      </c>
      <c r="I42" s="48" t="s">
        <v>104</v>
      </c>
    </row>
    <row r="43" spans="1:11" x14ac:dyDescent="0.2">
      <c r="A43">
        <v>2007</v>
      </c>
      <c r="C43" s="4">
        <f t="shared" ref="C43:E58" si="8">D22/$B22</f>
        <v>0.28940709015784588</v>
      </c>
      <c r="D43" s="4">
        <f t="shared" si="8"/>
        <v>0.49032177401230342</v>
      </c>
      <c r="E43" s="4">
        <f t="shared" si="8"/>
        <v>0</v>
      </c>
      <c r="F43" s="4">
        <f t="shared" ref="F43:F54" si="9">H22/$B22</f>
        <v>8.1370432730843364E-2</v>
      </c>
      <c r="G43" s="4">
        <f t="shared" ref="G43:G54" si="10">I22/$B22</f>
        <v>0.12205129738504822</v>
      </c>
      <c r="H43" s="4">
        <f t="shared" ref="H43:H54" si="11">J22/$B22</f>
        <v>9.8264021748546756E-3</v>
      </c>
      <c r="I43" s="4">
        <f t="shared" ref="I43:I54" si="12">K22/$B22</f>
        <v>7.0230035391043001E-3</v>
      </c>
    </row>
    <row r="44" spans="1:11" x14ac:dyDescent="0.2">
      <c r="A44">
        <v>2008</v>
      </c>
      <c r="C44" s="4">
        <f t="shared" si="8"/>
        <v>0.2970304987969144</v>
      </c>
      <c r="D44" s="4">
        <f t="shared" si="8"/>
        <v>0.49388237843506039</v>
      </c>
      <c r="E44" s="4">
        <f t="shared" si="8"/>
        <v>0</v>
      </c>
      <c r="F44" s="4">
        <f t="shared" si="9"/>
        <v>7.939547915077326E-2</v>
      </c>
      <c r="G44" s="4">
        <f t="shared" si="10"/>
        <v>0.11124011207167377</v>
      </c>
      <c r="H44" s="4">
        <f t="shared" si="11"/>
        <v>9.9728929246498937E-3</v>
      </c>
      <c r="I44" s="4">
        <f t="shared" si="12"/>
        <v>8.4786386209282708E-3</v>
      </c>
      <c r="K44" t="s">
        <v>114</v>
      </c>
    </row>
    <row r="45" spans="1:11" x14ac:dyDescent="0.2">
      <c r="A45">
        <v>2009</v>
      </c>
      <c r="C45" s="4">
        <f t="shared" si="8"/>
        <v>0.31782227898086879</v>
      </c>
      <c r="D45" s="4">
        <f t="shared" si="8"/>
        <v>0.42745943483094007</v>
      </c>
      <c r="E45" s="4">
        <f t="shared" si="8"/>
        <v>0</v>
      </c>
      <c r="F45" s="4">
        <f t="shared" si="9"/>
        <v>9.4500651231138821E-2</v>
      </c>
      <c r="G45" s="4">
        <f t="shared" si="10"/>
        <v>0.13989375226811998</v>
      </c>
      <c r="H45" s="4">
        <f t="shared" si="11"/>
        <v>1.072476735559119E-2</v>
      </c>
      <c r="I45" s="4">
        <f t="shared" si="12"/>
        <v>9.599115333341169E-3</v>
      </c>
      <c r="K45" s="50">
        <f>B31</f>
        <v>261219.80259514123</v>
      </c>
    </row>
    <row r="46" spans="1:11" x14ac:dyDescent="0.2">
      <c r="A46">
        <v>2010</v>
      </c>
      <c r="C46" s="4">
        <f t="shared" si="8"/>
        <v>0.28995145558989949</v>
      </c>
      <c r="D46" s="4">
        <f t="shared" si="8"/>
        <v>0.4540073916088902</v>
      </c>
      <c r="E46" s="4">
        <f t="shared" si="8"/>
        <v>0</v>
      </c>
      <c r="F46" s="4">
        <f t="shared" si="9"/>
        <v>9.3125896515805315E-2</v>
      </c>
      <c r="G46" s="4">
        <f t="shared" si="10"/>
        <v>0.1422931720193798</v>
      </c>
      <c r="H46" s="4">
        <f t="shared" si="11"/>
        <v>1.0725181442614201E-2</v>
      </c>
      <c r="I46" s="4">
        <f t="shared" si="12"/>
        <v>9.8969028234110138E-3</v>
      </c>
      <c r="K46" s="7">
        <f t="shared" ref="K46:K51" si="13">B32-F32</f>
        <v>242315.39054576069</v>
      </c>
    </row>
    <row r="47" spans="1:11" x14ac:dyDescent="0.2">
      <c r="A47">
        <v>2011</v>
      </c>
      <c r="C47" s="4">
        <f t="shared" si="8"/>
        <v>0.24155406739371243</v>
      </c>
      <c r="D47" s="4">
        <f t="shared" si="8"/>
        <v>0.48019280793359581</v>
      </c>
      <c r="E47" s="4">
        <f t="shared" si="8"/>
        <v>0</v>
      </c>
      <c r="F47" s="4">
        <f t="shared" si="9"/>
        <v>9.5189802145834584E-2</v>
      </c>
      <c r="G47" s="4">
        <f t="shared" si="10"/>
        <v>0.16475475731488762</v>
      </c>
      <c r="H47" s="4">
        <f t="shared" si="11"/>
        <v>1.0819297312610648E-2</v>
      </c>
      <c r="I47" s="4">
        <f t="shared" si="12"/>
        <v>7.489267899358761E-3</v>
      </c>
      <c r="K47" s="7">
        <f t="shared" si="13"/>
        <v>246938.77305728514</v>
      </c>
    </row>
    <row r="48" spans="1:11" x14ac:dyDescent="0.2">
      <c r="A48">
        <v>2012</v>
      </c>
      <c r="C48" s="4">
        <f t="shared" si="8"/>
        <v>0.20589907258572426</v>
      </c>
      <c r="D48" s="4">
        <f t="shared" si="8"/>
        <v>0.49553571668022112</v>
      </c>
      <c r="E48" s="4">
        <f t="shared" si="8"/>
        <v>0</v>
      </c>
      <c r="F48" s="4">
        <f t="shared" si="9"/>
        <v>0.10646922498310379</v>
      </c>
      <c r="G48" s="4">
        <f t="shared" si="10"/>
        <v>0.16737979699988503</v>
      </c>
      <c r="H48" s="4">
        <f t="shared" si="11"/>
        <v>1.005629016243534E-2</v>
      </c>
      <c r="I48" s="4">
        <f t="shared" si="12"/>
        <v>1.4659898588630489E-2</v>
      </c>
      <c r="K48" s="7">
        <f t="shared" si="13"/>
        <v>260103.7774958332</v>
      </c>
    </row>
    <row r="49" spans="1:15" x14ac:dyDescent="0.2">
      <c r="A49">
        <v>2013</v>
      </c>
      <c r="C49" s="4">
        <f t="shared" si="8"/>
        <v>0.22292169515340729</v>
      </c>
      <c r="D49" s="4">
        <f t="shared" si="8"/>
        <v>0.43113091701311074</v>
      </c>
      <c r="E49" s="4">
        <f t="shared" si="8"/>
        <v>0</v>
      </c>
      <c r="F49" s="4">
        <f t="shared" si="9"/>
        <v>0.12319777609023064</v>
      </c>
      <c r="G49" s="4">
        <f t="shared" si="10"/>
        <v>0.20126333674414826</v>
      </c>
      <c r="H49" s="4">
        <f t="shared" si="11"/>
        <v>1.0641915529637612E-2</v>
      </c>
      <c r="I49" s="4">
        <f t="shared" si="12"/>
        <v>1.0844359469465506E-2</v>
      </c>
      <c r="K49" s="7">
        <f t="shared" si="13"/>
        <v>216064.03055300235</v>
      </c>
    </row>
    <row r="50" spans="1:15" x14ac:dyDescent="0.2">
      <c r="A50">
        <v>2014</v>
      </c>
      <c r="C50" s="4">
        <f t="shared" si="8"/>
        <v>0.23423122791751594</v>
      </c>
      <c r="D50" s="4">
        <f t="shared" si="8"/>
        <v>0.43462314628022847</v>
      </c>
      <c r="E50" s="4">
        <f t="shared" si="8"/>
        <v>0</v>
      </c>
      <c r="F50" s="4">
        <f t="shared" si="9"/>
        <v>0.12503557846393965</v>
      </c>
      <c r="G50" s="4">
        <f t="shared" si="10"/>
        <v>0.18746975340045208</v>
      </c>
      <c r="H50" s="4">
        <f t="shared" si="11"/>
        <v>1.120514019417362E-2</v>
      </c>
      <c r="I50" s="4">
        <f t="shared" si="12"/>
        <v>7.4351537436903054E-3</v>
      </c>
      <c r="K50" s="7">
        <f t="shared" si="13"/>
        <v>163349.63322788037</v>
      </c>
    </row>
    <row r="51" spans="1:15" x14ac:dyDescent="0.2">
      <c r="A51">
        <v>2015</v>
      </c>
      <c r="C51" s="4">
        <f t="shared" si="8"/>
        <v>0.22079554097267759</v>
      </c>
      <c r="D51" s="4">
        <f t="shared" si="8"/>
        <v>0.42420109561586911</v>
      </c>
      <c r="E51" s="4">
        <f t="shared" si="8"/>
        <v>0</v>
      </c>
      <c r="F51" s="4">
        <f t="shared" si="9"/>
        <v>0.13166492675158981</v>
      </c>
      <c r="G51" s="4">
        <f t="shared" si="10"/>
        <v>0.2044461848479569</v>
      </c>
      <c r="H51" s="4">
        <f t="shared" si="11"/>
        <v>1.1141154971330886E-2</v>
      </c>
      <c r="I51" s="4">
        <f t="shared" si="12"/>
        <v>7.7510968405757044E-3</v>
      </c>
      <c r="K51" s="7">
        <f t="shared" si="13"/>
        <v>185799.92589076457</v>
      </c>
    </row>
    <row r="52" spans="1:15" x14ac:dyDescent="0.2">
      <c r="A52">
        <v>2016</v>
      </c>
      <c r="C52" s="4">
        <f t="shared" si="8"/>
        <v>0.21751900647535427</v>
      </c>
      <c r="D52" s="4">
        <f t="shared" si="8"/>
        <v>0.42162237682515891</v>
      </c>
      <c r="E52" s="4">
        <f t="shared" si="8"/>
        <v>0</v>
      </c>
      <c r="F52" s="4">
        <f t="shared" si="9"/>
        <v>0.13529431642010809</v>
      </c>
      <c r="G52" s="4">
        <f t="shared" si="10"/>
        <v>0.20408558125717288</v>
      </c>
      <c r="H52" s="4">
        <f t="shared" si="11"/>
        <v>1.2807159068966926E-2</v>
      </c>
      <c r="I52" s="4">
        <f t="shared" si="12"/>
        <v>8.6715599532389588E-3</v>
      </c>
    </row>
    <row r="53" spans="1:15" x14ac:dyDescent="0.2">
      <c r="A53">
        <v>2017</v>
      </c>
      <c r="C53" s="4">
        <f t="shared" si="8"/>
        <v>0.22924945814662614</v>
      </c>
      <c r="D53" s="4">
        <f t="shared" si="8"/>
        <v>0.43677070665353779</v>
      </c>
      <c r="E53" s="4">
        <f t="shared" si="8"/>
        <v>4.2220831717280548E-2</v>
      </c>
      <c r="F53" s="4">
        <f t="shared" si="9"/>
        <v>0.14474932173448621</v>
      </c>
      <c r="G53" s="4">
        <f t="shared" si="10"/>
        <v>0.12490640115841031</v>
      </c>
      <c r="H53" s="4">
        <f t="shared" si="11"/>
        <v>1.3422696354708118E-2</v>
      </c>
      <c r="I53" s="4">
        <f t="shared" si="12"/>
        <v>8.6805842349509093E-3</v>
      </c>
    </row>
    <row r="54" spans="1:15" x14ac:dyDescent="0.2">
      <c r="A54">
        <v>2018</v>
      </c>
      <c r="C54" s="4">
        <f t="shared" si="8"/>
        <v>0.24475447286881083</v>
      </c>
      <c r="D54" s="4">
        <f t="shared" si="8"/>
        <v>0.40172991375041456</v>
      </c>
      <c r="E54" s="4">
        <f t="shared" si="8"/>
        <v>3.9264074042971199E-2</v>
      </c>
      <c r="F54" s="4">
        <f t="shared" si="9"/>
        <v>0.15694925542350782</v>
      </c>
      <c r="G54" s="4">
        <f t="shared" si="10"/>
        <v>0.13625059843982087</v>
      </c>
      <c r="H54" s="4">
        <f t="shared" si="11"/>
        <v>1.487446208183061E-2</v>
      </c>
      <c r="I54" s="4">
        <f t="shared" si="12"/>
        <v>6.1772233926442278E-3</v>
      </c>
    </row>
    <row r="55" spans="1:15" x14ac:dyDescent="0.2">
      <c r="A55">
        <v>2019</v>
      </c>
      <c r="C55" s="4">
        <f t="shared" si="8"/>
        <v>0.23676736225268352</v>
      </c>
      <c r="D55" s="4">
        <f t="shared" si="8"/>
        <v>0.38433615759586581</v>
      </c>
      <c r="E55" s="4">
        <f t="shared" si="8"/>
        <v>3.7597199684236998E-2</v>
      </c>
      <c r="F55" s="4">
        <f>H34/$B$34</f>
        <v>0.17260919345879447</v>
      </c>
      <c r="G55" s="4">
        <f>I34/$B$34</f>
        <v>0.14457770083431951</v>
      </c>
      <c r="H55" s="4">
        <f>J34/$B$34</f>
        <v>1.4256646993416435E-2</v>
      </c>
      <c r="I55" s="4">
        <f>K34/$B$34</f>
        <v>9.8557391806832033E-3</v>
      </c>
    </row>
    <row r="56" spans="1:15" x14ac:dyDescent="0.2">
      <c r="A56">
        <v>2020</v>
      </c>
      <c r="B56" s="17"/>
      <c r="C56" s="4">
        <f t="shared" si="8"/>
        <v>0.29783097046570906</v>
      </c>
      <c r="D56" s="4">
        <f t="shared" si="8"/>
        <v>0.39038702719256491</v>
      </c>
      <c r="E56" s="4">
        <f t="shared" si="8"/>
        <v>3.8914246860095134E-2</v>
      </c>
      <c r="F56" s="4">
        <f t="shared" ref="F56:I58" si="14">H35/$B35</f>
        <v>0.13927539754434382</v>
      </c>
      <c r="G56" s="4">
        <f t="shared" si="14"/>
        <v>0.1174202811537374</v>
      </c>
      <c r="H56" s="4">
        <f t="shared" si="14"/>
        <v>1.4404100312505481E-2</v>
      </c>
      <c r="I56" s="4">
        <f t="shared" si="14"/>
        <v>1.7679764710442406E-3</v>
      </c>
    </row>
    <row r="57" spans="1:15" x14ac:dyDescent="0.2">
      <c r="A57">
        <v>2021</v>
      </c>
      <c r="B57" s="17"/>
      <c r="C57" s="4">
        <f t="shared" si="8"/>
        <v>0.40848559826572595</v>
      </c>
      <c r="D57" s="4">
        <f t="shared" si="8"/>
        <v>0.46993353883628419</v>
      </c>
      <c r="E57" s="4">
        <f t="shared" si="8"/>
        <v>4.747777109181886E-2</v>
      </c>
      <c r="F57" s="4">
        <f t="shared" si="14"/>
        <v>3.7540567996267607E-2</v>
      </c>
      <c r="G57" s="4">
        <f t="shared" si="14"/>
        <v>3.8758683731073607E-3</v>
      </c>
      <c r="H57" s="4">
        <f t="shared" si="14"/>
        <v>1.6962798848511384E-2</v>
      </c>
      <c r="I57" s="4">
        <f t="shared" si="14"/>
        <v>1.5723856588284481E-2</v>
      </c>
    </row>
    <row r="58" spans="1:15" x14ac:dyDescent="0.2">
      <c r="A58">
        <v>2022</v>
      </c>
      <c r="C58" s="4">
        <f t="shared" si="8"/>
        <v>0.34052607200191193</v>
      </c>
      <c r="D58" s="4">
        <f t="shared" si="8"/>
        <v>0.44065103486423424</v>
      </c>
      <c r="E58" s="4">
        <f t="shared" si="8"/>
        <v>4.3973215557980568E-2</v>
      </c>
      <c r="F58" s="4">
        <f t="shared" si="14"/>
        <v>7.9562587593842368E-2</v>
      </c>
      <c r="G58" s="4">
        <f t="shared" si="14"/>
        <v>6.9480747721950842E-2</v>
      </c>
      <c r="H58" s="4">
        <f t="shared" si="14"/>
        <v>1.5693632552342334E-2</v>
      </c>
      <c r="I58" s="4">
        <f t="shared" si="14"/>
        <v>1.0112709707737788E-2</v>
      </c>
    </row>
    <row r="59" spans="1:15" x14ac:dyDescent="0.2">
      <c r="A59">
        <v>2022</v>
      </c>
      <c r="B59" s="17">
        <f>(B22-B37)/B22</f>
        <v>0.42641736010634396</v>
      </c>
      <c r="C59" s="4">
        <f>D37/B22</f>
        <v>0.19531984333147381</v>
      </c>
      <c r="D59" s="4">
        <f>E37/B22</f>
        <v>0.25274978384929891</v>
      </c>
      <c r="E59" s="4">
        <f>F37/B22</f>
        <v>2.5222273064359282E-2</v>
      </c>
      <c r="F59" s="4">
        <f>H37/B22</f>
        <v>4.5635719028846354E-2</v>
      </c>
      <c r="G59" s="4">
        <f>I37/B22</f>
        <v>3.9852950700141693E-2</v>
      </c>
      <c r="H59" s="4">
        <f>J37/B22</f>
        <v>9.0015951888935304E-3</v>
      </c>
      <c r="I59" s="4">
        <f>K37/B22</f>
        <v>5.8004747306424432E-3</v>
      </c>
    </row>
    <row r="60" spans="1:15" x14ac:dyDescent="0.2">
      <c r="O60" t="s">
        <v>143</v>
      </c>
    </row>
    <row r="61" spans="1:15" ht="24" x14ac:dyDescent="0.3">
      <c r="A61" s="94" t="s">
        <v>107</v>
      </c>
      <c r="B61" s="94"/>
      <c r="C61" s="94"/>
      <c r="D61" s="94"/>
      <c r="N61" t="s">
        <v>142</v>
      </c>
      <c r="O61" s="7">
        <f>C22</f>
        <v>264194.08465893479</v>
      </c>
    </row>
    <row r="62" spans="1:15" x14ac:dyDescent="0.2">
      <c r="A62" s="48" t="s">
        <v>3</v>
      </c>
      <c r="B62" s="48" t="s">
        <v>105</v>
      </c>
      <c r="C62" s="48" t="s">
        <v>26</v>
      </c>
      <c r="D62" s="48" t="s">
        <v>102</v>
      </c>
      <c r="N62" t="s">
        <v>151</v>
      </c>
      <c r="O62" s="7">
        <f>C37</f>
        <v>160364.61660917124</v>
      </c>
    </row>
    <row r="63" spans="1:15" x14ac:dyDescent="0.2">
      <c r="A63">
        <v>2007</v>
      </c>
      <c r="B63" s="4">
        <f t="shared" ref="B63:B78" si="15">D22/C22</f>
        <v>0.37116375121736239</v>
      </c>
      <c r="C63" s="4">
        <f t="shared" ref="C63:C78" si="16">E22/C22</f>
        <v>0.62883624878263755</v>
      </c>
      <c r="D63" s="4">
        <f t="shared" ref="D63:D78" si="17">F22/C22</f>
        <v>0</v>
      </c>
      <c r="N63" t="s">
        <v>141</v>
      </c>
      <c r="O63" s="7">
        <f>D22</f>
        <v>98059.267511447659</v>
      </c>
    </row>
    <row r="64" spans="1:15" x14ac:dyDescent="0.2">
      <c r="A64">
        <v>2008</v>
      </c>
      <c r="B64" s="4">
        <f t="shared" si="15"/>
        <v>0.37555400518506837</v>
      </c>
      <c r="C64" s="4">
        <f t="shared" si="16"/>
        <v>0.62444599481493168</v>
      </c>
      <c r="D64" s="4">
        <f t="shared" si="17"/>
        <v>0</v>
      </c>
      <c r="N64" t="s">
        <v>152</v>
      </c>
      <c r="O64" s="7">
        <f>D37</f>
        <v>66179.86020000001</v>
      </c>
    </row>
    <row r="65" spans="1:15" x14ac:dyDescent="0.2">
      <c r="A65">
        <v>2009</v>
      </c>
      <c r="B65" s="4">
        <f t="shared" si="15"/>
        <v>0.42644582993367541</v>
      </c>
      <c r="C65" s="4">
        <f t="shared" si="16"/>
        <v>0.57355417006632459</v>
      </c>
      <c r="D65" s="4">
        <f t="shared" si="17"/>
        <v>0</v>
      </c>
      <c r="N65" t="s">
        <v>144</v>
      </c>
      <c r="O65" s="7">
        <f>E22</f>
        <v>166134.81714748713</v>
      </c>
    </row>
    <row r="66" spans="1:15" x14ac:dyDescent="0.2">
      <c r="A66">
        <v>2010</v>
      </c>
      <c r="B66" s="4">
        <f t="shared" si="15"/>
        <v>0.3897412560945363</v>
      </c>
      <c r="C66" s="4">
        <f t="shared" si="16"/>
        <v>0.61025874390546375</v>
      </c>
      <c r="D66" s="4">
        <f t="shared" si="17"/>
        <v>0</v>
      </c>
      <c r="N66" t="s">
        <v>153</v>
      </c>
      <c r="O66" s="7">
        <f>E37</f>
        <v>85638.740413793101</v>
      </c>
    </row>
    <row r="67" spans="1:15" x14ac:dyDescent="0.2">
      <c r="A67">
        <v>2011</v>
      </c>
      <c r="B67" s="4">
        <f t="shared" si="15"/>
        <v>0.33467975498220065</v>
      </c>
      <c r="C67" s="4">
        <f t="shared" si="16"/>
        <v>0.66532024501779941</v>
      </c>
      <c r="D67" s="4">
        <f t="shared" si="17"/>
        <v>0</v>
      </c>
      <c r="N67" t="s">
        <v>145</v>
      </c>
      <c r="O67" s="7">
        <f>F22</f>
        <v>0</v>
      </c>
    </row>
    <row r="68" spans="1:15" x14ac:dyDescent="0.2">
      <c r="A68">
        <v>2012</v>
      </c>
      <c r="B68" s="4">
        <f t="shared" si="15"/>
        <v>0.2935398639140761</v>
      </c>
      <c r="C68" s="4">
        <f t="shared" si="16"/>
        <v>0.70646013608592395</v>
      </c>
      <c r="D68" s="4">
        <f t="shared" si="17"/>
        <v>0</v>
      </c>
      <c r="N68" t="s">
        <v>154</v>
      </c>
      <c r="O68" s="7">
        <f>F37</f>
        <v>8546.0159953781167</v>
      </c>
    </row>
    <row r="69" spans="1:15" x14ac:dyDescent="0.2">
      <c r="A69">
        <v>2013</v>
      </c>
      <c r="B69" s="4">
        <f t="shared" si="15"/>
        <v>0.34083144231316476</v>
      </c>
      <c r="C69" s="4">
        <f t="shared" si="16"/>
        <v>0.65916855768683524</v>
      </c>
      <c r="D69" s="4">
        <f t="shared" si="17"/>
        <v>0</v>
      </c>
      <c r="N69" t="s">
        <v>146</v>
      </c>
      <c r="O69" s="7">
        <f>G22</f>
        <v>72254.469091305946</v>
      </c>
    </row>
    <row r="70" spans="1:15" x14ac:dyDescent="0.2">
      <c r="A70">
        <v>2014</v>
      </c>
      <c r="B70" s="4">
        <f t="shared" si="15"/>
        <v>0.3501976468322629</v>
      </c>
      <c r="C70" s="4">
        <f t="shared" si="16"/>
        <v>0.64980235316773705</v>
      </c>
      <c r="D70" s="4">
        <f t="shared" si="17"/>
        <v>0</v>
      </c>
      <c r="N70" t="s">
        <v>155</v>
      </c>
      <c r="O70" s="7">
        <f>G37</f>
        <v>32015.961183800027</v>
      </c>
    </row>
    <row r="71" spans="1:15" x14ac:dyDescent="0.2">
      <c r="A71">
        <v>2015</v>
      </c>
      <c r="B71" s="4">
        <f t="shared" si="15"/>
        <v>0.34232045323598553</v>
      </c>
      <c r="C71" s="4">
        <f t="shared" si="16"/>
        <v>0.65767954676401441</v>
      </c>
      <c r="D71" s="4">
        <f t="shared" si="17"/>
        <v>0</v>
      </c>
      <c r="N71" t="s">
        <v>147</v>
      </c>
      <c r="O71" s="7">
        <f>H22</f>
        <v>27570.592780999672</v>
      </c>
    </row>
    <row r="72" spans="1:15" x14ac:dyDescent="0.2">
      <c r="A72">
        <v>2016</v>
      </c>
      <c r="B72" s="4">
        <f t="shared" si="15"/>
        <v>0.34033003050450361</v>
      </c>
      <c r="C72" s="4">
        <f t="shared" si="16"/>
        <v>0.65966996949549639</v>
      </c>
      <c r="D72" s="4">
        <f t="shared" si="17"/>
        <v>0</v>
      </c>
      <c r="N72" t="s">
        <v>156</v>
      </c>
      <c r="O72" s="7">
        <f>H37</f>
        <v>15462.666024824026</v>
      </c>
    </row>
    <row r="73" spans="1:15" x14ac:dyDescent="0.2">
      <c r="A73">
        <v>2017</v>
      </c>
      <c r="B73" s="4">
        <f t="shared" si="15"/>
        <v>0.32368848919208187</v>
      </c>
      <c r="C73" s="4">
        <f t="shared" si="16"/>
        <v>0.61669785962860424</v>
      </c>
      <c r="D73" s="4">
        <f t="shared" si="17"/>
        <v>5.9613651179313817E-2</v>
      </c>
      <c r="N73" t="s">
        <v>148</v>
      </c>
      <c r="O73" s="7">
        <f>I22</f>
        <v>41354.41468926028</v>
      </c>
    </row>
    <row r="74" spans="1:15" x14ac:dyDescent="0.2">
      <c r="A74">
        <v>2018</v>
      </c>
      <c r="B74" s="4">
        <f t="shared" si="15"/>
        <v>0.35691581813025491</v>
      </c>
      <c r="C74" s="4">
        <f t="shared" si="16"/>
        <v>0.58582692750412002</v>
      </c>
      <c r="D74" s="4">
        <f t="shared" si="17"/>
        <v>5.7257254365625031E-2</v>
      </c>
      <c r="N74" t="s">
        <v>157</v>
      </c>
      <c r="O74" s="7">
        <f>I37</f>
        <v>13503.301358975999</v>
      </c>
    </row>
    <row r="75" spans="1:15" x14ac:dyDescent="0.2">
      <c r="A75">
        <v>2019</v>
      </c>
      <c r="B75" s="4">
        <f t="shared" si="15"/>
        <v>0.35944603555408533</v>
      </c>
      <c r="C75" s="4">
        <f t="shared" si="16"/>
        <v>0.58347614660034652</v>
      </c>
      <c r="D75" s="4">
        <f t="shared" si="17"/>
        <v>5.707781784556807E-2</v>
      </c>
      <c r="N75" t="s">
        <v>149</v>
      </c>
      <c r="O75" s="7">
        <f>J22</f>
        <v>3329.4616210459944</v>
      </c>
    </row>
    <row r="76" spans="1:15" x14ac:dyDescent="0.2">
      <c r="A76">
        <v>2020</v>
      </c>
      <c r="B76" s="4">
        <f t="shared" si="15"/>
        <v>0.4095967036408672</v>
      </c>
      <c r="C76" s="4">
        <f t="shared" si="16"/>
        <v>0.53688586929760718</v>
      </c>
      <c r="D76" s="4">
        <f t="shared" si="17"/>
        <v>5.3517427061525472E-2</v>
      </c>
      <c r="N76" t="s">
        <v>158</v>
      </c>
      <c r="O76" s="7">
        <f>J37</f>
        <v>3049.9938000000002</v>
      </c>
    </row>
    <row r="77" spans="1:15" x14ac:dyDescent="0.2">
      <c r="A77">
        <v>2021</v>
      </c>
      <c r="B77" s="4">
        <f t="shared" si="15"/>
        <v>0.44117827227932893</v>
      </c>
      <c r="C77" s="4">
        <f t="shared" si="16"/>
        <v>0.50754412794508152</v>
      </c>
      <c r="D77" s="4">
        <f t="shared" si="17"/>
        <v>5.1277599775589454E-2</v>
      </c>
      <c r="N77" t="s">
        <v>150</v>
      </c>
      <c r="O77" s="7">
        <f>K22</f>
        <v>2379.5912615660645</v>
      </c>
    </row>
    <row r="78" spans="1:15" x14ac:dyDescent="0.2">
      <c r="A78">
        <v>2022</v>
      </c>
      <c r="B78" s="4">
        <f t="shared" si="15"/>
        <v>0.41268368047353404</v>
      </c>
      <c r="C78" s="4">
        <f t="shared" si="16"/>
        <v>0.5340251623118677</v>
      </c>
      <c r="D78" s="4">
        <f t="shared" si="17"/>
        <v>5.3291157214598241E-2</v>
      </c>
      <c r="N78" t="s">
        <v>159</v>
      </c>
      <c r="O78" s="7">
        <f>K37</f>
        <v>1965.364093171439</v>
      </c>
    </row>
    <row r="82" spans="1:4" ht="24" x14ac:dyDescent="0.3">
      <c r="A82" s="94" t="s">
        <v>108</v>
      </c>
      <c r="B82" s="94"/>
      <c r="C82" s="94"/>
      <c r="D82" s="94"/>
    </row>
    <row r="83" spans="1:4" x14ac:dyDescent="0.2">
      <c r="A83" s="48" t="s">
        <v>3</v>
      </c>
      <c r="B83" s="48" t="s">
        <v>98</v>
      </c>
      <c r="C83" s="48" t="s">
        <v>28</v>
      </c>
      <c r="D83" s="48" t="s">
        <v>99</v>
      </c>
    </row>
    <row r="84" spans="1:4" x14ac:dyDescent="0.2">
      <c r="A84">
        <v>2007</v>
      </c>
      <c r="B84" s="4">
        <f t="shared" ref="B84:B99" si="18">H22/G22</f>
        <v>0.38157629732438403</v>
      </c>
      <c r="C84" s="4">
        <f t="shared" ref="C84:C99" si="19">I22/G22</f>
        <v>0.57234403919018306</v>
      </c>
      <c r="D84" s="4">
        <f t="shared" ref="D84:D99" si="20">J22/G22</f>
        <v>4.6079663485432951E-2</v>
      </c>
    </row>
    <row r="85" spans="1:4" x14ac:dyDescent="0.2">
      <c r="A85">
        <v>2008</v>
      </c>
      <c r="B85" s="4">
        <f t="shared" si="18"/>
        <v>0.39577328689925317</v>
      </c>
      <c r="C85" s="4">
        <f t="shared" si="19"/>
        <v>0.55451349699699914</v>
      </c>
      <c r="D85" s="4">
        <f t="shared" si="20"/>
        <v>4.9713216103747807E-2</v>
      </c>
    </row>
    <row r="86" spans="1:4" x14ac:dyDescent="0.2">
      <c r="A86">
        <v>2009</v>
      </c>
      <c r="B86" s="4">
        <f t="shared" si="18"/>
        <v>0.3855294177993871</v>
      </c>
      <c r="C86" s="4">
        <f t="shared" si="19"/>
        <v>0.5707173036700568</v>
      </c>
      <c r="D86" s="4">
        <f t="shared" si="20"/>
        <v>4.3753278530555974E-2</v>
      </c>
    </row>
    <row r="87" spans="1:4" x14ac:dyDescent="0.2">
      <c r="A87">
        <v>2010</v>
      </c>
      <c r="B87" s="4">
        <f t="shared" si="18"/>
        <v>0.37833870392749247</v>
      </c>
      <c r="C87" s="4">
        <f t="shared" si="19"/>
        <v>0.57808854780159902</v>
      </c>
      <c r="D87" s="4">
        <f t="shared" si="20"/>
        <v>4.3572748270908401E-2</v>
      </c>
    </row>
    <row r="88" spans="1:4" x14ac:dyDescent="0.2">
      <c r="A88">
        <v>2011</v>
      </c>
      <c r="B88" s="4">
        <f t="shared" si="18"/>
        <v>0.35156022402769121</v>
      </c>
      <c r="C88" s="4">
        <f t="shared" si="19"/>
        <v>0.60848135079125554</v>
      </c>
      <c r="D88" s="4">
        <f t="shared" si="20"/>
        <v>3.9958425181053282E-2</v>
      </c>
    </row>
    <row r="89" spans="1:4" x14ac:dyDescent="0.2">
      <c r="A89">
        <v>2012</v>
      </c>
      <c r="B89" s="4">
        <f t="shared" si="18"/>
        <v>0.3750166707996197</v>
      </c>
      <c r="C89" s="4">
        <f t="shared" si="19"/>
        <v>0.58956204706077664</v>
      </c>
      <c r="D89" s="4">
        <f t="shared" si="20"/>
        <v>3.5421282139603751E-2</v>
      </c>
    </row>
    <row r="90" spans="1:4" x14ac:dyDescent="0.2">
      <c r="A90">
        <v>2013</v>
      </c>
      <c r="B90" s="4">
        <f t="shared" si="18"/>
        <v>0.36764148832580246</v>
      </c>
      <c r="C90" s="4">
        <f t="shared" si="19"/>
        <v>0.60060136647144657</v>
      </c>
      <c r="D90" s="4">
        <f t="shared" si="20"/>
        <v>3.1757145202750858E-2</v>
      </c>
    </row>
    <row r="91" spans="1:4" x14ac:dyDescent="0.2">
      <c r="A91">
        <v>2014</v>
      </c>
      <c r="B91" s="4">
        <f t="shared" si="18"/>
        <v>0.38625744069632179</v>
      </c>
      <c r="C91" s="4">
        <f t="shared" si="19"/>
        <v>0.57912786141356365</v>
      </c>
      <c r="D91" s="4">
        <f t="shared" si="20"/>
        <v>3.4614697890114593E-2</v>
      </c>
    </row>
    <row r="92" spans="1:4" x14ac:dyDescent="0.2">
      <c r="A92">
        <v>2015</v>
      </c>
      <c r="B92" s="4">
        <f t="shared" si="18"/>
        <v>0.37916218100398119</v>
      </c>
      <c r="C92" s="4">
        <f t="shared" si="19"/>
        <v>0.58875406881247083</v>
      </c>
      <c r="D92" s="4">
        <f t="shared" si="20"/>
        <v>3.2083750183548095E-2</v>
      </c>
    </row>
    <row r="93" spans="1:4" x14ac:dyDescent="0.2">
      <c r="A93">
        <v>2016</v>
      </c>
      <c r="B93" s="4">
        <f t="shared" si="18"/>
        <v>0.38415470934693707</v>
      </c>
      <c r="C93" s="4">
        <f t="shared" si="19"/>
        <v>0.57948064060803151</v>
      </c>
      <c r="D93" s="4">
        <f t="shared" si="20"/>
        <v>3.6364650045031414E-2</v>
      </c>
    </row>
    <row r="94" spans="1:4" x14ac:dyDescent="0.2">
      <c r="A94">
        <v>2017</v>
      </c>
      <c r="B94" s="4">
        <f t="shared" si="18"/>
        <v>0.51134001001989504</v>
      </c>
      <c r="C94" s="4">
        <f t="shared" si="19"/>
        <v>0.44124310673487427</v>
      </c>
      <c r="D94" s="4">
        <f t="shared" si="20"/>
        <v>4.7416883245230634E-2</v>
      </c>
    </row>
    <row r="95" spans="1:4" x14ac:dyDescent="0.2">
      <c r="A95">
        <v>2018</v>
      </c>
      <c r="B95" s="4">
        <f t="shared" si="18"/>
        <v>0.50945258108256763</v>
      </c>
      <c r="C95" s="4">
        <f t="shared" si="19"/>
        <v>0.44226536062186705</v>
      </c>
      <c r="D95" s="4">
        <f t="shared" si="20"/>
        <v>4.8282058295565387E-2</v>
      </c>
    </row>
    <row r="96" spans="1:4" x14ac:dyDescent="0.2">
      <c r="A96">
        <v>2019</v>
      </c>
      <c r="B96" s="4">
        <f t="shared" si="18"/>
        <v>0.52078007852799024</v>
      </c>
      <c r="C96" s="4">
        <f t="shared" si="19"/>
        <v>0.43620611906669549</v>
      </c>
      <c r="D96" s="4">
        <f t="shared" si="20"/>
        <v>4.3013802405314251E-2</v>
      </c>
    </row>
    <row r="97" spans="1:4" x14ac:dyDescent="0.2">
      <c r="A97">
        <v>2020</v>
      </c>
      <c r="B97" s="4">
        <f t="shared" si="18"/>
        <v>0.51374220241951951</v>
      </c>
      <c r="C97" s="4">
        <f t="shared" si="19"/>
        <v>0.43312569852427668</v>
      </c>
      <c r="D97" s="4">
        <f t="shared" si="20"/>
        <v>5.3132099056203912E-2</v>
      </c>
    </row>
    <row r="98" spans="1:4" x14ac:dyDescent="0.2">
      <c r="A98">
        <v>2021</v>
      </c>
      <c r="B98" s="4">
        <f t="shared" si="18"/>
        <v>0.64304658764638711</v>
      </c>
      <c r="C98" s="4">
        <f t="shared" si="19"/>
        <v>6.6391215277857296E-2</v>
      </c>
      <c r="D98" s="4">
        <f t="shared" si="20"/>
        <v>0.29056219707575559</v>
      </c>
    </row>
    <row r="99" spans="1:4" x14ac:dyDescent="0.2">
      <c r="A99">
        <v>2022</v>
      </c>
      <c r="B99" s="4">
        <f t="shared" si="18"/>
        <v>0.48296741541053856</v>
      </c>
      <c r="C99" s="4">
        <f t="shared" si="19"/>
        <v>0.42176779517738255</v>
      </c>
      <c r="D99" s="4">
        <f t="shared" si="20"/>
        <v>9.5264789412078846E-2</v>
      </c>
    </row>
    <row r="101" spans="1:4" x14ac:dyDescent="0.2">
      <c r="B101" s="4"/>
      <c r="C101" s="4"/>
      <c r="D101" s="4"/>
    </row>
    <row r="102" spans="1:4" x14ac:dyDescent="0.2">
      <c r="B102" s="4"/>
      <c r="C102" s="4"/>
      <c r="D102" s="4"/>
    </row>
    <row r="103" spans="1:4" x14ac:dyDescent="0.2">
      <c r="B103" s="4"/>
      <c r="C103" s="4"/>
      <c r="D103" s="4"/>
    </row>
    <row r="104" spans="1:4" x14ac:dyDescent="0.2">
      <c r="B104" s="4"/>
      <c r="C104" s="4"/>
      <c r="D104" s="4"/>
    </row>
  </sheetData>
  <mergeCells count="3">
    <mergeCell ref="A41:H41"/>
    <mergeCell ref="A61:D61"/>
    <mergeCell ref="A82:D82"/>
  </mergeCells>
  <pageMargins left="0.7" right="0.7" top="0.75" bottom="0.75" header="0.3" footer="0.3"/>
  <pageSetup orientation="portrait" r:id="rId1"/>
  <ignoredErrors>
    <ignoredError sqref="F55" formula="1"/>
  </ignoredErrors>
  <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Y25"/>
  <sheetViews>
    <sheetView workbookViewId="0">
      <pane xSplit="1" ySplit="2" topLeftCell="B7" activePane="bottomRight" state="frozen"/>
      <selection pane="topRight" activeCell="B1" sqref="B1"/>
      <selection pane="bottomLeft" activeCell="A3" sqref="A3"/>
      <selection pane="bottomRight" activeCell="AA12" sqref="AA12"/>
    </sheetView>
  </sheetViews>
  <sheetFormatPr baseColWidth="10" defaultColWidth="8.83203125" defaultRowHeight="15" x14ac:dyDescent="0.2"/>
  <cols>
    <col min="2" max="2" width="17" bestFit="1" customWidth="1"/>
    <col min="3" max="3" width="30.5" bestFit="1" customWidth="1"/>
    <col min="4" max="4" width="24.83203125" bestFit="1" customWidth="1"/>
    <col min="5" max="5" width="20.5" bestFit="1" customWidth="1"/>
    <col min="7" max="10" width="14.5" customWidth="1"/>
    <col min="12" max="13" width="14.5" bestFit="1" customWidth="1"/>
    <col min="15" max="21" width="17.5" customWidth="1"/>
    <col min="22" max="22" width="19.1640625" customWidth="1"/>
    <col min="23" max="23" width="17.5" customWidth="1"/>
    <col min="24" max="24" width="11.1640625" customWidth="1"/>
  </cols>
  <sheetData>
    <row r="1" spans="1:25" x14ac:dyDescent="0.2">
      <c r="B1" s="95" t="s">
        <v>78</v>
      </c>
      <c r="C1" s="95"/>
      <c r="D1" s="95"/>
      <c r="E1" s="95"/>
      <c r="G1" s="95" t="s">
        <v>79</v>
      </c>
      <c r="H1" s="95"/>
      <c r="I1" s="95"/>
      <c r="J1" s="95"/>
      <c r="L1" s="95" t="s">
        <v>111</v>
      </c>
      <c r="M1" s="95"/>
      <c r="O1" s="95" t="s">
        <v>34</v>
      </c>
      <c r="P1" s="95"/>
      <c r="Q1" s="95"/>
      <c r="R1" s="95"/>
      <c r="S1" s="95"/>
      <c r="T1" s="95"/>
      <c r="U1" s="95"/>
      <c r="V1" s="95"/>
      <c r="W1" s="95"/>
      <c r="X1" s="95"/>
      <c r="Y1" s="95"/>
    </row>
    <row r="2" spans="1:25" ht="48" x14ac:dyDescent="0.2">
      <c r="A2" t="s">
        <v>3</v>
      </c>
      <c r="B2" t="s">
        <v>73</v>
      </c>
      <c r="C2" t="s">
        <v>74</v>
      </c>
      <c r="D2" t="s">
        <v>72</v>
      </c>
      <c r="E2" t="s">
        <v>75</v>
      </c>
      <c r="G2" s="51" t="s">
        <v>90</v>
      </c>
      <c r="H2" s="16" t="s">
        <v>91</v>
      </c>
      <c r="I2" s="16" t="s">
        <v>92</v>
      </c>
      <c r="J2" s="16" t="s">
        <v>93</v>
      </c>
      <c r="K2" s="16"/>
      <c r="L2" s="52" t="s">
        <v>80</v>
      </c>
      <c r="M2" t="s">
        <v>77</v>
      </c>
      <c r="O2" s="51" t="s">
        <v>81</v>
      </c>
      <c r="P2" s="16" t="s">
        <v>82</v>
      </c>
      <c r="Q2" s="16" t="s">
        <v>86</v>
      </c>
      <c r="R2" s="16" t="s">
        <v>83</v>
      </c>
      <c r="S2" s="16" t="s">
        <v>112</v>
      </c>
      <c r="T2" s="16" t="s">
        <v>113</v>
      </c>
      <c r="U2" s="16" t="s">
        <v>87</v>
      </c>
      <c r="V2" s="51" t="s">
        <v>88</v>
      </c>
      <c r="W2" s="16" t="s">
        <v>89</v>
      </c>
      <c r="X2" s="16" t="s">
        <v>85</v>
      </c>
      <c r="Y2" s="16" t="s">
        <v>84</v>
      </c>
    </row>
    <row r="3" spans="1:25" x14ac:dyDescent="0.2">
      <c r="A3">
        <v>2007</v>
      </c>
      <c r="B3" s="2">
        <v>1050021.6604619042</v>
      </c>
      <c r="C3" s="2">
        <f>EmissionsDashboard!F6+EmissionsDashboard!G6+EmissionsDashboard!H6+EmissionsDashboard!I6</f>
        <v>98059.267511447659</v>
      </c>
      <c r="D3" s="3">
        <f>C3/B3</f>
        <v>9.3387852083271702E-2</v>
      </c>
      <c r="E3" t="s">
        <v>52</v>
      </c>
      <c r="G3" s="56">
        <v>2263973.7462319997</v>
      </c>
      <c r="H3" s="21">
        <v>13302640</v>
      </c>
      <c r="I3" s="22">
        <v>167.64197826701349</v>
      </c>
      <c r="J3" s="22">
        <v>170.18980790519777</v>
      </c>
      <c r="L3" s="53">
        <v>13133939</v>
      </c>
      <c r="M3" s="21">
        <f>H3</f>
        <v>13302640</v>
      </c>
      <c r="O3" s="52">
        <v>18134</v>
      </c>
      <c r="P3">
        <v>7919</v>
      </c>
      <c r="Q3">
        <v>2664</v>
      </c>
      <c r="R3">
        <v>15470</v>
      </c>
      <c r="S3">
        <f>R3+P3</f>
        <v>23389</v>
      </c>
      <c r="T3">
        <f>S3+Q3</f>
        <v>26053</v>
      </c>
      <c r="U3">
        <v>13002</v>
      </c>
      <c r="V3" s="52">
        <f>O3+U3</f>
        <v>31136</v>
      </c>
      <c r="W3">
        <f>U3+T3</f>
        <v>39055</v>
      </c>
      <c r="X3" s="4">
        <f t="shared" ref="X3:X13" si="0">O3/T3</f>
        <v>0.69604268222469579</v>
      </c>
      <c r="Y3" s="4">
        <f t="shared" ref="Y3:Y13" si="1">P3/T3</f>
        <v>0.30395731777530421</v>
      </c>
    </row>
    <row r="4" spans="1:25" x14ac:dyDescent="0.2">
      <c r="A4">
        <v>2008</v>
      </c>
      <c r="B4" s="2">
        <v>922630.27474666922</v>
      </c>
      <c r="C4" s="2">
        <f>EmissionsDashboard!F7+EmissionsDashboard!G7+EmissionsDashboard!H7+EmissionsDashboard!I7</f>
        <v>100658.45224566417</v>
      </c>
      <c r="D4" s="3">
        <f t="shared" ref="D4:D13" si="2">C4/B4</f>
        <v>0.10909944644218662</v>
      </c>
      <c r="E4" s="8">
        <f>(D4-D3)/D3</f>
        <v>0.16824023690902828</v>
      </c>
      <c r="G4" s="56">
        <v>2270508.2900068434</v>
      </c>
      <c r="H4" s="21">
        <v>13369494</v>
      </c>
      <c r="I4" s="22">
        <v>156.34371282033194</v>
      </c>
      <c r="J4" s="22">
        <v>169.82754096803092</v>
      </c>
      <c r="L4" s="53">
        <v>13207293</v>
      </c>
      <c r="M4" s="21">
        <f t="shared" ref="M4:M14" si="3">H4</f>
        <v>13369494</v>
      </c>
      <c r="O4" s="52">
        <v>18488</v>
      </c>
      <c r="P4">
        <v>8291</v>
      </c>
      <c r="Q4">
        <v>2730</v>
      </c>
      <c r="R4">
        <v>15758</v>
      </c>
      <c r="S4">
        <f t="shared" ref="S4:S13" si="4">R4+P4</f>
        <v>24049</v>
      </c>
      <c r="T4">
        <f t="shared" ref="T4:T13" si="5">S4+Q4</f>
        <v>26779</v>
      </c>
      <c r="U4">
        <v>13084</v>
      </c>
      <c r="V4" s="52">
        <f t="shared" ref="V4:V13" si="6">O4+U4</f>
        <v>31572</v>
      </c>
      <c r="W4">
        <f t="shared" ref="W4:W13" si="7">U4+T4</f>
        <v>39863</v>
      </c>
      <c r="X4" s="4">
        <f t="shared" si="0"/>
        <v>0.69039172485903133</v>
      </c>
      <c r="Y4" s="4">
        <f t="shared" si="1"/>
        <v>0.30960827514096867</v>
      </c>
    </row>
    <row r="5" spans="1:25" x14ac:dyDescent="0.2">
      <c r="A5">
        <v>2009</v>
      </c>
      <c r="B5" s="2">
        <v>850664.41157197265</v>
      </c>
      <c r="C5" s="2">
        <f>EmissionsDashboard!F8+EmissionsDashboard!G8+EmissionsDashboard!H8+EmissionsDashboard!I8</f>
        <v>102451.48624534177</v>
      </c>
      <c r="D5" s="3">
        <f t="shared" si="2"/>
        <v>0.12043701940700455</v>
      </c>
      <c r="E5" s="8">
        <f t="shared" ref="E5:E13" si="8">(D5-D4)/D4</f>
        <v>0.10391961952644616</v>
      </c>
      <c r="G5" s="56">
        <v>2383407.7391120815</v>
      </c>
      <c r="H5" s="21">
        <v>13265042</v>
      </c>
      <c r="I5" s="22">
        <v>150.97978279539291</v>
      </c>
      <c r="J5" s="22">
        <v>179.67585320212945</v>
      </c>
      <c r="L5" s="53">
        <v>13994765</v>
      </c>
      <c r="M5" s="21">
        <f t="shared" si="3"/>
        <v>13265042</v>
      </c>
      <c r="O5" s="52">
        <v>19405</v>
      </c>
      <c r="P5">
        <v>8868</v>
      </c>
      <c r="Q5">
        <v>3026</v>
      </c>
      <c r="R5">
        <v>16379</v>
      </c>
      <c r="S5">
        <f t="shared" si="4"/>
        <v>25247</v>
      </c>
      <c r="T5">
        <f t="shared" si="5"/>
        <v>28273</v>
      </c>
      <c r="U5">
        <v>13681</v>
      </c>
      <c r="V5" s="52">
        <f t="shared" si="6"/>
        <v>33086</v>
      </c>
      <c r="W5">
        <f t="shared" si="7"/>
        <v>41954</v>
      </c>
      <c r="X5" s="4">
        <f t="shared" si="0"/>
        <v>0.68634386163477523</v>
      </c>
      <c r="Y5" s="4">
        <f t="shared" si="1"/>
        <v>0.31365613836522477</v>
      </c>
    </row>
    <row r="6" spans="1:25" x14ac:dyDescent="0.2">
      <c r="A6">
        <v>2010</v>
      </c>
      <c r="B6" s="2">
        <v>812281.68799999985</v>
      </c>
      <c r="C6" s="2">
        <f>EmissionsDashboard!F9+EmissionsDashboard!G9+EmissionsDashboard!H9+EmissionsDashboard!I9</f>
        <v>89234.839133182089</v>
      </c>
      <c r="D6" s="3">
        <f t="shared" si="2"/>
        <v>0.1098570119842245</v>
      </c>
      <c r="E6" s="8">
        <f t="shared" si="8"/>
        <v>-8.7846805532657696E-2</v>
      </c>
      <c r="G6" s="56">
        <v>2321464.9914057869</v>
      </c>
      <c r="H6" s="21">
        <v>13265042</v>
      </c>
      <c r="I6" s="22">
        <v>145.58280064936537</v>
      </c>
      <c r="J6" s="22">
        <v>175.00623001463447</v>
      </c>
      <c r="L6" s="53">
        <v>14022240</v>
      </c>
      <c r="M6" s="21">
        <f t="shared" si="3"/>
        <v>13265042</v>
      </c>
      <c r="O6" s="52">
        <v>18274</v>
      </c>
      <c r="P6">
        <v>9347</v>
      </c>
      <c r="Q6">
        <v>3019</v>
      </c>
      <c r="R6">
        <v>15255</v>
      </c>
      <c r="S6">
        <f t="shared" si="4"/>
        <v>24602</v>
      </c>
      <c r="T6">
        <f t="shared" si="5"/>
        <v>27621</v>
      </c>
      <c r="U6">
        <v>13870</v>
      </c>
      <c r="V6" s="52">
        <f t="shared" si="6"/>
        <v>32144</v>
      </c>
      <c r="W6">
        <f t="shared" si="7"/>
        <v>41491</v>
      </c>
      <c r="X6" s="4">
        <f t="shared" si="0"/>
        <v>0.66159805944752181</v>
      </c>
      <c r="Y6" s="4">
        <f t="shared" si="1"/>
        <v>0.33840194055247819</v>
      </c>
    </row>
    <row r="7" spans="1:25" x14ac:dyDescent="0.2">
      <c r="A7">
        <v>2011</v>
      </c>
      <c r="B7" s="2">
        <v>786439.81400000001</v>
      </c>
      <c r="C7" s="2">
        <f>EmissionsDashboard!F10+EmissionsDashboard!G10+EmissionsDashboard!H10+EmissionsDashboard!I10</f>
        <v>72764.344020731834</v>
      </c>
      <c r="D7" s="3">
        <f t="shared" si="2"/>
        <v>9.2523728739821703E-2</v>
      </c>
      <c r="E7" s="8">
        <f t="shared" si="8"/>
        <v>-0.15778039955148115</v>
      </c>
      <c r="G7" s="56">
        <v>2325836.9079009662</v>
      </c>
      <c r="H7" s="21">
        <v>13230980</v>
      </c>
      <c r="I7" s="22">
        <v>146.98590402495012</v>
      </c>
      <c r="J7" s="22">
        <v>175.78719852202681</v>
      </c>
      <c r="L7" s="53">
        <v>14218733</v>
      </c>
      <c r="M7" s="21">
        <f t="shared" si="3"/>
        <v>13230980</v>
      </c>
      <c r="O7" s="52">
        <v>18527</v>
      </c>
      <c r="P7">
        <v>9654</v>
      </c>
      <c r="Q7">
        <v>3138</v>
      </c>
      <c r="R7">
        <v>15389</v>
      </c>
      <c r="S7">
        <f t="shared" si="4"/>
        <v>25043</v>
      </c>
      <c r="T7">
        <f t="shared" si="5"/>
        <v>28181</v>
      </c>
      <c r="U7">
        <v>14516</v>
      </c>
      <c r="V7" s="52">
        <f t="shared" si="6"/>
        <v>33043</v>
      </c>
      <c r="W7">
        <f t="shared" si="7"/>
        <v>42697</v>
      </c>
      <c r="X7" s="4">
        <f t="shared" si="0"/>
        <v>0.65742876406089212</v>
      </c>
      <c r="Y7" s="4">
        <f t="shared" si="1"/>
        <v>0.34257123593910793</v>
      </c>
    </row>
    <row r="8" spans="1:25" x14ac:dyDescent="0.2">
      <c r="A8">
        <v>2012</v>
      </c>
      <c r="B8" s="2">
        <v>751604.03</v>
      </c>
      <c r="C8" s="2">
        <f>EmissionsDashboard!F11+EmissionsDashboard!G11+EmissionsDashboard!H11+EmissionsDashboard!I11</f>
        <v>58739.975680157986</v>
      </c>
      <c r="D8" s="3">
        <f t="shared" si="2"/>
        <v>7.815282161294157E-2</v>
      </c>
      <c r="E8" s="8">
        <f t="shared" si="8"/>
        <v>-0.15532131403060256</v>
      </c>
      <c r="G8" s="56">
        <v>2252336.8179916972</v>
      </c>
      <c r="H8" s="21">
        <v>13383321</v>
      </c>
      <c r="I8" s="22">
        <v>141.75082253438418</v>
      </c>
      <c r="J8" s="22">
        <v>168.29431334656752</v>
      </c>
      <c r="L8" s="53">
        <v>14218733</v>
      </c>
      <c r="M8" s="21">
        <f t="shared" si="3"/>
        <v>13383321</v>
      </c>
      <c r="O8" s="52">
        <v>18756</v>
      </c>
      <c r="P8">
        <v>9996</v>
      </c>
      <c r="Q8">
        <v>3202</v>
      </c>
      <c r="R8">
        <v>15554</v>
      </c>
      <c r="S8">
        <f t="shared" si="4"/>
        <v>25550</v>
      </c>
      <c r="T8">
        <f t="shared" si="5"/>
        <v>28752</v>
      </c>
      <c r="U8">
        <v>15044</v>
      </c>
      <c r="V8" s="52">
        <f t="shared" si="6"/>
        <v>33800</v>
      </c>
      <c r="W8">
        <f t="shared" si="7"/>
        <v>43796</v>
      </c>
      <c r="X8" s="4">
        <f t="shared" si="0"/>
        <v>0.65233722871452415</v>
      </c>
      <c r="Y8" s="4">
        <f t="shared" si="1"/>
        <v>0.34766277128547579</v>
      </c>
    </row>
    <row r="9" spans="1:25" x14ac:dyDescent="0.2">
      <c r="A9">
        <v>2013</v>
      </c>
      <c r="B9" s="2">
        <v>842223.91899999999</v>
      </c>
      <c r="C9" s="2">
        <f>EmissionsDashboard!F12+EmissionsDashboard!G12+EmissionsDashboard!H12+EmissionsDashboard!I12</f>
        <v>62901.247171269046</v>
      </c>
      <c r="D9" s="3">
        <f t="shared" si="2"/>
        <v>7.4684707655837831E-2</v>
      </c>
      <c r="E9" s="8">
        <f t="shared" si="8"/>
        <v>-4.4376055598860716E-2</v>
      </c>
      <c r="G9" s="56">
        <v>2278937.8391519999</v>
      </c>
      <c r="H9" s="21">
        <v>13491783</v>
      </c>
      <c r="I9" s="22">
        <v>143.36690029420129</v>
      </c>
      <c r="J9" s="22">
        <v>168.91302203363335</v>
      </c>
      <c r="L9" s="53">
        <v>14941809</v>
      </c>
      <c r="M9" s="21">
        <f t="shared" si="3"/>
        <v>13491783</v>
      </c>
      <c r="O9" s="52">
        <v>19248</v>
      </c>
      <c r="P9">
        <v>10466</v>
      </c>
      <c r="Q9">
        <v>3249</v>
      </c>
      <c r="R9">
        <v>15999</v>
      </c>
      <c r="S9">
        <f t="shared" si="4"/>
        <v>26465</v>
      </c>
      <c r="T9">
        <f t="shared" si="5"/>
        <v>29714</v>
      </c>
      <c r="U9">
        <v>14924</v>
      </c>
      <c r="V9" s="52">
        <f t="shared" si="6"/>
        <v>34172</v>
      </c>
      <c r="W9">
        <f t="shared" si="7"/>
        <v>44638</v>
      </c>
      <c r="X9" s="4">
        <f t="shared" si="0"/>
        <v>0.64777545937941716</v>
      </c>
      <c r="Y9" s="4">
        <f t="shared" si="1"/>
        <v>0.35222454062058289</v>
      </c>
    </row>
    <row r="10" spans="1:25" x14ac:dyDescent="0.2">
      <c r="A10">
        <v>2014</v>
      </c>
      <c r="B10" s="2">
        <v>849186</v>
      </c>
      <c r="C10" s="2">
        <f>EmissionsDashboard!F13+EmissionsDashboard!G13+EmissionsDashboard!H13+EmissionsDashboard!I13</f>
        <v>62758.848923087055</v>
      </c>
      <c r="D10" s="3">
        <f t="shared" si="2"/>
        <v>7.3904714542028543E-2</v>
      </c>
      <c r="E10" s="8">
        <f t="shared" si="8"/>
        <v>-1.0443812907505153E-2</v>
      </c>
      <c r="G10" s="56">
        <v>2269890.1639279998</v>
      </c>
      <c r="H10" s="21">
        <v>13602445</v>
      </c>
      <c r="I10" s="22">
        <v>143.35835255558834</v>
      </c>
      <c r="J10" s="22">
        <v>166.87368807063729</v>
      </c>
      <c r="L10" s="53">
        <v>14941809</v>
      </c>
      <c r="M10" s="21">
        <f t="shared" si="3"/>
        <v>13602445</v>
      </c>
      <c r="O10" s="52">
        <v>19371</v>
      </c>
      <c r="P10">
        <v>11101</v>
      </c>
      <c r="Q10">
        <v>3332</v>
      </c>
      <c r="R10">
        <v>16039</v>
      </c>
      <c r="S10">
        <f t="shared" si="4"/>
        <v>27140</v>
      </c>
      <c r="T10">
        <f t="shared" si="5"/>
        <v>30472</v>
      </c>
      <c r="U10">
        <v>14894</v>
      </c>
      <c r="V10" s="52">
        <f t="shared" si="6"/>
        <v>34265</v>
      </c>
      <c r="W10">
        <f t="shared" si="7"/>
        <v>45366</v>
      </c>
      <c r="X10" s="4">
        <f t="shared" si="0"/>
        <v>0.63569834602257813</v>
      </c>
      <c r="Y10" s="4">
        <f t="shared" si="1"/>
        <v>0.36430165397742187</v>
      </c>
    </row>
    <row r="11" spans="1:25" x14ac:dyDescent="0.2">
      <c r="A11">
        <v>2015</v>
      </c>
      <c r="B11" s="2">
        <v>840664</v>
      </c>
      <c r="C11" s="2">
        <f>EmissionsDashboard!F14+EmissionsDashboard!G14+EmissionsDashboard!H14+EmissionsDashboard!I14</f>
        <v>60629.099008024328</v>
      </c>
      <c r="D11" s="3">
        <f t="shared" si="2"/>
        <v>7.2120489289447781E-2</v>
      </c>
      <c r="E11" s="8">
        <f t="shared" si="8"/>
        <v>-2.4142238605983642E-2</v>
      </c>
      <c r="G11" s="56">
        <v>2226306.3068151604</v>
      </c>
      <c r="H11" s="21">
        <v>13575768</v>
      </c>
      <c r="I11" s="22">
        <v>141.67243727875803</v>
      </c>
      <c r="J11" s="22">
        <v>163.99118685699111</v>
      </c>
      <c r="L11" s="53">
        <v>14848924</v>
      </c>
      <c r="M11" s="21">
        <f t="shared" si="3"/>
        <v>13575768</v>
      </c>
      <c r="O11" s="52">
        <v>19563</v>
      </c>
      <c r="P11">
        <v>11040</v>
      </c>
      <c r="Q11">
        <v>3398</v>
      </c>
      <c r="R11">
        <v>16165</v>
      </c>
      <c r="S11">
        <f t="shared" si="4"/>
        <v>27205</v>
      </c>
      <c r="T11">
        <f t="shared" si="5"/>
        <v>30603</v>
      </c>
      <c r="U11">
        <v>15110</v>
      </c>
      <c r="V11" s="52">
        <f t="shared" si="6"/>
        <v>34673</v>
      </c>
      <c r="W11">
        <f t="shared" si="7"/>
        <v>45713</v>
      </c>
      <c r="X11" s="4">
        <f t="shared" si="0"/>
        <v>0.63925105381825309</v>
      </c>
      <c r="Y11" s="4">
        <f t="shared" si="1"/>
        <v>0.36074894618174691</v>
      </c>
    </row>
    <row r="12" spans="1:25" x14ac:dyDescent="0.2">
      <c r="A12">
        <v>2016</v>
      </c>
      <c r="B12" s="2">
        <v>777257</v>
      </c>
      <c r="C12" s="2">
        <f>EmissionsDashboard!F15+EmissionsDashboard!G15+EmissionsDashboard!H15+EmissionsDashboard!I15</f>
        <v>56820.271932183292</v>
      </c>
      <c r="D12" s="3">
        <f t="shared" si="2"/>
        <v>7.3103583412157488E-2</v>
      </c>
      <c r="E12" s="8">
        <f t="shared" si="8"/>
        <v>1.3631273614411646E-2</v>
      </c>
      <c r="G12" s="57">
        <v>2179638.0970614622</v>
      </c>
      <c r="H12" s="34">
        <v>13575768</v>
      </c>
      <c r="I12" s="35">
        <v>138.77215076453098</v>
      </c>
      <c r="J12" s="35">
        <v>160.55357583169234</v>
      </c>
      <c r="L12" s="53">
        <v>14848924</v>
      </c>
      <c r="M12" s="21">
        <f t="shared" si="3"/>
        <v>13575768</v>
      </c>
      <c r="O12" s="52">
        <v>20019</v>
      </c>
      <c r="P12">
        <v>11427</v>
      </c>
      <c r="Q12">
        <v>3427</v>
      </c>
      <c r="R12">
        <v>16592</v>
      </c>
      <c r="S12">
        <f t="shared" si="4"/>
        <v>28019</v>
      </c>
      <c r="T12">
        <f t="shared" si="5"/>
        <v>31446</v>
      </c>
      <c r="U12">
        <v>14950</v>
      </c>
      <c r="V12" s="52">
        <f t="shared" si="6"/>
        <v>34969</v>
      </c>
      <c r="W12">
        <f t="shared" si="7"/>
        <v>46396</v>
      </c>
      <c r="X12" s="4">
        <f t="shared" si="0"/>
        <v>0.63661514978057621</v>
      </c>
      <c r="Y12" s="4">
        <f t="shared" si="1"/>
        <v>0.36338485021942379</v>
      </c>
    </row>
    <row r="13" spans="1:25" x14ac:dyDescent="0.2">
      <c r="A13">
        <v>2017</v>
      </c>
      <c r="B13" s="2">
        <v>811899</v>
      </c>
      <c r="C13" s="2">
        <f>EmissionsDashboard!F16+EmissionsDashboard!G16+EmissionsDashboard!H16+EmissionsDashboard!I16</f>
        <v>57999.457309982085</v>
      </c>
      <c r="D13" s="3">
        <f t="shared" si="2"/>
        <v>7.1436788701528253E-2</v>
      </c>
      <c r="E13" s="8">
        <f t="shared" si="8"/>
        <v>-2.2800451535075351E-2</v>
      </c>
      <c r="G13" s="57">
        <v>2234561</v>
      </c>
      <c r="H13" s="34">
        <v>13824870</v>
      </c>
      <c r="I13" s="35">
        <v>141.1</v>
      </c>
      <c r="J13" s="35">
        <v>161.6</v>
      </c>
      <c r="K13" s="4"/>
      <c r="L13" s="54">
        <v>16150281</v>
      </c>
      <c r="M13" s="21">
        <f t="shared" si="3"/>
        <v>13824870</v>
      </c>
      <c r="O13" s="52">
        <v>20335</v>
      </c>
      <c r="P13">
        <v>12137</v>
      </c>
      <c r="Q13">
        <v>3522</v>
      </c>
      <c r="R13">
        <v>16813</v>
      </c>
      <c r="S13">
        <f t="shared" si="4"/>
        <v>28950</v>
      </c>
      <c r="T13">
        <f t="shared" si="5"/>
        <v>32472</v>
      </c>
      <c r="U13">
        <v>14832</v>
      </c>
      <c r="V13" s="52">
        <f t="shared" si="6"/>
        <v>35167</v>
      </c>
      <c r="W13">
        <f t="shared" si="7"/>
        <v>47304</v>
      </c>
      <c r="X13" s="4">
        <f t="shared" si="0"/>
        <v>0.62623183050012321</v>
      </c>
      <c r="Y13" s="4">
        <f t="shared" si="1"/>
        <v>0.37376816949987679</v>
      </c>
    </row>
    <row r="14" spans="1:25" x14ac:dyDescent="0.2">
      <c r="A14">
        <v>2018</v>
      </c>
      <c r="B14" s="2">
        <v>894088</v>
      </c>
      <c r="C14" s="2">
        <f>EmissionsDashboard!F17+EmissionsDashboard!G17+EmissionsDashboard!H17+EmissionsDashboard!I17</f>
        <v>62909.45055510501</v>
      </c>
      <c r="D14" s="3">
        <f>C14/B14</f>
        <v>7.0361586952408503E-2</v>
      </c>
      <c r="E14" s="8">
        <f>(D14-D13)/D13</f>
        <v>-1.5051092982525799E-2</v>
      </c>
      <c r="G14" s="57">
        <v>2325057</v>
      </c>
      <c r="L14" s="53">
        <v>16352134.039999999</v>
      </c>
      <c r="M14" s="21">
        <f t="shared" si="3"/>
        <v>0</v>
      </c>
      <c r="O14" s="52">
        <v>20700</v>
      </c>
      <c r="P14">
        <v>12400</v>
      </c>
      <c r="Q14">
        <v>3637</v>
      </c>
      <c r="R14">
        <f>O14-Q14</f>
        <v>17063</v>
      </c>
      <c r="S14">
        <f t="shared" ref="S14:T16" si="9">R14+P14</f>
        <v>29463</v>
      </c>
      <c r="T14">
        <f t="shared" si="9"/>
        <v>33100</v>
      </c>
      <c r="U14">
        <v>15192</v>
      </c>
      <c r="V14" s="52">
        <f>O14+U14</f>
        <v>35892</v>
      </c>
      <c r="W14">
        <f>U14+T14</f>
        <v>48292</v>
      </c>
      <c r="X14" s="45">
        <f>O14/T14</f>
        <v>0.62537764350453173</v>
      </c>
      <c r="Y14" s="4">
        <f>P14/T14</f>
        <v>0.37462235649546827</v>
      </c>
    </row>
    <row r="15" spans="1:25" x14ac:dyDescent="0.2">
      <c r="A15">
        <v>2019</v>
      </c>
      <c r="G15" s="57">
        <v>2352242</v>
      </c>
      <c r="L15" s="55">
        <v>16422035</v>
      </c>
      <c r="M15" s="7"/>
      <c r="O15" s="52">
        <v>21596</v>
      </c>
      <c r="P15">
        <v>12812</v>
      </c>
      <c r="Q15">
        <v>3774</v>
      </c>
      <c r="R15">
        <f>O15-Q15</f>
        <v>17822</v>
      </c>
      <c r="S15">
        <f t="shared" si="9"/>
        <v>30634</v>
      </c>
      <c r="T15">
        <f t="shared" si="9"/>
        <v>34408</v>
      </c>
      <c r="U15">
        <v>15476</v>
      </c>
      <c r="V15" s="52">
        <f>O15+U15</f>
        <v>37072</v>
      </c>
      <c r="W15">
        <f>U15+T15</f>
        <v>49884</v>
      </c>
      <c r="X15" s="45">
        <f>O15/T15</f>
        <v>0.62764473378284125</v>
      </c>
      <c r="Y15" s="4">
        <f>P15/T15</f>
        <v>0.37235526621715881</v>
      </c>
    </row>
    <row r="16" spans="1:25" x14ac:dyDescent="0.2">
      <c r="A16">
        <v>2020</v>
      </c>
      <c r="L16" s="55">
        <v>16422035</v>
      </c>
      <c r="M16" s="49"/>
      <c r="O16" s="52">
        <v>21534</v>
      </c>
      <c r="P16">
        <v>13640</v>
      </c>
      <c r="Q16">
        <v>3873</v>
      </c>
      <c r="R16">
        <f>O16-Q16</f>
        <v>17661</v>
      </c>
      <c r="S16">
        <f>R16+P16</f>
        <v>31301</v>
      </c>
      <c r="T16">
        <f t="shared" si="9"/>
        <v>35174</v>
      </c>
      <c r="U16">
        <v>15514</v>
      </c>
      <c r="V16" s="52">
        <f>O16+U16</f>
        <v>37048</v>
      </c>
      <c r="W16">
        <f>U16+T16</f>
        <v>50688</v>
      </c>
      <c r="X16" s="45">
        <f>O16/T16</f>
        <v>0.61221356683914252</v>
      </c>
      <c r="Y16" s="4">
        <f>P16/T16</f>
        <v>0.38778643316085742</v>
      </c>
    </row>
    <row r="17" spans="1:25" x14ac:dyDescent="0.2">
      <c r="A17">
        <v>2021</v>
      </c>
      <c r="L17" s="24">
        <v>16626598.039999999</v>
      </c>
      <c r="O17" s="73">
        <f>17577+3957</f>
        <v>21534</v>
      </c>
      <c r="P17" s="73">
        <v>13640</v>
      </c>
      <c r="Q17" s="73">
        <v>3957</v>
      </c>
      <c r="R17" s="73">
        <f>O17-Q17</f>
        <v>17577</v>
      </c>
      <c r="S17" s="73">
        <f>R17+P17</f>
        <v>31217</v>
      </c>
      <c r="T17" s="73">
        <f>S17+Q17</f>
        <v>35174</v>
      </c>
      <c r="U17" s="73">
        <v>15646</v>
      </c>
      <c r="V17" s="52">
        <f>O17+U17</f>
        <v>37180</v>
      </c>
      <c r="W17">
        <f>U17+T17</f>
        <v>50820</v>
      </c>
      <c r="X17" s="45">
        <f>O17/T17</f>
        <v>0.61221356683914252</v>
      </c>
      <c r="Y17" s="4">
        <f>P17/T17</f>
        <v>0.38778643316085742</v>
      </c>
    </row>
    <row r="18" spans="1:25" x14ac:dyDescent="0.2">
      <c r="A18">
        <v>2022</v>
      </c>
      <c r="L18" s="24">
        <f>20867472-4240874</f>
        <v>16626598</v>
      </c>
      <c r="O18">
        <v>19646</v>
      </c>
      <c r="P18" s="73">
        <v>14262</v>
      </c>
      <c r="Q18" s="73">
        <v>3982</v>
      </c>
      <c r="R18" s="73">
        <f>O18-Q18</f>
        <v>15664</v>
      </c>
      <c r="S18" s="73">
        <f>O18+P18-Q18</f>
        <v>29926</v>
      </c>
      <c r="T18" s="73">
        <f>O18+P18</f>
        <v>33908</v>
      </c>
      <c r="U18" s="73">
        <v>17155</v>
      </c>
      <c r="V18" s="52">
        <f>O18+U18</f>
        <v>36801</v>
      </c>
      <c r="W18">
        <f>U18+T18</f>
        <v>51063</v>
      </c>
      <c r="X18" s="45">
        <f>O18/T18</f>
        <v>0.57939129408989032</v>
      </c>
      <c r="Y18" s="4">
        <f>P18/T18</f>
        <v>0.42060870591010968</v>
      </c>
    </row>
    <row r="19" spans="1:25" x14ac:dyDescent="0.2">
      <c r="L19" s="7"/>
    </row>
    <row r="21" spans="1:25" x14ac:dyDescent="0.2">
      <c r="L21" s="7"/>
    </row>
    <row r="22" spans="1:25" x14ac:dyDescent="0.2">
      <c r="L22" s="4"/>
    </row>
    <row r="25" spans="1:25" x14ac:dyDescent="0.2">
      <c r="M25" s="18"/>
    </row>
  </sheetData>
  <mergeCells count="4">
    <mergeCell ref="B1:E1"/>
    <mergeCell ref="L1:M1"/>
    <mergeCell ref="O1:Y1"/>
    <mergeCell ref="G1:J1"/>
  </mergeCell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
  <sheetViews>
    <sheetView workbookViewId="0"/>
  </sheetViews>
  <sheetFormatPr baseColWidth="10" defaultColWidth="8.83203125" defaultRowHeight="15" x14ac:dyDescent="0.2"/>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EmissionsDashboard</vt:lpstr>
      <vt:lpstr>ActualEmissionsData</vt:lpstr>
      <vt:lpstr>CommuterAndAirTravelData</vt:lpstr>
      <vt:lpstr>Graphs</vt:lpstr>
      <vt:lpstr>Non_GHG Data</vt:lpstr>
    </vt:vector>
  </TitlesOfParts>
  <Company>Duke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Jason Elliott</dc:creator>
  <cp:lastModifiedBy>Jason Elliott</cp:lastModifiedBy>
  <dcterms:created xsi:type="dcterms:W3CDTF">2014-10-03T13:30:36Z</dcterms:created>
  <dcterms:modified xsi:type="dcterms:W3CDTF">2023-04-06T15:56:26Z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SRI_WORKBOOK_ID">
    <vt:lpwstr>f26fba9d42884b6e9f620e47ac2e2e10</vt:lpwstr>
  </property>
</Properties>
</file>