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0" yWindow="40" windowWidth="27720" windowHeight="18080"/>
  </bookViews>
  <sheets>
    <sheet name="Summary" sheetId="1" r:id="rId1"/>
    <sheet name="SampleData" sheetId="2" r:id="rId2"/>
  </sheets>
  <definedNames>
    <definedName name="_xlnm._FilterDatabase" localSheetId="1" hidden="1">SampleData!$X$4:$Y$63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C80" i="1"/>
  <c r="C81" i="1"/>
  <c r="C140" i="1"/>
  <c r="G140" i="1"/>
  <c r="B170" i="1"/>
  <c r="C138" i="1"/>
  <c r="G138" i="1"/>
  <c r="B169" i="1"/>
  <c r="B184" i="1"/>
  <c r="B183" i="1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4" i="2"/>
  <c r="C210" i="1"/>
  <c r="C204" i="1"/>
  <c r="B194" i="1"/>
  <c r="B195" i="1"/>
  <c r="B198" i="1"/>
  <c r="V65" i="2"/>
  <c r="AI4" i="2"/>
  <c r="U65" i="2"/>
  <c r="AH4" i="2"/>
  <c r="E75" i="1"/>
  <c r="E70" i="1"/>
  <c r="D75" i="1"/>
  <c r="D70" i="1"/>
  <c r="C75" i="1"/>
  <c r="C70" i="1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E84" i="1"/>
  <c r="E85" i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D84" i="1"/>
  <c r="D85" i="1"/>
  <c r="AB23" i="2"/>
  <c r="AD23" i="2"/>
  <c r="AB22" i="2"/>
  <c r="AD22" i="2"/>
  <c r="AB21" i="2"/>
  <c r="AD21" i="2"/>
  <c r="AB20" i="2"/>
  <c r="AD20" i="2"/>
  <c r="AB12" i="2"/>
  <c r="AD12" i="2"/>
  <c r="AC12" i="2"/>
  <c r="AE12" i="2"/>
  <c r="AB14" i="2"/>
  <c r="AD14" i="2"/>
  <c r="AB13" i="2"/>
  <c r="AD13" i="2"/>
  <c r="AB11" i="2"/>
  <c r="AD11" i="2"/>
  <c r="AB6" i="2"/>
  <c r="AC6" i="2"/>
  <c r="AB8" i="2"/>
  <c r="AD8" i="2"/>
  <c r="AB7" i="2"/>
  <c r="AC7" i="2"/>
  <c r="AD6" i="2"/>
  <c r="AE6" i="2"/>
  <c r="AB5" i="2"/>
  <c r="AD5" i="2"/>
  <c r="C44" i="1"/>
  <c r="C63" i="1"/>
  <c r="AC2" i="2"/>
  <c r="D63" i="1"/>
  <c r="E64" i="1"/>
  <c r="D64" i="1"/>
  <c r="C12" i="2"/>
  <c r="C16" i="2"/>
  <c r="C20" i="2"/>
  <c r="C24" i="2"/>
  <c r="C28" i="2"/>
  <c r="I58" i="2"/>
  <c r="F58" i="2"/>
  <c r="C13" i="2"/>
  <c r="C14" i="2"/>
  <c r="C18" i="2"/>
  <c r="C22" i="2"/>
  <c r="C26" i="2"/>
  <c r="C30" i="2"/>
  <c r="C34" i="2"/>
  <c r="C38" i="2"/>
  <c r="C42" i="2"/>
  <c r="C15" i="2"/>
  <c r="C45" i="1"/>
  <c r="C64" i="1"/>
  <c r="C24" i="1"/>
  <c r="D15" i="1"/>
  <c r="E15" i="1"/>
  <c r="AN2" i="2"/>
  <c r="C77" i="1"/>
  <c r="D77" i="1"/>
  <c r="E77" i="1"/>
  <c r="C62" i="1"/>
  <c r="AC21" i="2"/>
  <c r="AE21" i="2"/>
  <c r="AC22" i="2"/>
  <c r="AE22" i="2"/>
  <c r="AC23" i="2"/>
  <c r="AE23" i="2"/>
  <c r="AC20" i="2"/>
  <c r="AE20" i="2"/>
  <c r="AF20" i="2"/>
  <c r="C74" i="1"/>
  <c r="E45" i="1"/>
  <c r="AC8" i="2"/>
  <c r="AE8" i="2"/>
  <c r="AF8" i="2"/>
  <c r="D71" i="1"/>
  <c r="AD7" i="2"/>
  <c r="AE7" i="2"/>
  <c r="AC14" i="2"/>
  <c r="AC5" i="2"/>
  <c r="AE5" i="2"/>
  <c r="AF5" i="2"/>
  <c r="D74" i="1"/>
  <c r="AC11" i="2"/>
  <c r="AE11" i="2"/>
  <c r="AF11" i="2"/>
  <c r="E74" i="1"/>
  <c r="AC13" i="2"/>
  <c r="AF7" i="2"/>
  <c r="D72" i="1"/>
  <c r="AF6" i="2"/>
  <c r="D73" i="1"/>
  <c r="AF12" i="2"/>
  <c r="E73" i="1"/>
  <c r="AE13" i="2"/>
  <c r="AE14" i="2"/>
  <c r="E63" i="1"/>
  <c r="C17" i="2"/>
  <c r="D62" i="1"/>
  <c r="E62" i="1"/>
  <c r="C19" i="2"/>
  <c r="C23" i="2"/>
  <c r="C27" i="2"/>
  <c r="C31" i="2"/>
  <c r="C35" i="2"/>
  <c r="J57" i="2"/>
  <c r="G57" i="2"/>
  <c r="I56" i="2"/>
  <c r="F56" i="2"/>
  <c r="D11" i="1"/>
  <c r="E11" i="1"/>
  <c r="D20" i="1"/>
  <c r="E20" i="1"/>
  <c r="D16" i="1"/>
  <c r="E16" i="1"/>
  <c r="D12" i="1"/>
  <c r="D13" i="1"/>
  <c r="E13" i="1"/>
  <c r="D14" i="1"/>
  <c r="E14" i="1"/>
  <c r="D17" i="1"/>
  <c r="E17" i="1"/>
  <c r="D18" i="1"/>
  <c r="E18" i="1"/>
  <c r="D19" i="1"/>
  <c r="E19" i="1"/>
  <c r="AL1" i="2"/>
  <c r="C84" i="1"/>
  <c r="C85" i="1"/>
  <c r="AF23" i="2"/>
  <c r="C71" i="1"/>
  <c r="AF21" i="2"/>
  <c r="C73" i="1"/>
  <c r="AF22" i="2"/>
  <c r="C72" i="1"/>
  <c r="C78" i="1"/>
  <c r="D78" i="1"/>
  <c r="AF14" i="2"/>
  <c r="E71" i="1"/>
  <c r="AF13" i="2"/>
  <c r="E72" i="1"/>
  <c r="E78" i="1"/>
  <c r="J44" i="2"/>
  <c r="G44" i="2"/>
  <c r="K14" i="2"/>
  <c r="H14" i="2"/>
  <c r="I43" i="2"/>
  <c r="F43" i="2"/>
  <c r="C21" i="2"/>
  <c r="C25" i="2"/>
  <c r="C29" i="2"/>
  <c r="C33" i="2"/>
  <c r="C37" i="2"/>
  <c r="C32" i="2"/>
  <c r="J60" i="2"/>
  <c r="G60" i="2"/>
  <c r="J50" i="2"/>
  <c r="G50" i="2"/>
  <c r="K17" i="2"/>
  <c r="H17" i="2"/>
  <c r="D80" i="1"/>
  <c r="D81" i="1"/>
  <c r="E80" i="1"/>
  <c r="E81" i="1"/>
  <c r="K30" i="2"/>
  <c r="E12" i="1"/>
  <c r="E24" i="1"/>
  <c r="D24" i="1"/>
  <c r="C39" i="2"/>
  <c r="C43" i="2"/>
  <c r="J33" i="2"/>
  <c r="G33" i="2"/>
  <c r="I19" i="2"/>
  <c r="K28" i="2"/>
  <c r="H28" i="2"/>
  <c r="I48" i="2"/>
  <c r="H30" i="2"/>
  <c r="C139" i="1"/>
  <c r="G139" i="1"/>
  <c r="J42" i="2"/>
  <c r="G42" i="2"/>
  <c r="J26" i="2"/>
  <c r="G26" i="2"/>
  <c r="K27" i="2"/>
  <c r="H27" i="2"/>
  <c r="K59" i="2"/>
  <c r="H59" i="2"/>
  <c r="I40" i="2"/>
  <c r="F40" i="2"/>
  <c r="K35" i="2"/>
  <c r="H35" i="2"/>
  <c r="F48" i="2"/>
  <c r="F19" i="2"/>
  <c r="K38" i="2"/>
  <c r="H38" i="2"/>
  <c r="K43" i="2"/>
  <c r="AL2" i="2"/>
  <c r="K6" i="2"/>
  <c r="H6" i="2"/>
  <c r="J59" i="2"/>
  <c r="G59" i="2"/>
  <c r="J20" i="2"/>
  <c r="G20" i="2"/>
  <c r="K51" i="2"/>
  <c r="H51" i="2"/>
  <c r="I59" i="2"/>
  <c r="F59" i="2"/>
  <c r="K40" i="2"/>
  <c r="H40" i="2"/>
  <c r="K56" i="2"/>
  <c r="H56" i="2"/>
  <c r="J10" i="2"/>
  <c r="G10" i="2"/>
  <c r="I41" i="2"/>
  <c r="F41" i="2"/>
  <c r="K44" i="2"/>
  <c r="H44" i="2"/>
  <c r="J32" i="2"/>
  <c r="K53" i="2"/>
  <c r="H53" i="2"/>
  <c r="J5" i="2"/>
  <c r="G5" i="2"/>
  <c r="I51" i="2"/>
  <c r="F51" i="2"/>
  <c r="K52" i="2"/>
  <c r="I44" i="2"/>
  <c r="F44" i="2"/>
  <c r="I30" i="2"/>
  <c r="F30" i="2"/>
  <c r="K7" i="2"/>
  <c r="H7" i="2"/>
  <c r="I6" i="2"/>
  <c r="K49" i="2"/>
  <c r="H49" i="2"/>
  <c r="J11" i="2"/>
  <c r="C36" i="2"/>
  <c r="I8" i="2"/>
  <c r="F8" i="2"/>
  <c r="J35" i="2"/>
  <c r="K23" i="2"/>
  <c r="H43" i="2"/>
  <c r="K8" i="2"/>
  <c r="H8" i="2"/>
  <c r="K15" i="2"/>
  <c r="H15" i="2"/>
  <c r="AL27" i="2"/>
  <c r="AL55" i="2"/>
  <c r="AL59" i="2"/>
  <c r="AL57" i="2"/>
  <c r="AL43" i="2"/>
  <c r="AL52" i="2"/>
  <c r="AL45" i="2"/>
  <c r="AL42" i="2"/>
  <c r="AL47" i="2"/>
  <c r="AL40" i="2"/>
  <c r="AL33" i="2"/>
  <c r="AL30" i="2"/>
  <c r="AL6" i="2"/>
  <c r="AL28" i="2"/>
  <c r="AL21" i="2"/>
  <c r="AL18" i="2"/>
  <c r="AL19" i="2"/>
  <c r="AL16" i="2"/>
  <c r="AL9" i="2"/>
  <c r="AL23" i="2"/>
  <c r="AL61" i="2"/>
  <c r="AL58" i="2"/>
  <c r="AL56" i="2"/>
  <c r="AL49" i="2"/>
  <c r="AL46" i="2"/>
  <c r="AL63" i="2"/>
  <c r="AL44" i="2"/>
  <c r="AL37" i="2"/>
  <c r="AL34" i="2"/>
  <c r="AL15" i="2"/>
  <c r="AL32" i="2"/>
  <c r="AL25" i="2"/>
  <c r="AL22" i="2"/>
  <c r="AL35" i="2"/>
  <c r="AL20" i="2"/>
  <c r="AL13" i="2"/>
  <c r="AL10" i="2"/>
  <c r="AL39" i="2"/>
  <c r="AL8" i="2"/>
  <c r="AL62" i="2"/>
  <c r="AL11" i="2"/>
  <c r="AL60" i="2"/>
  <c r="AL53" i="2"/>
  <c r="AL50" i="2"/>
  <c r="AL7" i="2"/>
  <c r="AL48" i="2"/>
  <c r="AL41" i="2"/>
  <c r="AL38" i="2"/>
  <c r="AL31" i="2"/>
  <c r="AL36" i="2"/>
  <c r="AL29" i="2"/>
  <c r="AL26" i="2"/>
  <c r="AL51" i="2"/>
  <c r="AL24" i="2"/>
  <c r="AL17" i="2"/>
  <c r="AL14" i="2"/>
  <c r="AL12" i="2"/>
  <c r="AL5" i="2"/>
  <c r="AL4" i="2"/>
  <c r="AL54" i="2"/>
  <c r="I32" i="2"/>
  <c r="F32" i="2"/>
  <c r="M59" i="2"/>
  <c r="J27" i="2"/>
  <c r="G27" i="2"/>
  <c r="I22" i="2"/>
  <c r="F22" i="2"/>
  <c r="J41" i="2"/>
  <c r="G41" i="2"/>
  <c r="J36" i="2"/>
  <c r="G36" i="2"/>
  <c r="L59" i="2"/>
  <c r="I37" i="2"/>
  <c r="F37" i="2"/>
  <c r="L44" i="2"/>
  <c r="M44" i="2"/>
  <c r="K46" i="2"/>
  <c r="H46" i="2"/>
  <c r="J37" i="2"/>
  <c r="J48" i="2"/>
  <c r="I39" i="2"/>
  <c r="F39" i="2"/>
  <c r="G32" i="2"/>
  <c r="K61" i="2"/>
  <c r="H61" i="2"/>
  <c r="K11" i="2"/>
  <c r="H11" i="2"/>
  <c r="H52" i="2"/>
  <c r="F6" i="2"/>
  <c r="K39" i="2"/>
  <c r="H39" i="2"/>
  <c r="C41" i="2"/>
  <c r="K16" i="2"/>
  <c r="H16" i="2"/>
  <c r="K41" i="2"/>
  <c r="H41" i="2"/>
  <c r="C40" i="2"/>
  <c r="G11" i="2"/>
  <c r="G35" i="2"/>
  <c r="J38" i="2"/>
  <c r="K36" i="2"/>
  <c r="K63" i="2"/>
  <c r="H63" i="2"/>
  <c r="K9" i="2"/>
  <c r="H9" i="2"/>
  <c r="H23" i="2"/>
  <c r="K31" i="2"/>
  <c r="H31" i="2"/>
  <c r="J8" i="2"/>
  <c r="M8" i="2"/>
  <c r="I27" i="2"/>
  <c r="J24" i="2"/>
  <c r="K4" i="2"/>
  <c r="K18" i="2"/>
  <c r="J53" i="2"/>
  <c r="G53" i="2"/>
  <c r="I57" i="2"/>
  <c r="F57" i="2"/>
  <c r="K37" i="2"/>
  <c r="H37" i="2"/>
  <c r="I55" i="2"/>
  <c r="F55" i="2"/>
  <c r="I9" i="2"/>
  <c r="F9" i="2"/>
  <c r="J23" i="2"/>
  <c r="G23" i="2"/>
  <c r="M27" i="2"/>
  <c r="K60" i="2"/>
  <c r="H60" i="2"/>
  <c r="K34" i="2"/>
  <c r="H34" i="2"/>
  <c r="J18" i="2"/>
  <c r="G18" i="2"/>
  <c r="I26" i="2"/>
  <c r="F26" i="2"/>
  <c r="I45" i="2"/>
  <c r="F45" i="2"/>
  <c r="J17" i="2"/>
  <c r="G17" i="2"/>
  <c r="L41" i="2"/>
  <c r="M41" i="2"/>
  <c r="K33" i="2"/>
  <c r="K45" i="2"/>
  <c r="H45" i="2"/>
  <c r="I42" i="2"/>
  <c r="F42" i="2"/>
  <c r="I52" i="2"/>
  <c r="J58" i="2"/>
  <c r="G58" i="2"/>
  <c r="G37" i="2"/>
  <c r="G48" i="2"/>
  <c r="I15" i="2"/>
  <c r="F15" i="2"/>
  <c r="J61" i="2"/>
  <c r="G61" i="2"/>
  <c r="J62" i="2"/>
  <c r="K25" i="2"/>
  <c r="H25" i="2"/>
  <c r="K26" i="2"/>
  <c r="I5" i="2"/>
  <c r="J25" i="2"/>
  <c r="J28" i="2"/>
  <c r="G28" i="2"/>
  <c r="I53" i="2"/>
  <c r="I10" i="2"/>
  <c r="F10" i="2"/>
  <c r="J6" i="2"/>
  <c r="J51" i="2"/>
  <c r="K58" i="2"/>
  <c r="I14" i="2"/>
  <c r="I46" i="2"/>
  <c r="J9" i="2"/>
  <c r="G38" i="2"/>
  <c r="H36" i="2"/>
  <c r="G24" i="2"/>
  <c r="G8" i="2"/>
  <c r="L8" i="2"/>
  <c r="H18" i="2"/>
  <c r="F27" i="2"/>
  <c r="L27" i="2"/>
  <c r="H4" i="2"/>
  <c r="I21" i="2"/>
  <c r="J49" i="2"/>
  <c r="G49" i="2"/>
  <c r="K24" i="2"/>
  <c r="H24" i="2"/>
  <c r="K47" i="2"/>
  <c r="H47" i="2"/>
  <c r="K22" i="2"/>
  <c r="H22" i="2"/>
  <c r="I47" i="2"/>
  <c r="F47" i="2"/>
  <c r="I25" i="2"/>
  <c r="F25" i="2"/>
  <c r="I20" i="2"/>
  <c r="F20" i="2"/>
  <c r="K50" i="2"/>
  <c r="H50" i="2"/>
  <c r="I23" i="2"/>
  <c r="L23" i="2"/>
  <c r="J31" i="2"/>
  <c r="G31" i="2"/>
  <c r="J52" i="2"/>
  <c r="G52" i="2"/>
  <c r="M37" i="2"/>
  <c r="I28" i="2"/>
  <c r="F28" i="2"/>
  <c r="L37" i="2"/>
  <c r="J45" i="2"/>
  <c r="L45" i="2"/>
  <c r="K55" i="2"/>
  <c r="H55" i="2"/>
  <c r="I34" i="2"/>
  <c r="F34" i="2"/>
  <c r="I17" i="2"/>
  <c r="K13" i="2"/>
  <c r="H13" i="2"/>
  <c r="J29" i="2"/>
  <c r="G29" i="2"/>
  <c r="I33" i="2"/>
  <c r="F33" i="2"/>
  <c r="J4" i="2"/>
  <c r="G4" i="2"/>
  <c r="J21" i="2"/>
  <c r="G21" i="2"/>
  <c r="K48" i="2"/>
  <c r="I24" i="2"/>
  <c r="J43" i="2"/>
  <c r="I13" i="2"/>
  <c r="F13" i="2"/>
  <c r="F52" i="2"/>
  <c r="H33" i="2"/>
  <c r="I60" i="2"/>
  <c r="M60" i="2"/>
  <c r="I35" i="2"/>
  <c r="L35" i="2"/>
  <c r="K32" i="2"/>
  <c r="I62" i="2"/>
  <c r="F62" i="2"/>
  <c r="I36" i="2"/>
  <c r="K42" i="2"/>
  <c r="K12" i="2"/>
  <c r="H12" i="2"/>
  <c r="K5" i="2"/>
  <c r="H5" i="2"/>
  <c r="J19" i="2"/>
  <c r="G19" i="2"/>
  <c r="I12" i="2"/>
  <c r="K29" i="2"/>
  <c r="H29" i="2"/>
  <c r="K21" i="2"/>
  <c r="H21" i="2"/>
  <c r="I63" i="2"/>
  <c r="F63" i="2"/>
  <c r="J12" i="2"/>
  <c r="K62" i="2"/>
  <c r="H62" i="2"/>
  <c r="I61" i="2"/>
  <c r="I29" i="2"/>
  <c r="J55" i="2"/>
  <c r="J56" i="2"/>
  <c r="K57" i="2"/>
  <c r="I11" i="2"/>
  <c r="K19" i="2"/>
  <c r="J34" i="2"/>
  <c r="I50" i="2"/>
  <c r="J46" i="2"/>
  <c r="G46" i="2"/>
  <c r="F5" i="2"/>
  <c r="G62" i="2"/>
  <c r="I38" i="2"/>
  <c r="I54" i="2"/>
  <c r="F54" i="2"/>
  <c r="I4" i="2"/>
  <c r="J15" i="2"/>
  <c r="M15" i="2"/>
  <c r="J30" i="2"/>
  <c r="M30" i="2"/>
  <c r="H26" i="2"/>
  <c r="L26" i="2"/>
  <c r="M26" i="2"/>
  <c r="I16" i="2"/>
  <c r="J16" i="2"/>
  <c r="G16" i="2"/>
  <c r="I7" i="2"/>
  <c r="G51" i="2"/>
  <c r="M51" i="2"/>
  <c r="L51" i="2"/>
  <c r="H58" i="2"/>
  <c r="L58" i="2"/>
  <c r="M58" i="2"/>
  <c r="F53" i="2"/>
  <c r="M53" i="2"/>
  <c r="L53" i="2"/>
  <c r="I49" i="2"/>
  <c r="K54" i="2"/>
  <c r="H54" i="2"/>
  <c r="J54" i="2"/>
  <c r="J47" i="2"/>
  <c r="J7" i="2"/>
  <c r="G6" i="2"/>
  <c r="L6" i="2"/>
  <c r="M6" i="2"/>
  <c r="G25" i="2"/>
  <c r="L25" i="2"/>
  <c r="J22" i="2"/>
  <c r="J63" i="2"/>
  <c r="I18" i="2"/>
  <c r="J40" i="2"/>
  <c r="J39" i="2"/>
  <c r="J13" i="2"/>
  <c r="J14" i="2"/>
  <c r="G9" i="2"/>
  <c r="M9" i="2"/>
  <c r="L9" i="2"/>
  <c r="F14" i="2"/>
  <c r="F46" i="2"/>
  <c r="F21" i="2"/>
  <c r="K10" i="2"/>
  <c r="M10" i="2"/>
  <c r="K20" i="2"/>
  <c r="I31" i="2"/>
  <c r="M22" i="2"/>
  <c r="M20" i="2"/>
  <c r="M28" i="2"/>
  <c r="F23" i="2"/>
  <c r="M25" i="2"/>
  <c r="M23" i="2"/>
  <c r="L28" i="2"/>
  <c r="M45" i="2"/>
  <c r="L52" i="2"/>
  <c r="G45" i="2"/>
  <c r="M52" i="2"/>
  <c r="M31" i="2"/>
  <c r="M33" i="2"/>
  <c r="L33" i="2"/>
  <c r="H48" i="2"/>
  <c r="M48" i="2"/>
  <c r="L48" i="2"/>
  <c r="F17" i="2"/>
  <c r="L17" i="2"/>
  <c r="M17" i="2"/>
  <c r="L21" i="2"/>
  <c r="F24" i="2"/>
  <c r="M24" i="2"/>
  <c r="L24" i="2"/>
  <c r="L60" i="2"/>
  <c r="G43" i="2"/>
  <c r="L43" i="2"/>
  <c r="M43" i="2"/>
  <c r="M62" i="2"/>
  <c r="F60" i="2"/>
  <c r="M46" i="2"/>
  <c r="F35" i="2"/>
  <c r="L5" i="2"/>
  <c r="M35" i="2"/>
  <c r="L15" i="2"/>
  <c r="G30" i="2"/>
  <c r="L62" i="2"/>
  <c r="M5" i="2"/>
  <c r="L30" i="2"/>
  <c r="M29" i="2"/>
  <c r="F29" i="2"/>
  <c r="L29" i="2"/>
  <c r="H32" i="2"/>
  <c r="L32" i="2"/>
  <c r="M32" i="2"/>
  <c r="F61" i="2"/>
  <c r="L61" i="2"/>
  <c r="M61" i="2"/>
  <c r="H42" i="2"/>
  <c r="M42" i="2"/>
  <c r="L42" i="2"/>
  <c r="G15" i="2"/>
  <c r="M21" i="2"/>
  <c r="L55" i="2"/>
  <c r="M55" i="2"/>
  <c r="G55" i="2"/>
  <c r="M12" i="2"/>
  <c r="G12" i="2"/>
  <c r="F12" i="2"/>
  <c r="L12" i="2"/>
  <c r="F36" i="2"/>
  <c r="M36" i="2"/>
  <c r="L36" i="2"/>
  <c r="F38" i="2"/>
  <c r="M38" i="2"/>
  <c r="L38" i="2"/>
  <c r="F50" i="2"/>
  <c r="L50" i="2"/>
  <c r="M50" i="2"/>
  <c r="H57" i="2"/>
  <c r="L57" i="2"/>
  <c r="M57" i="2"/>
  <c r="L46" i="2"/>
  <c r="F11" i="2"/>
  <c r="M11" i="2"/>
  <c r="L11" i="2"/>
  <c r="F4" i="2"/>
  <c r="M4" i="2"/>
  <c r="L4" i="2"/>
  <c r="H19" i="2"/>
  <c r="M19" i="2"/>
  <c r="L19" i="2"/>
  <c r="G34" i="2"/>
  <c r="L34" i="2"/>
  <c r="M34" i="2"/>
  <c r="L56" i="2"/>
  <c r="M56" i="2"/>
  <c r="G56" i="2"/>
  <c r="L22" i="2"/>
  <c r="G22" i="2"/>
  <c r="M7" i="2"/>
  <c r="G7" i="2"/>
  <c r="F49" i="2"/>
  <c r="L49" i="2"/>
  <c r="M49" i="2"/>
  <c r="F7" i="2"/>
  <c r="L7" i="2"/>
  <c r="L54" i="2"/>
  <c r="M54" i="2"/>
  <c r="G54" i="2"/>
  <c r="G47" i="2"/>
  <c r="L47" i="2"/>
  <c r="M47" i="2"/>
  <c r="F16" i="2"/>
  <c r="M16" i="2"/>
  <c r="L16" i="2"/>
  <c r="M14" i="2"/>
  <c r="G14" i="2"/>
  <c r="F18" i="2"/>
  <c r="M18" i="2"/>
  <c r="L18" i="2"/>
  <c r="G40" i="2"/>
  <c r="L40" i="2"/>
  <c r="M40" i="2"/>
  <c r="G39" i="2"/>
  <c r="L39" i="2"/>
  <c r="M39" i="2"/>
  <c r="G13" i="2"/>
  <c r="L13" i="2"/>
  <c r="M13" i="2"/>
  <c r="G63" i="2"/>
  <c r="M63" i="2"/>
  <c r="L63" i="2"/>
  <c r="L14" i="2"/>
  <c r="H20" i="2"/>
  <c r="L20" i="2"/>
  <c r="F31" i="2"/>
  <c r="L31" i="2"/>
  <c r="H10" i="2"/>
  <c r="L10" i="2"/>
</calcChain>
</file>

<file path=xl/sharedStrings.xml><?xml version="1.0" encoding="utf-8"?>
<sst xmlns="http://schemas.openxmlformats.org/spreadsheetml/2006/main" count="402" uniqueCount="138">
  <si>
    <t>1. First, create a histogram depicting the relative frequencies of the card values.</t>
  </si>
  <si>
    <t>Card</t>
  </si>
  <si>
    <t>Value</t>
  </si>
  <si>
    <t>Ace</t>
  </si>
  <si>
    <t>Jack</t>
  </si>
  <si>
    <t>Queen</t>
  </si>
  <si>
    <t>King</t>
  </si>
  <si>
    <t>Cards Num</t>
  </si>
  <si>
    <t>Relative Frequency</t>
  </si>
  <si>
    <t>Percentage</t>
  </si>
  <si>
    <t>Proportion</t>
  </si>
  <si>
    <t>Total</t>
  </si>
  <si>
    <t>This experiment will require the use of a standard deck of playing cards.</t>
  </si>
  <si>
    <t xml:space="preserve">This is a deck of fifty-two cards divided into four suits (spades (♠), hearts (♥), diamonds (♦), and clubs (♣)), </t>
  </si>
  <si>
    <t>each suit containing thirteen cards (Ace, numbers 2-10, and face cards Jack, Queen, and King)</t>
  </si>
  <si>
    <t>Bin</t>
  </si>
  <si>
    <t>Mean</t>
  </si>
  <si>
    <t>Median</t>
  </si>
  <si>
    <t>Mode</t>
  </si>
  <si>
    <t>Mode is higher than the Median, which is also higher than the Mean.</t>
  </si>
  <si>
    <t>2. Now, we will get samples for a new distribution. To obtain a single sample, shuffle your deck of cards and draw three cards from it.</t>
  </si>
  <si>
    <t>(You will be sampling from the deck without replacement.) Record the cards that you have drawn and the sum of the three cards’ values.</t>
  </si>
  <si>
    <t>Replace the drawn cards back into the deck and repeat this sampling procedure a total of at least thirty times.</t>
  </si>
  <si>
    <t>We have a much higher proportion of frequencies to the max value of 10.</t>
  </si>
  <si>
    <t>Card 1</t>
  </si>
  <si>
    <t>Card 2</t>
  </si>
  <si>
    <t>Card 3</t>
  </si>
  <si>
    <t>Value 1</t>
  </si>
  <si>
    <t>Value 2</t>
  </si>
  <si>
    <t>Value 3</t>
  </si>
  <si>
    <t>Hearts</t>
  </si>
  <si>
    <t>Space</t>
  </si>
  <si>
    <t>Diamond</t>
  </si>
  <si>
    <t>Index</t>
  </si>
  <si>
    <t>Types</t>
  </si>
  <si>
    <t>Hearts King</t>
  </si>
  <si>
    <t>Diamond King</t>
  </si>
  <si>
    <t>Space King</t>
  </si>
  <si>
    <t>Hearts Queen</t>
  </si>
  <si>
    <t>Diamond Queen</t>
  </si>
  <si>
    <t>Space Queen</t>
  </si>
  <si>
    <t>Hearts Jack</t>
  </si>
  <si>
    <t>Diamond Jack</t>
  </si>
  <si>
    <t>Space Jack</t>
  </si>
  <si>
    <t>Sample Size</t>
  </si>
  <si>
    <t>3. Let’s take a look at the distribution of the card sums. Report descriptive statistics for the samples you have drawn.</t>
  </si>
  <si>
    <t>Include at least two measures of central tendency and two measures of variability.</t>
  </si>
  <si>
    <t>Measure of central tendency:</t>
  </si>
  <si>
    <t>Measures of variability</t>
  </si>
  <si>
    <t>Q1</t>
  </si>
  <si>
    <t>Q2</t>
  </si>
  <si>
    <t>Q3</t>
  </si>
  <si>
    <t>IQR</t>
  </si>
  <si>
    <t>Standard deviation</t>
  </si>
  <si>
    <t>Variance</t>
  </si>
  <si>
    <t>Hearts 5</t>
  </si>
  <si>
    <t>Diamond 7</t>
  </si>
  <si>
    <t>Space 6</t>
  </si>
  <si>
    <t>Space 10</t>
  </si>
  <si>
    <t>Diamond 3</t>
  </si>
  <si>
    <t>Hearts 4</t>
  </si>
  <si>
    <t>Hearts 8</t>
  </si>
  <si>
    <t>Hearts 9</t>
  </si>
  <si>
    <t>Space 2</t>
  </si>
  <si>
    <t>Hearts 1</t>
  </si>
  <si>
    <t>Sample Sums</t>
  </si>
  <si>
    <t>Sample Means</t>
  </si>
  <si>
    <t>Range</t>
  </si>
  <si>
    <t>Population</t>
  </si>
  <si>
    <t>Deviation</t>
  </si>
  <si>
    <t>Squared</t>
  </si>
  <si>
    <t>Median Row</t>
  </si>
  <si>
    <t>Sorted for Quartiles</t>
  </si>
  <si>
    <t>Q4</t>
  </si>
  <si>
    <t>Squared Deviations for Var and Std Dev</t>
  </si>
  <si>
    <t>4. Create a histogram of the sampled card sums you have recorded.</t>
  </si>
  <si>
    <t>Compare its shape to that of the original distribution. How are they different, and can you explain why this is the case?</t>
  </si>
  <si>
    <t>5. Make some estimates about values you will get on future draws. Within what range will you expect approximately 90% of your draw values to fall?</t>
  </si>
  <si>
    <t>What is the approximate probability that you will get a draw value of at least 20? Make sure you justify how you obtained your values.</t>
  </si>
  <si>
    <t>Sum of Samples</t>
  </si>
  <si>
    <t>Mean of Samples</t>
  </si>
  <si>
    <t>Comment : The histogram 1 of card values is negatively skewed.</t>
  </si>
  <si>
    <t>If value 10 could be considered as an outlier, then the shape is uniform.</t>
  </si>
  <si>
    <t>Our sample size is 3 (n=3). Central limit theorem states that the larger the sample size,</t>
  </si>
  <si>
    <t>the closer you will get to the normal distribution (regardless of the shape of the population distribution).</t>
  </si>
  <si>
    <t>If we repeat the experiment many times, we could expect to see a distribution even closer to normal.</t>
  </si>
  <si>
    <t>The Central Limit Theorem would have still been applied by taking either the Sample Sums or Sample Means.</t>
  </si>
  <si>
    <t>Bessel's correction</t>
  </si>
  <si>
    <t>Sampling Distribution</t>
  </si>
  <si>
    <t>Min</t>
  </si>
  <si>
    <t>Max</t>
  </si>
  <si>
    <t>The mean of the sampling distribution is the same as the population mean (μ).</t>
  </si>
  <si>
    <t>The Standard Error (SE) of the sampling distribution is equal to the population standard deviation (σ) / square root of the sample size n (n=3).</t>
  </si>
  <si>
    <t>Standard Deviation</t>
  </si>
  <si>
    <t>Standard Error</t>
  </si>
  <si>
    <t>A dataset of 60 samples represents a small proportion (approx. 0,4%) of the total number of samples we can get for a card game.</t>
  </si>
  <si>
    <t>The lower the standard deviation, the more probable to lie on this area away from the mean.</t>
  </si>
  <si>
    <t>Regarding histogram 2 and 3, their shape are appraching a normal distribution with respect to histogram 1.</t>
  </si>
  <si>
    <t>5.1. Within what range will you expect approximately 90% of your draw values to fall?</t>
  </si>
  <si>
    <t>5.2. What is the approximate probability that you will get a draw value of at least 20?</t>
  </si>
  <si>
    <t>Sampling Distribution of Sums</t>
  </si>
  <si>
    <t>Comment : The chart above shows the normal distribution for our sampling distribution of sums with N=3, Mean=6,54 and SE=1,82.</t>
  </si>
  <si>
    <t>As the exercise is about the Sum rather than the Average of Values, we multiply the values by n (n=3).</t>
  </si>
  <si>
    <t>taken from Q4</t>
  </si>
  <si>
    <t>taken from Q4. We chose the SE assuming that we plot on sampling distribution other samples of same size (future draws)</t>
  </si>
  <si>
    <t>Standard Error (SE)</t>
  </si>
  <si>
    <t>Mean (μ)</t>
  </si>
  <si>
    <t>Range of 90% induce 5% on the left of the curve and 5% on the right of the curve. 90% is on the middle area centered around the mean</t>
  </si>
  <si>
    <t>Left side 5%</t>
  </si>
  <si>
    <t>Right side 5%</t>
  </si>
  <si>
    <t>Z-Table</t>
  </si>
  <si>
    <t>Z</t>
  </si>
  <si>
    <t>midpoint of 1,64 and 1,65</t>
  </si>
  <si>
    <t>midpoint of -1,64 and -1,65</t>
  </si>
  <si>
    <t>Z-Score</t>
  </si>
  <si>
    <t>X = (z*σ) + μ</t>
  </si>
  <si>
    <t>σ we would use is the SE</t>
  </si>
  <si>
    <t>formula for calculating the Z-score, on x-axis how many standard deviations you are away from the mean</t>
  </si>
  <si>
    <t>X</t>
  </si>
  <si>
    <t>Based on X</t>
  </si>
  <si>
    <t>If it would have been 54 out of 60 samples that fall within the X range, it would have been exactly 90%.</t>
  </si>
  <si>
    <t>a)</t>
  </si>
  <si>
    <t>b)</t>
  </si>
  <si>
    <t>Z = (x-μ) / σ</t>
  </si>
  <si>
    <t>Looking at the z-table, the probability of z = 0,07 is correct if you will get a draw value less than 20.</t>
  </si>
  <si>
    <t>A draw value of at least 20 is the negative z-score (z = -0,07) probability.</t>
  </si>
  <si>
    <t>Looking at the z-table, the probability of z = -0,07 is 0,4721.</t>
  </si>
  <si>
    <t>The answer is</t>
  </si>
  <si>
    <t>Looking at the z-table, the probability of z = 0,07 is 0,5279.</t>
  </si>
  <si>
    <t>This is the correct probability if you will get a draw value less than 20.</t>
  </si>
  <si>
    <t>Thus the probability of a greater value than 20 is (1-0,5279)</t>
  </si>
  <si>
    <t>Thus 90% of our values will fall approx between 10,63 and 28,60.</t>
  </si>
  <si>
    <t>Comment : I have placed my notes for histogram 1 above on the first question.</t>
  </si>
  <si>
    <t>Data can be found on SampleData Sheet. Data used is from Range 03:V63.</t>
  </si>
  <si>
    <t>On my Sample of 60 draws, 51 out of 60 values lie in this range. Calcs can be seen on SampleData Sheet on Column AN.</t>
  </si>
  <si>
    <t>Probability density function (PDF) calcs can be found on the SampleData Sheet on column AL.</t>
  </si>
  <si>
    <t>If we choose a larger sample size (i.e. n=5), the peak of the graph distribution increases and the standard deviation is more likely to decrease.</t>
  </si>
  <si>
    <t>Two calc options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</si>
</sst>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 ;[Red]\-0.000\ "/>
    <numFmt numFmtId="165" formatCode="0.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Border="1"/>
    <xf numFmtId="0" fontId="0" fillId="3" borderId="0" xfId="0" applyFill="1"/>
    <xf numFmtId="2" fontId="0" fillId="2" borderId="0" xfId="0" applyNumberFormat="1" applyFill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Summary!$D$9</c:f>
              <c:strCache>
                <c:ptCount val="1"/>
                <c:pt idx="0">
                  <c:v>Relative Frequency</c:v>
                </c:pt>
              </c:strCache>
            </c:strRef>
          </c:tx>
          <c:invertIfNegative val="0"/>
          <c:cat>
            <c:numRef>
              <c:f>Summary!$B$11:$B$20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Summary!$E$11:$E$20</c:f>
              <c:numCache>
                <c:formatCode>0.00%</c:formatCode>
                <c:ptCount val="10"/>
                <c:pt idx="0">
                  <c:v>0.0769230769230769</c:v>
                </c:pt>
                <c:pt idx="1">
                  <c:v>0.0769230769230769</c:v>
                </c:pt>
                <c:pt idx="2">
                  <c:v>0.0769230769230769</c:v>
                </c:pt>
                <c:pt idx="3">
                  <c:v>0.0769230769230769</c:v>
                </c:pt>
                <c:pt idx="4">
                  <c:v>0.0769230769230769</c:v>
                </c:pt>
                <c:pt idx="5">
                  <c:v>0.0769230769230769</c:v>
                </c:pt>
                <c:pt idx="6">
                  <c:v>0.0769230769230769</c:v>
                </c:pt>
                <c:pt idx="7">
                  <c:v>0.0769230769230769</c:v>
                </c:pt>
                <c:pt idx="8">
                  <c:v>0.0769230769230769</c:v>
                </c:pt>
                <c:pt idx="9">
                  <c:v>0.307692307692308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850168"/>
        <c:axId val="2083736056"/>
      </c:barChart>
      <c:catAx>
        <c:axId val="207385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Card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736056"/>
        <c:crosses val="autoZero"/>
        <c:auto val="1"/>
        <c:lblAlgn val="ctr"/>
        <c:lblOffset val="100"/>
        <c:noMultiLvlLbl val="0"/>
      </c:catAx>
      <c:valAx>
        <c:axId val="2083736056"/>
        <c:scaling>
          <c:orientation val="minMax"/>
          <c:max val="0.315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0.0%" sourceLinked="0"/>
        <c:majorTickMark val="out"/>
        <c:minorTickMark val="none"/>
        <c:tickLblPos val="nextTo"/>
        <c:crossAx val="2073850168"/>
        <c:crosses val="autoZero"/>
        <c:crossBetween val="between"/>
        <c:majorUnit val="0.035"/>
      </c:valAx>
    </c:plotArea>
    <c:legend>
      <c:legendPos val="r"/>
      <c:layout>
        <c:manualLayout>
          <c:xMode val="edge"/>
          <c:yMode val="edge"/>
          <c:x val="0.712526635943459"/>
          <c:y val="0.187445724913525"/>
          <c:w val="0.16299935030179"/>
          <c:h val="0.14852479532773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Summary!$B$91</c:f>
              <c:strCache>
                <c:ptCount val="1"/>
                <c:pt idx="0">
                  <c:v>Sum of Samples</c:v>
                </c:pt>
              </c:strCache>
            </c:strRef>
          </c:tx>
          <c:invertIfNegative val="0"/>
          <c:cat>
            <c:numRef>
              <c:f>Summary!$A$93:$A$103</c:f>
              <c:numCache>
                <c:formatCode>General</c:formatCode>
                <c:ptCount val="11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</c:numCache>
            </c:numRef>
          </c:cat>
          <c:val>
            <c:numRef>
              <c:f>Summary!$B$93:$B$103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10.0</c:v>
                </c:pt>
                <c:pt idx="5">
                  <c:v>9.0</c:v>
                </c:pt>
                <c:pt idx="6">
                  <c:v>10.0</c:v>
                </c:pt>
                <c:pt idx="7">
                  <c:v>15.0</c:v>
                </c:pt>
                <c:pt idx="8">
                  <c:v>4.0</c:v>
                </c:pt>
                <c:pt idx="9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484408"/>
        <c:axId val="2084374696"/>
      </c:barChart>
      <c:catAx>
        <c:axId val="207448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Sums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374696"/>
        <c:crosses val="autoZero"/>
        <c:auto val="1"/>
        <c:lblAlgn val="ctr"/>
        <c:lblOffset val="100"/>
        <c:noMultiLvlLbl val="0"/>
      </c:catAx>
      <c:valAx>
        <c:axId val="2084374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484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7364761223029"/>
          <c:y val="0.256307200730343"/>
          <c:w val="0.189902673649047"/>
          <c:h val="0.1612650517921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Summary!$B$107</c:f>
              <c:strCache>
                <c:ptCount val="1"/>
                <c:pt idx="0">
                  <c:v>Mean of Samples</c:v>
                </c:pt>
              </c:strCache>
            </c:strRef>
          </c:tx>
          <c:invertIfNegative val="0"/>
          <c:cat>
            <c:numRef>
              <c:f>Summary!$A$109:$A$119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Summary!$B$109:$B$119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10.0</c:v>
                </c:pt>
                <c:pt idx="5">
                  <c:v>9.0</c:v>
                </c:pt>
                <c:pt idx="6">
                  <c:v>10.0</c:v>
                </c:pt>
                <c:pt idx="7">
                  <c:v>15.0</c:v>
                </c:pt>
                <c:pt idx="8">
                  <c:v>4.0</c:v>
                </c:pt>
                <c:pt idx="9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351608"/>
        <c:axId val="2084204280"/>
      </c:barChart>
      <c:catAx>
        <c:axId val="208735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</a:t>
                </a:r>
                <a:r>
                  <a:rPr lang="en-GB" baseline="0"/>
                  <a:t> Means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204280"/>
        <c:crosses val="autoZero"/>
        <c:auto val="1"/>
        <c:lblAlgn val="ctr"/>
        <c:lblOffset val="100"/>
        <c:noMultiLvlLbl val="0"/>
      </c:catAx>
      <c:valAx>
        <c:axId val="2084204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351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3535840347543"/>
          <c:y val="0.24314658509413"/>
          <c:w val="0.207498642411078"/>
          <c:h val="0.1394863951358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Distr (n=3)</a:t>
            </a:r>
          </a:p>
        </c:rich>
      </c:tx>
      <c:layout>
        <c:manualLayout>
          <c:xMode val="edge"/>
          <c:yMode val="edge"/>
          <c:x val="0.354705678292136"/>
          <c:y val="0.0354474215902868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NormDist (PDF)</c:v>
          </c:tx>
          <c:yVal>
            <c:numRef>
              <c:f>SampleData!$AL$4:$AL$63</c:f>
              <c:numCache>
                <c:formatCode>General</c:formatCode>
                <c:ptCount val="60"/>
                <c:pt idx="0">
                  <c:v>0.00203365815142826</c:v>
                </c:pt>
                <c:pt idx="1">
                  <c:v>0.00326464069245702</c:v>
                </c:pt>
                <c:pt idx="2">
                  <c:v>0.0110441371049619</c:v>
                </c:pt>
                <c:pt idx="3">
                  <c:v>0.0110441371049619</c:v>
                </c:pt>
                <c:pt idx="4">
                  <c:v>0.0155038164524658</c:v>
                </c:pt>
                <c:pt idx="5">
                  <c:v>0.0276289460792642</c:v>
                </c:pt>
                <c:pt idx="6">
                  <c:v>0.0276289460792642</c:v>
                </c:pt>
                <c:pt idx="7">
                  <c:v>0.0350738298469349</c:v>
                </c:pt>
                <c:pt idx="8">
                  <c:v>0.0350738298469349</c:v>
                </c:pt>
                <c:pt idx="9">
                  <c:v>0.0350738298469349</c:v>
                </c:pt>
                <c:pt idx="10">
                  <c:v>0.0350738298469349</c:v>
                </c:pt>
                <c:pt idx="11">
                  <c:v>0.0430565680760481</c:v>
                </c:pt>
                <c:pt idx="12">
                  <c:v>0.0430565680760481</c:v>
                </c:pt>
                <c:pt idx="13">
                  <c:v>0.0430565680760481</c:v>
                </c:pt>
                <c:pt idx="14">
                  <c:v>0.0511131889946359</c:v>
                </c:pt>
                <c:pt idx="15">
                  <c:v>0.0511131889946359</c:v>
                </c:pt>
                <c:pt idx="16">
                  <c:v>0.0511131889946359</c:v>
                </c:pt>
                <c:pt idx="17">
                  <c:v>0.0586764584188343</c:v>
                </c:pt>
                <c:pt idx="18">
                  <c:v>0.0586764584188343</c:v>
                </c:pt>
                <c:pt idx="19">
                  <c:v>0.0586764584188343</c:v>
                </c:pt>
                <c:pt idx="20">
                  <c:v>0.0651376604200783</c:v>
                </c:pt>
                <c:pt idx="21">
                  <c:v>0.0651376604200783</c:v>
                </c:pt>
                <c:pt idx="22">
                  <c:v>0.0651376604200783</c:v>
                </c:pt>
                <c:pt idx="23">
                  <c:v>0.0651376604200783</c:v>
                </c:pt>
                <c:pt idx="24">
                  <c:v>0.0699258519446974</c:v>
                </c:pt>
                <c:pt idx="25">
                  <c:v>0.0699258519446974</c:v>
                </c:pt>
                <c:pt idx="26">
                  <c:v>0.0725906565838994</c:v>
                </c:pt>
                <c:pt idx="27">
                  <c:v>0.0725906565838994</c:v>
                </c:pt>
                <c:pt idx="28">
                  <c:v>0.0725906565838994</c:v>
                </c:pt>
                <c:pt idx="29">
                  <c:v>0.072872057316301</c:v>
                </c:pt>
                <c:pt idx="30">
                  <c:v>0.072872057316301</c:v>
                </c:pt>
                <c:pt idx="31">
                  <c:v>0.072872057316301</c:v>
                </c:pt>
                <c:pt idx="32">
                  <c:v>0.0707422199823822</c:v>
                </c:pt>
                <c:pt idx="33">
                  <c:v>0.0707422199823822</c:v>
                </c:pt>
                <c:pt idx="34">
                  <c:v>0.0707422199823822</c:v>
                </c:pt>
                <c:pt idx="35">
                  <c:v>0.0707422199823822</c:v>
                </c:pt>
                <c:pt idx="36">
                  <c:v>0.0664100314495501</c:v>
                </c:pt>
                <c:pt idx="37">
                  <c:v>0.0664100314495501</c:v>
                </c:pt>
                <c:pt idx="38">
                  <c:v>0.0664100314495501</c:v>
                </c:pt>
                <c:pt idx="39">
                  <c:v>0.0664100314495501</c:v>
                </c:pt>
                <c:pt idx="40">
                  <c:v>0.0664100314495501</c:v>
                </c:pt>
                <c:pt idx="41">
                  <c:v>0.0664100314495501</c:v>
                </c:pt>
                <c:pt idx="42">
                  <c:v>0.0664100314495501</c:v>
                </c:pt>
                <c:pt idx="43">
                  <c:v>0.0664100314495501</c:v>
                </c:pt>
                <c:pt idx="44">
                  <c:v>0.060287327894367</c:v>
                </c:pt>
                <c:pt idx="45">
                  <c:v>0.060287327894367</c:v>
                </c:pt>
                <c:pt idx="46">
                  <c:v>0.052924374277454</c:v>
                </c:pt>
                <c:pt idx="47">
                  <c:v>0.052924374277454</c:v>
                </c:pt>
                <c:pt idx="48">
                  <c:v>0.052924374277454</c:v>
                </c:pt>
                <c:pt idx="49">
                  <c:v>0.052924374277454</c:v>
                </c:pt>
                <c:pt idx="50">
                  <c:v>0.052924374277454</c:v>
                </c:pt>
                <c:pt idx="51">
                  <c:v>0.0449285887040598</c:v>
                </c:pt>
                <c:pt idx="52">
                  <c:v>0.0368830790308117</c:v>
                </c:pt>
                <c:pt idx="53">
                  <c:v>0.0368830790308117</c:v>
                </c:pt>
                <c:pt idx="54">
                  <c:v>0.0292798541662714</c:v>
                </c:pt>
                <c:pt idx="55">
                  <c:v>0.0224774995259241</c:v>
                </c:pt>
                <c:pt idx="56">
                  <c:v>0.016686468493377</c:v>
                </c:pt>
                <c:pt idx="57">
                  <c:v>0.0119789352138067</c:v>
                </c:pt>
                <c:pt idx="58">
                  <c:v>0.0119789352138067</c:v>
                </c:pt>
                <c:pt idx="59">
                  <c:v>0.0119789352138067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75448"/>
        <c:axId val="2087118440"/>
      </c:scatterChart>
      <c:valAx>
        <c:axId val="2074775448"/>
        <c:scaling>
          <c:orientation val="minMax"/>
          <c:max val="60.0"/>
        </c:scaling>
        <c:delete val="0"/>
        <c:axPos val="b"/>
        <c:majorTickMark val="out"/>
        <c:minorTickMark val="none"/>
        <c:tickLblPos val="nextTo"/>
        <c:crossAx val="2087118440"/>
        <c:crosses val="autoZero"/>
        <c:crossBetween val="midCat"/>
        <c:majorUnit val="6.0"/>
      </c:valAx>
      <c:valAx>
        <c:axId val="20871184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74775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24479851572"/>
          <c:y val="0.223961932815952"/>
          <c:w val="0.222631578947368"/>
          <c:h val="0.125097905927227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25</xdr:row>
      <xdr:rowOff>38101</xdr:rowOff>
    </xdr:from>
    <xdr:to>
      <xdr:col>6</xdr:col>
      <xdr:colOff>85725</xdr:colOff>
      <xdr:row>40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90</xdr:row>
      <xdr:rowOff>19050</xdr:rowOff>
    </xdr:from>
    <xdr:to>
      <xdr:col>9</xdr:col>
      <xdr:colOff>247650</xdr:colOff>
      <xdr:row>103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106</xdr:row>
      <xdr:rowOff>0</xdr:rowOff>
    </xdr:from>
    <xdr:to>
      <xdr:col>9</xdr:col>
      <xdr:colOff>247650</xdr:colOff>
      <xdr:row>119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847725</xdr:colOff>
      <xdr:row>141</xdr:row>
      <xdr:rowOff>9525</xdr:rowOff>
    </xdr:from>
    <xdr:to>
      <xdr:col>6</xdr:col>
      <xdr:colOff>314326</xdr:colOff>
      <xdr:row>154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0"/>
  <sheetViews>
    <sheetView tabSelected="1" workbookViewId="0">
      <selection activeCell="C6" sqref="C6"/>
    </sheetView>
  </sheetViews>
  <sheetFormatPr baseColWidth="10" defaultColWidth="8.83203125" defaultRowHeight="14" x14ac:dyDescent="0"/>
  <cols>
    <col min="1" max="1" width="17.5" customWidth="1"/>
    <col min="2" max="2" width="15.1640625" customWidth="1"/>
    <col min="3" max="3" width="10.6640625" bestFit="1" customWidth="1"/>
    <col min="4" max="4" width="12.6640625" bestFit="1" customWidth="1"/>
    <col min="5" max="5" width="14" bestFit="1" customWidth="1"/>
    <col min="6" max="6" width="7.5" customWidth="1"/>
    <col min="7" max="7" width="10.1640625" customWidth="1"/>
    <col min="8" max="8" width="9.1640625" customWidth="1"/>
    <col min="11" max="11" width="9.1640625" customWidth="1"/>
    <col min="12" max="12" width="10.6640625" bestFit="1" customWidth="1"/>
  </cols>
  <sheetData>
    <row r="2" spans="1:7">
      <c r="A2" t="s">
        <v>12</v>
      </c>
    </row>
    <row r="3" spans="1:7">
      <c r="A3" t="s">
        <v>13</v>
      </c>
    </row>
    <row r="4" spans="1:7">
      <c r="A4" t="s">
        <v>14</v>
      </c>
    </row>
    <row r="7" spans="1:7">
      <c r="A7" t="s">
        <v>0</v>
      </c>
    </row>
    <row r="9" spans="1:7">
      <c r="D9" s="31" t="s">
        <v>8</v>
      </c>
      <c r="E9" s="31"/>
      <c r="F9" s="4"/>
      <c r="G9" s="4" t="s">
        <v>70</v>
      </c>
    </row>
    <row r="10" spans="1:7">
      <c r="A10" s="6" t="s">
        <v>1</v>
      </c>
      <c r="B10" s="6" t="s">
        <v>2</v>
      </c>
      <c r="C10" s="6" t="s">
        <v>7</v>
      </c>
      <c r="D10" s="6" t="s">
        <v>10</v>
      </c>
      <c r="E10" s="6" t="s">
        <v>9</v>
      </c>
      <c r="F10" s="6"/>
      <c r="G10" s="19" t="s">
        <v>69</v>
      </c>
    </row>
    <row r="11" spans="1:7">
      <c r="A11" s="1" t="s">
        <v>3</v>
      </c>
      <c r="B11" s="1">
        <v>1</v>
      </c>
      <c r="C11">
        <v>4</v>
      </c>
      <c r="D11" s="9">
        <f t="shared" ref="D11:D20" si="0">C11/$C$24</f>
        <v>7.6923076923076927E-2</v>
      </c>
      <c r="E11" s="3">
        <f>(D11*100)/100</f>
        <v>7.6923076923076927E-2</v>
      </c>
      <c r="F11" s="3"/>
      <c r="G11" s="14">
        <f t="shared" ref="G11:G23" si="1">(B11-$C$43)^2</f>
        <v>30.674556213017748</v>
      </c>
    </row>
    <row r="12" spans="1:7">
      <c r="A12" s="1">
        <v>2</v>
      </c>
      <c r="B12" s="1">
        <v>2</v>
      </c>
      <c r="C12">
        <v>4</v>
      </c>
      <c r="D12" s="9">
        <f t="shared" si="0"/>
        <v>7.6923076923076927E-2</v>
      </c>
      <c r="E12" s="3">
        <f t="shared" ref="E12:E20" si="2">(D12*100)/100</f>
        <v>7.6923076923076927E-2</v>
      </c>
      <c r="F12" s="3"/>
      <c r="G12" s="14">
        <f t="shared" si="1"/>
        <v>20.597633136094672</v>
      </c>
    </row>
    <row r="13" spans="1:7">
      <c r="A13" s="1">
        <v>3</v>
      </c>
      <c r="B13" s="1">
        <v>3</v>
      </c>
      <c r="C13">
        <v>4</v>
      </c>
      <c r="D13" s="9">
        <f t="shared" si="0"/>
        <v>7.6923076923076927E-2</v>
      </c>
      <c r="E13" s="3">
        <f t="shared" si="2"/>
        <v>7.6923076923076927E-2</v>
      </c>
      <c r="F13" s="3"/>
      <c r="G13" s="14">
        <f t="shared" si="1"/>
        <v>12.520710059171597</v>
      </c>
    </row>
    <row r="14" spans="1:7">
      <c r="A14" s="1">
        <v>4</v>
      </c>
      <c r="B14" s="1">
        <v>4</v>
      </c>
      <c r="C14">
        <v>4</v>
      </c>
      <c r="D14" s="9">
        <f t="shared" si="0"/>
        <v>7.6923076923076927E-2</v>
      </c>
      <c r="E14" s="3">
        <f t="shared" si="2"/>
        <v>7.6923076923076927E-2</v>
      </c>
      <c r="F14" s="3"/>
      <c r="G14" s="14">
        <f t="shared" si="1"/>
        <v>6.4437869822485201</v>
      </c>
    </row>
    <row r="15" spans="1:7">
      <c r="A15" s="1">
        <v>5</v>
      </c>
      <c r="B15" s="1">
        <v>5</v>
      </c>
      <c r="C15">
        <v>4</v>
      </c>
      <c r="D15" s="9">
        <f t="shared" si="0"/>
        <v>7.6923076923076927E-2</v>
      </c>
      <c r="E15" s="3">
        <f t="shared" si="2"/>
        <v>7.6923076923076927E-2</v>
      </c>
      <c r="F15" s="3"/>
      <c r="G15" s="14">
        <f t="shared" si="1"/>
        <v>2.3668639053254434</v>
      </c>
    </row>
    <row r="16" spans="1:7">
      <c r="A16" s="1">
        <v>6</v>
      </c>
      <c r="B16" s="1">
        <v>6</v>
      </c>
      <c r="C16">
        <v>4</v>
      </c>
      <c r="D16" s="9">
        <f t="shared" si="0"/>
        <v>7.6923076923076927E-2</v>
      </c>
      <c r="E16" s="3">
        <f t="shared" si="2"/>
        <v>7.6923076923076927E-2</v>
      </c>
      <c r="F16" s="3"/>
      <c r="G16" s="14">
        <f t="shared" si="1"/>
        <v>0.28994082840236673</v>
      </c>
    </row>
    <row r="17" spans="1:7">
      <c r="A17" s="1">
        <v>7</v>
      </c>
      <c r="B17" s="1">
        <v>7</v>
      </c>
      <c r="C17">
        <v>4</v>
      </c>
      <c r="D17" s="9">
        <f t="shared" si="0"/>
        <v>7.6923076923076927E-2</v>
      </c>
      <c r="E17" s="3">
        <f t="shared" si="2"/>
        <v>7.6923076923076927E-2</v>
      </c>
      <c r="F17" s="3"/>
      <c r="G17" s="14">
        <f t="shared" si="1"/>
        <v>0.21301775147929006</v>
      </c>
    </row>
    <row r="18" spans="1:7">
      <c r="A18" s="1">
        <v>8</v>
      </c>
      <c r="B18" s="1">
        <v>8</v>
      </c>
      <c r="C18">
        <v>4</v>
      </c>
      <c r="D18" s="9">
        <f t="shared" si="0"/>
        <v>7.6923076923076927E-2</v>
      </c>
      <c r="E18" s="3">
        <f t="shared" si="2"/>
        <v>7.6923076923076927E-2</v>
      </c>
      <c r="F18" s="3"/>
      <c r="G18" s="14">
        <f t="shared" si="1"/>
        <v>2.1360946745562135</v>
      </c>
    </row>
    <row r="19" spans="1:7">
      <c r="A19" s="1">
        <v>9</v>
      </c>
      <c r="B19" s="1">
        <v>9</v>
      </c>
      <c r="C19">
        <v>4</v>
      </c>
      <c r="D19" s="9">
        <f t="shared" si="0"/>
        <v>7.6923076923076927E-2</v>
      </c>
      <c r="E19" s="3">
        <f t="shared" si="2"/>
        <v>7.6923076923076927E-2</v>
      </c>
      <c r="F19" s="3"/>
      <c r="G19" s="14">
        <f t="shared" si="1"/>
        <v>6.0591715976331368</v>
      </c>
    </row>
    <row r="20" spans="1:7">
      <c r="A20" s="1">
        <v>10</v>
      </c>
      <c r="B20" s="1">
        <v>10</v>
      </c>
      <c r="C20">
        <v>16</v>
      </c>
      <c r="D20" s="9">
        <f t="shared" si="0"/>
        <v>0.30769230769230771</v>
      </c>
      <c r="E20" s="3">
        <f t="shared" si="2"/>
        <v>0.30769230769230771</v>
      </c>
      <c r="F20" s="3"/>
      <c r="G20" s="14">
        <f t="shared" si="1"/>
        <v>11.98224852071006</v>
      </c>
    </row>
    <row r="21" spans="1:7">
      <c r="A21" s="1" t="s">
        <v>4</v>
      </c>
      <c r="B21" s="1">
        <v>10</v>
      </c>
      <c r="C21" s="2"/>
      <c r="D21" s="2"/>
      <c r="G21" s="14">
        <f t="shared" si="1"/>
        <v>11.98224852071006</v>
      </c>
    </row>
    <row r="22" spans="1:7">
      <c r="A22" s="1" t="s">
        <v>5</v>
      </c>
      <c r="B22" s="1">
        <v>10</v>
      </c>
      <c r="C22" s="2"/>
      <c r="D22" s="2"/>
      <c r="G22" s="14">
        <f t="shared" si="1"/>
        <v>11.98224852071006</v>
      </c>
    </row>
    <row r="23" spans="1:7">
      <c r="A23" s="7" t="s">
        <v>6</v>
      </c>
      <c r="B23" s="7">
        <v>10</v>
      </c>
      <c r="C23" s="8"/>
      <c r="D23" s="8"/>
      <c r="E23" s="6"/>
      <c r="F23" s="6"/>
      <c r="G23" s="20">
        <f t="shared" si="1"/>
        <v>11.98224852071006</v>
      </c>
    </row>
    <row r="24" spans="1:7" ht="15.75" customHeight="1">
      <c r="A24" s="1" t="s">
        <v>11</v>
      </c>
      <c r="C24">
        <f>SUM(C11:C23)</f>
        <v>52</v>
      </c>
      <c r="D24">
        <f>SUM(D11:D23)</f>
        <v>1</v>
      </c>
      <c r="E24">
        <f>SUM(E11:E23)*100</f>
        <v>100</v>
      </c>
      <c r="G24" s="21">
        <f>SUM(G11:G23)</f>
        <v>129.23076923076923</v>
      </c>
    </row>
    <row r="25" spans="1:7" ht="15.75" customHeight="1">
      <c r="A25" s="1"/>
    </row>
    <row r="42" spans="1:7">
      <c r="C42" t="s">
        <v>68</v>
      </c>
    </row>
    <row r="43" spans="1:7">
      <c r="A43" t="s">
        <v>16</v>
      </c>
      <c r="C43" s="15">
        <f>SUM(B11:B23)/COUNT(B11:B23)</f>
        <v>6.5384615384615383</v>
      </c>
      <c r="G43" t="s">
        <v>81</v>
      </c>
    </row>
    <row r="44" spans="1:7">
      <c r="A44" t="s">
        <v>17</v>
      </c>
      <c r="C44" s="15">
        <f ca="1">OFFSET($B$10,((COUNT(B11:B23))/2+(COUNT(B11:B23))/2+1)/2,0)</f>
        <v>7</v>
      </c>
      <c r="G44" t="s">
        <v>23</v>
      </c>
    </row>
    <row r="45" spans="1:7">
      <c r="A45" t="s">
        <v>18</v>
      </c>
      <c r="C45" s="15">
        <f>MODE(B11:B23)</f>
        <v>10</v>
      </c>
      <c r="E45" t="b">
        <f ca="1">C45&gt;C44&gt;C43</f>
        <v>1</v>
      </c>
      <c r="G45" t="s">
        <v>19</v>
      </c>
    </row>
    <row r="46" spans="1:7">
      <c r="D46" s="4"/>
      <c r="G46" t="s">
        <v>82</v>
      </c>
    </row>
    <row r="47" spans="1:7">
      <c r="D47" s="4"/>
    </row>
    <row r="49" spans="1:5">
      <c r="A49" t="s">
        <v>20</v>
      </c>
    </row>
    <row r="50" spans="1:5">
      <c r="A50" t="s">
        <v>21</v>
      </c>
    </row>
    <row r="51" spans="1:5">
      <c r="A51" t="s">
        <v>22</v>
      </c>
    </row>
    <row r="53" spans="1:5">
      <c r="A53" t="s">
        <v>133</v>
      </c>
    </row>
    <row r="56" spans="1:5">
      <c r="A56" t="s">
        <v>45</v>
      </c>
    </row>
    <row r="57" spans="1:5">
      <c r="A57" t="s">
        <v>46</v>
      </c>
    </row>
    <row r="59" spans="1:5">
      <c r="A59" t="s">
        <v>47</v>
      </c>
    </row>
    <row r="61" spans="1:5">
      <c r="C61" t="s">
        <v>68</v>
      </c>
      <c r="D61" t="s">
        <v>65</v>
      </c>
      <c r="E61" t="s">
        <v>66</v>
      </c>
    </row>
    <row r="62" spans="1:5">
      <c r="A62" t="s">
        <v>16</v>
      </c>
      <c r="C62" s="15">
        <f>C43</f>
        <v>6.5384615384615383</v>
      </c>
      <c r="D62" s="15">
        <f>SampleData!U65</f>
        <v>19.133333333333333</v>
      </c>
      <c r="E62" s="15">
        <f>SampleData!V65</f>
        <v>6.3777777777777782</v>
      </c>
    </row>
    <row r="63" spans="1:5">
      <c r="A63" t="s">
        <v>17</v>
      </c>
      <c r="C63" s="15">
        <f ca="1">C44</f>
        <v>7</v>
      </c>
      <c r="D63" s="15">
        <f ca="1">(OFFSET(SampleData!$X$3,FLOOR(SampleData!AC2,1),0)+OFFSET(SampleData!$X$3,CEILING(SampleData!AC2,1),0))/2</f>
        <v>20</v>
      </c>
      <c r="E63" s="15">
        <f ca="1">(OFFSET(SampleData!$Y$3,FLOOR(SampleData!AC2,1),0)+OFFSET(SampleData!$Y$3,CEILING(SampleData!AC2,1),0))/2</f>
        <v>6.666666666666667</v>
      </c>
    </row>
    <row r="64" spans="1:5">
      <c r="A64" t="s">
        <v>18</v>
      </c>
      <c r="C64" s="15">
        <f>C45</f>
        <v>10</v>
      </c>
      <c r="D64" s="15">
        <f>MODE(SampleData!U4:U63)</f>
        <v>22</v>
      </c>
      <c r="E64" s="15">
        <f>MODE(SampleData!V4:V63)</f>
        <v>7.333333333333333</v>
      </c>
    </row>
    <row r="67" spans="1:5">
      <c r="A67" t="s">
        <v>48</v>
      </c>
    </row>
    <row r="69" spans="1:5">
      <c r="C69" t="s">
        <v>68</v>
      </c>
      <c r="D69" t="s">
        <v>65</v>
      </c>
      <c r="E69" t="s">
        <v>66</v>
      </c>
    </row>
    <row r="70" spans="1:5">
      <c r="A70" t="s">
        <v>90</v>
      </c>
      <c r="C70" s="15">
        <f>MAX(B11:B23)</f>
        <v>10</v>
      </c>
      <c r="D70" s="15">
        <f>MAX(SampleData!U4:U63)</f>
        <v>30</v>
      </c>
      <c r="E70" s="15">
        <f>MAX(SampleData!V4:V63)</f>
        <v>10</v>
      </c>
    </row>
    <row r="71" spans="1:5">
      <c r="A71" t="s">
        <v>73</v>
      </c>
      <c r="C71" s="15">
        <f>SampleData!AF23</f>
        <v>10</v>
      </c>
      <c r="D71" s="15">
        <f>SampleData!AF8</f>
        <v>30</v>
      </c>
      <c r="E71" s="15">
        <f>SampleData!AF14</f>
        <v>10</v>
      </c>
    </row>
    <row r="72" spans="1:5">
      <c r="A72" t="s">
        <v>51</v>
      </c>
      <c r="C72" s="15">
        <f>SampleData!AF22</f>
        <v>10</v>
      </c>
      <c r="D72" s="15">
        <f>SampleData!AF7</f>
        <v>23</v>
      </c>
      <c r="E72" s="15">
        <f>SampleData!AF13</f>
        <v>7.666666666666667</v>
      </c>
    </row>
    <row r="73" spans="1:5">
      <c r="A73" t="s">
        <v>50</v>
      </c>
      <c r="C73" s="15">
        <f>SampleData!AF21</f>
        <v>7</v>
      </c>
      <c r="D73" s="15">
        <f>SampleData!AF6</f>
        <v>20</v>
      </c>
      <c r="E73" s="15">
        <f>SampleData!AF12</f>
        <v>6.666666666666667</v>
      </c>
    </row>
    <row r="74" spans="1:5">
      <c r="A74" t="s">
        <v>49</v>
      </c>
      <c r="C74" s="15">
        <f>SampleData!AF20</f>
        <v>4</v>
      </c>
      <c r="D74" s="15">
        <f>SampleData!AF5</f>
        <v>15</v>
      </c>
      <c r="E74" s="15">
        <f>SampleData!AF11</f>
        <v>5</v>
      </c>
    </row>
    <row r="75" spans="1:5">
      <c r="A75" t="s">
        <v>89</v>
      </c>
      <c r="C75" s="15">
        <f>MIN(B11:B23)</f>
        <v>1</v>
      </c>
      <c r="D75" s="15">
        <f>MIN(SampleData!U4:U63)</f>
        <v>5</v>
      </c>
      <c r="E75" s="15">
        <f>MIN(SampleData!V4:V63)</f>
        <v>1.6666666666666667</v>
      </c>
    </row>
    <row r="77" spans="1:5">
      <c r="A77" t="s">
        <v>67</v>
      </c>
      <c r="C77" s="15">
        <f>C70-C75</f>
        <v>9</v>
      </c>
      <c r="D77" s="15">
        <f>D70-D75</f>
        <v>25</v>
      </c>
      <c r="E77" s="15">
        <f>E70-E75</f>
        <v>8.3333333333333339</v>
      </c>
    </row>
    <row r="78" spans="1:5">
      <c r="A78" t="s">
        <v>52</v>
      </c>
      <c r="C78" s="15">
        <f>C72-C74</f>
        <v>6</v>
      </c>
      <c r="D78" s="15">
        <f>D72-D74</f>
        <v>8</v>
      </c>
      <c r="E78" s="15">
        <f>E72-E74</f>
        <v>2.666666666666667</v>
      </c>
    </row>
    <row r="80" spans="1:5">
      <c r="A80" t="s">
        <v>54</v>
      </c>
      <c r="C80" s="15">
        <f>G24/COUNT(G11:G23)</f>
        <v>9.9408284023668632</v>
      </c>
      <c r="D80" s="15">
        <f>SUM(SampleData!AH4:AH63)/COUNT(SampleData!AH4:AH63)</f>
        <v>34.082222222222228</v>
      </c>
      <c r="E80" s="15">
        <f>SUM(SampleData!AI4:AI63)/COUNT(SampleData!AI4:AI63)</f>
        <v>3.7869135802469125</v>
      </c>
    </row>
    <row r="81" spans="1:5">
      <c r="A81" t="s">
        <v>53</v>
      </c>
      <c r="C81" s="15">
        <f>SQRT(C80)</f>
        <v>3.1529079279875685</v>
      </c>
      <c r="D81" s="15">
        <f t="shared" ref="D81:E81" si="3">SQRT(D80)</f>
        <v>5.8379981348251757</v>
      </c>
      <c r="E81" s="15">
        <f t="shared" si="3"/>
        <v>1.945999378275058</v>
      </c>
    </row>
    <row r="83" spans="1:5">
      <c r="A83" t="s">
        <v>87</v>
      </c>
    </row>
    <row r="84" spans="1:5">
      <c r="A84" t="s">
        <v>54</v>
      </c>
      <c r="C84" s="15">
        <f>SUM(G11:G23)/(COUNT(G11:G23)-1)</f>
        <v>10.769230769230768</v>
      </c>
      <c r="D84" s="15">
        <f>SUM(SampleData!AH4:AH63)/(COUNT(SampleData!AH4:AH63)-1)</f>
        <v>34.659887005649722</v>
      </c>
      <c r="E84" s="15">
        <f>SUM(SampleData!AI4:AI63)/(COUNT(SampleData!AI4:AI63)-1)</f>
        <v>3.8510985561833011</v>
      </c>
    </row>
    <row r="85" spans="1:5">
      <c r="A85" t="s">
        <v>53</v>
      </c>
      <c r="C85" s="15">
        <f>SQRT(C84)</f>
        <v>3.2816506165694679</v>
      </c>
      <c r="D85" s="15">
        <f>SQRT(D84)</f>
        <v>5.8872648153153193</v>
      </c>
      <c r="E85" s="15">
        <f>SQRT(E84)</f>
        <v>1.9624216051051062</v>
      </c>
    </row>
    <row r="88" spans="1:5">
      <c r="A88" t="s">
        <v>75</v>
      </c>
    </row>
    <row r="89" spans="1:5">
      <c r="A89" t="s">
        <v>76</v>
      </c>
    </row>
    <row r="90" spans="1:5" ht="15" thickBot="1"/>
    <row r="91" spans="1:5">
      <c r="A91" s="13" t="s">
        <v>15</v>
      </c>
      <c r="B91" s="13" t="s">
        <v>79</v>
      </c>
    </row>
    <row r="92" spans="1:5">
      <c r="A92" s="10">
        <v>0</v>
      </c>
      <c r="B92" s="11">
        <v>0</v>
      </c>
    </row>
    <row r="93" spans="1:5">
      <c r="A93" s="10">
        <v>3</v>
      </c>
      <c r="B93" s="11">
        <v>0</v>
      </c>
    </row>
    <row r="94" spans="1:5">
      <c r="A94" s="10">
        <v>6</v>
      </c>
      <c r="B94" s="11">
        <v>2</v>
      </c>
    </row>
    <row r="95" spans="1:5">
      <c r="A95" s="10">
        <v>9</v>
      </c>
      <c r="B95" s="11">
        <v>2</v>
      </c>
    </row>
    <row r="96" spans="1:5">
      <c r="A96" s="10">
        <v>12</v>
      </c>
      <c r="B96" s="11">
        <v>3</v>
      </c>
    </row>
    <row r="97" spans="1:2">
      <c r="A97" s="10">
        <v>15</v>
      </c>
      <c r="B97" s="11">
        <v>10</v>
      </c>
    </row>
    <row r="98" spans="1:2">
      <c r="A98" s="10">
        <v>18</v>
      </c>
      <c r="B98" s="11">
        <v>9</v>
      </c>
    </row>
    <row r="99" spans="1:2">
      <c r="A99" s="10">
        <v>21</v>
      </c>
      <c r="B99" s="11">
        <v>10</v>
      </c>
    </row>
    <row r="100" spans="1:2">
      <c r="A100" s="10">
        <v>24</v>
      </c>
      <c r="B100" s="11">
        <v>15</v>
      </c>
    </row>
    <row r="101" spans="1:2">
      <c r="A101" s="10">
        <v>27</v>
      </c>
      <c r="B101" s="11">
        <v>4</v>
      </c>
    </row>
    <row r="102" spans="1:2">
      <c r="A102" s="10">
        <v>30</v>
      </c>
      <c r="B102" s="11">
        <v>5</v>
      </c>
    </row>
    <row r="103" spans="1:2">
      <c r="A103" s="10"/>
      <c r="B103" s="11"/>
    </row>
    <row r="104" spans="1:2" ht="15" thickBot="1">
      <c r="A104" s="12"/>
      <c r="B104" s="12"/>
    </row>
    <row r="106" spans="1:2" ht="15" thickBot="1"/>
    <row r="107" spans="1:2">
      <c r="A107" s="13" t="s">
        <v>15</v>
      </c>
      <c r="B107" s="13" t="s">
        <v>80</v>
      </c>
    </row>
    <row r="108" spans="1:2">
      <c r="A108" s="10">
        <v>0</v>
      </c>
      <c r="B108" s="11">
        <v>0</v>
      </c>
    </row>
    <row r="109" spans="1:2">
      <c r="A109" s="10">
        <v>1</v>
      </c>
      <c r="B109" s="11">
        <v>0</v>
      </c>
    </row>
    <row r="110" spans="1:2">
      <c r="A110" s="10">
        <v>2</v>
      </c>
      <c r="B110" s="11">
        <v>2</v>
      </c>
    </row>
    <row r="111" spans="1:2">
      <c r="A111" s="10">
        <v>3</v>
      </c>
      <c r="B111" s="11">
        <v>2</v>
      </c>
    </row>
    <row r="112" spans="1:2">
      <c r="A112" s="10">
        <v>4</v>
      </c>
      <c r="B112" s="11">
        <v>3</v>
      </c>
    </row>
    <row r="113" spans="1:4">
      <c r="A113" s="10">
        <v>5</v>
      </c>
      <c r="B113" s="11">
        <v>10</v>
      </c>
    </row>
    <row r="114" spans="1:4">
      <c r="A114" s="10">
        <v>6</v>
      </c>
      <c r="B114" s="11">
        <v>9</v>
      </c>
    </row>
    <row r="115" spans="1:4">
      <c r="A115" s="10">
        <v>7</v>
      </c>
      <c r="B115" s="11">
        <v>10</v>
      </c>
    </row>
    <row r="116" spans="1:4">
      <c r="A116" s="10">
        <v>8</v>
      </c>
      <c r="B116" s="11">
        <v>15</v>
      </c>
    </row>
    <row r="117" spans="1:4">
      <c r="A117" s="10">
        <v>9</v>
      </c>
      <c r="B117" s="11">
        <v>4</v>
      </c>
    </row>
    <row r="118" spans="1:4">
      <c r="A118" s="10">
        <v>10</v>
      </c>
      <c r="B118" s="11">
        <v>5</v>
      </c>
    </row>
    <row r="119" spans="1:4">
      <c r="A119" s="10"/>
      <c r="B119" s="11"/>
    </row>
    <row r="120" spans="1:4" ht="15" thickBot="1">
      <c r="A120" s="12"/>
      <c r="B120" s="12"/>
    </row>
    <row r="121" spans="1:4">
      <c r="A121" s="10"/>
    </row>
    <row r="122" spans="1:4">
      <c r="A122" s="10"/>
      <c r="D122" t="s">
        <v>132</v>
      </c>
    </row>
    <row r="123" spans="1:4">
      <c r="A123" s="10"/>
      <c r="D123" t="s">
        <v>97</v>
      </c>
    </row>
    <row r="124" spans="1:4">
      <c r="A124" s="10"/>
      <c r="D124" t="s">
        <v>83</v>
      </c>
    </row>
    <row r="125" spans="1:4">
      <c r="A125" s="10"/>
      <c r="D125" t="s">
        <v>84</v>
      </c>
    </row>
    <row r="126" spans="1:4">
      <c r="A126" s="10"/>
      <c r="D126" t="s">
        <v>85</v>
      </c>
    </row>
    <row r="127" spans="1:4">
      <c r="A127" s="10"/>
      <c r="D127" t="s">
        <v>86</v>
      </c>
    </row>
    <row r="128" spans="1:4">
      <c r="A128" s="10"/>
    </row>
    <row r="130" spans="1:11">
      <c r="A130" s="10" t="s">
        <v>88</v>
      </c>
    </row>
    <row r="131" spans="1:11">
      <c r="A131" s="10"/>
    </row>
    <row r="132" spans="1:11">
      <c r="A132" s="10" t="s">
        <v>91</v>
      </c>
    </row>
    <row r="133" spans="1:11">
      <c r="A133" s="10" t="s">
        <v>92</v>
      </c>
    </row>
    <row r="134" spans="1:11">
      <c r="A134" s="10" t="s">
        <v>102</v>
      </c>
    </row>
    <row r="135" spans="1:11">
      <c r="A135" s="10" t="s">
        <v>135</v>
      </c>
      <c r="G135" s="26"/>
    </row>
    <row r="137" spans="1:11">
      <c r="C137" s="5" t="s">
        <v>68</v>
      </c>
      <c r="E137" s="32" t="s">
        <v>100</v>
      </c>
      <c r="F137" s="32"/>
      <c r="G137" s="32"/>
      <c r="I137" s="32"/>
      <c r="J137" s="32"/>
      <c r="K137" s="32"/>
    </row>
    <row r="138" spans="1:11">
      <c r="A138" t="s">
        <v>16</v>
      </c>
      <c r="C138" s="15">
        <f>C43</f>
        <v>6.5384615384615383</v>
      </c>
      <c r="E138" t="s">
        <v>16</v>
      </c>
      <c r="G138" s="15">
        <f>C138*$H$140</f>
        <v>19.615384615384613</v>
      </c>
      <c r="J138" s="14"/>
      <c r="K138" s="15"/>
    </row>
    <row r="139" spans="1:11">
      <c r="A139" t="s">
        <v>54</v>
      </c>
      <c r="C139" s="15">
        <f>C80</f>
        <v>9.9408284023668632</v>
      </c>
      <c r="E139" t="s">
        <v>54</v>
      </c>
      <c r="G139" s="15">
        <f>C139*$H$140</f>
        <v>29.822485207100591</v>
      </c>
      <c r="K139" s="15"/>
    </row>
    <row r="140" spans="1:11">
      <c r="A140" t="s">
        <v>93</v>
      </c>
      <c r="C140" s="15">
        <f>C81</f>
        <v>3.1529079279875685</v>
      </c>
      <c r="E140" t="s">
        <v>94</v>
      </c>
      <c r="G140" s="15">
        <f>(C140/SQRT($H$140))*$H$140</f>
        <v>5.460996722861184</v>
      </c>
      <c r="H140" s="26">
        <v>3</v>
      </c>
      <c r="J140" s="14"/>
      <c r="K140" s="15"/>
    </row>
    <row r="142" spans="1:11">
      <c r="A142" s="5"/>
    </row>
    <row r="143" spans="1:11">
      <c r="A143" s="27"/>
    </row>
    <row r="144" spans="1:11">
      <c r="A144" s="27"/>
    </row>
    <row r="145" spans="1:1">
      <c r="A145" s="27"/>
    </row>
    <row r="146" spans="1:1">
      <c r="A146" s="27"/>
    </row>
    <row r="147" spans="1:1">
      <c r="A147" s="27"/>
    </row>
    <row r="148" spans="1:1">
      <c r="A148" s="27"/>
    </row>
    <row r="149" spans="1:1">
      <c r="A149" s="27"/>
    </row>
    <row r="150" spans="1:1">
      <c r="A150" s="27"/>
    </row>
    <row r="151" spans="1:1">
      <c r="A151" s="27"/>
    </row>
    <row r="152" spans="1:1">
      <c r="A152" s="27"/>
    </row>
    <row r="153" spans="1:1">
      <c r="A153" s="27"/>
    </row>
    <row r="154" spans="1:1">
      <c r="A154" s="27"/>
    </row>
    <row r="155" spans="1:1">
      <c r="A155" s="27"/>
    </row>
    <row r="158" spans="1:1">
      <c r="A158" t="s">
        <v>101</v>
      </c>
    </row>
    <row r="159" spans="1:1">
      <c r="A159" t="s">
        <v>95</v>
      </c>
    </row>
    <row r="160" spans="1:1">
      <c r="A160" t="s">
        <v>136</v>
      </c>
    </row>
    <row r="161" spans="1:3">
      <c r="A161" t="s">
        <v>96</v>
      </c>
    </row>
    <row r="164" spans="1:3">
      <c r="A164" t="s">
        <v>77</v>
      </c>
    </row>
    <row r="165" spans="1:3">
      <c r="A165" t="s">
        <v>78</v>
      </c>
    </row>
    <row r="167" spans="1:3">
      <c r="A167" t="s">
        <v>98</v>
      </c>
    </row>
    <row r="169" spans="1:3">
      <c r="A169" t="s">
        <v>106</v>
      </c>
      <c r="B169" s="14">
        <f>G138</f>
        <v>19.615384615384613</v>
      </c>
      <c r="C169" s="29" t="s">
        <v>103</v>
      </c>
    </row>
    <row r="170" spans="1:3">
      <c r="A170" t="s">
        <v>105</v>
      </c>
      <c r="B170" s="14">
        <f>G140</f>
        <v>5.460996722861184</v>
      </c>
      <c r="C170" s="29" t="s">
        <v>104</v>
      </c>
    </row>
    <row r="172" spans="1:3">
      <c r="A172" t="s">
        <v>107</v>
      </c>
    </row>
    <row r="174" spans="1:3">
      <c r="A174" t="s">
        <v>110</v>
      </c>
      <c r="B174" s="28" t="s">
        <v>111</v>
      </c>
    </row>
    <row r="175" spans="1:3">
      <c r="A175" t="s">
        <v>108</v>
      </c>
      <c r="B175">
        <v>-1.645</v>
      </c>
      <c r="C175" s="29" t="s">
        <v>113</v>
      </c>
    </row>
    <row r="176" spans="1:3">
      <c r="A176" t="s">
        <v>109</v>
      </c>
      <c r="B176">
        <v>1.645</v>
      </c>
      <c r="C176" s="29" t="s">
        <v>112</v>
      </c>
    </row>
    <row r="178" spans="1:3">
      <c r="A178" t="s">
        <v>114</v>
      </c>
      <c r="B178" s="28" t="s">
        <v>123</v>
      </c>
      <c r="C178" s="29" t="s">
        <v>117</v>
      </c>
    </row>
    <row r="180" spans="1:3">
      <c r="A180" t="s">
        <v>119</v>
      </c>
      <c r="B180" s="28" t="s">
        <v>115</v>
      </c>
      <c r="C180" s="29" t="s">
        <v>116</v>
      </c>
    </row>
    <row r="182" spans="1:3">
      <c r="B182" s="28" t="s">
        <v>118</v>
      </c>
    </row>
    <row r="183" spans="1:3">
      <c r="A183" t="s">
        <v>108</v>
      </c>
      <c r="B183" s="14">
        <f>(B175*B170)+B169</f>
        <v>10.632045006277966</v>
      </c>
    </row>
    <row r="184" spans="1:3">
      <c r="A184" t="s">
        <v>109</v>
      </c>
      <c r="B184" s="14">
        <f>(B176*B170)+B169</f>
        <v>28.59872422449126</v>
      </c>
    </row>
    <row r="186" spans="1:3">
      <c r="A186" t="s">
        <v>131</v>
      </c>
    </row>
    <row r="187" spans="1:3">
      <c r="A187" t="s">
        <v>134</v>
      </c>
    </row>
    <row r="188" spans="1:3">
      <c r="A188" t="s">
        <v>120</v>
      </c>
    </row>
    <row r="191" spans="1:3">
      <c r="A191" t="s">
        <v>99</v>
      </c>
    </row>
    <row r="193" spans="1:3">
      <c r="A193" t="s">
        <v>118</v>
      </c>
      <c r="B193">
        <v>20</v>
      </c>
    </row>
    <row r="194" spans="1:3">
      <c r="A194" t="s">
        <v>106</v>
      </c>
      <c r="B194" s="14">
        <f>G138</f>
        <v>19.615384615384613</v>
      </c>
      <c r="C194" s="29"/>
    </row>
    <row r="195" spans="1:3">
      <c r="A195" t="s">
        <v>105</v>
      </c>
      <c r="B195" s="14">
        <f>G140</f>
        <v>5.460996722861184</v>
      </c>
      <c r="C195" s="29"/>
    </row>
    <row r="197" spans="1:3">
      <c r="A197" t="s">
        <v>114</v>
      </c>
      <c r="B197" s="28" t="s">
        <v>123</v>
      </c>
    </row>
    <row r="198" spans="1:3">
      <c r="B198" s="14">
        <f>(B193-B194)/B195</f>
        <v>7.0429521227376779E-2</v>
      </c>
      <c r="C198" s="29"/>
    </row>
    <row r="200" spans="1:3">
      <c r="A200" t="s">
        <v>137</v>
      </c>
    </row>
    <row r="201" spans="1:3">
      <c r="A201" t="s">
        <v>121</v>
      </c>
      <c r="B201" t="s">
        <v>124</v>
      </c>
    </row>
    <row r="202" spans="1:3">
      <c r="B202" t="s">
        <v>125</v>
      </c>
    </row>
    <row r="203" spans="1:3">
      <c r="B203" t="s">
        <v>126</v>
      </c>
    </row>
    <row r="204" spans="1:3">
      <c r="B204" t="s">
        <v>127</v>
      </c>
      <c r="C204" s="30">
        <f>0.4721</f>
        <v>0.47210000000000002</v>
      </c>
    </row>
    <row r="206" spans="1:3">
      <c r="A206" t="s">
        <v>122</v>
      </c>
      <c r="B206" t="s">
        <v>124</v>
      </c>
    </row>
    <row r="207" spans="1:3">
      <c r="B207" t="s">
        <v>128</v>
      </c>
    </row>
    <row r="208" spans="1:3">
      <c r="B208" t="s">
        <v>129</v>
      </c>
    </row>
    <row r="209" spans="2:3">
      <c r="B209" t="s">
        <v>130</v>
      </c>
    </row>
    <row r="210" spans="2:3">
      <c r="B210" t="s">
        <v>127</v>
      </c>
      <c r="C210" s="30">
        <f>1-0.5279</f>
        <v>0.47209999999999996</v>
      </c>
    </row>
  </sheetData>
  <mergeCells count="3">
    <mergeCell ref="D9:E9"/>
    <mergeCell ref="E137:G137"/>
    <mergeCell ref="I137:K137"/>
  </mergeCells>
  <pageMargins left="0.70866141732283472" right="0.70866141732283472" top="0.74803149606299213" bottom="0.74803149606299213" header="0.31496062992125984" footer="0.31496062992125984"/>
  <pageSetup paperSize="9" scale="55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>
      <selection activeCell="AN5" sqref="AN5"/>
    </sheetView>
  </sheetViews>
  <sheetFormatPr baseColWidth="10" defaultColWidth="8.83203125" defaultRowHeight="14" x14ac:dyDescent="0"/>
  <cols>
    <col min="2" max="2" width="15.5" bestFit="1" customWidth="1"/>
    <col min="3" max="3" width="6.1640625" bestFit="1" customWidth="1"/>
    <col min="4" max="5" width="9.1640625" customWidth="1"/>
    <col min="6" max="6" width="13.5" customWidth="1"/>
    <col min="7" max="7" width="10.5" bestFit="1" customWidth="1"/>
    <col min="8" max="8" width="10.6640625" customWidth="1"/>
    <col min="12" max="12" width="12.6640625" bestFit="1" customWidth="1"/>
    <col min="13" max="13" width="14" bestFit="1" customWidth="1"/>
    <col min="21" max="21" width="12.6640625" bestFit="1" customWidth="1"/>
    <col min="22" max="22" width="14" bestFit="1" customWidth="1"/>
    <col min="24" max="24" width="12.6640625" bestFit="1" customWidth="1"/>
    <col min="25" max="25" width="14" bestFit="1" customWidth="1"/>
    <col min="26" max="26" width="8.5" customWidth="1"/>
    <col min="33" max="33" width="5.5" customWidth="1"/>
    <col min="34" max="34" width="12.6640625" bestFit="1" customWidth="1"/>
    <col min="35" max="35" width="14" bestFit="1" customWidth="1"/>
    <col min="38" max="38" width="13.5" bestFit="1" customWidth="1"/>
  </cols>
  <sheetData>
    <row r="1" spans="1:40">
      <c r="F1" t="s">
        <v>44</v>
      </c>
      <c r="G1" s="4">
        <v>3</v>
      </c>
      <c r="AL1" s="14">
        <f>Summary!G138</f>
        <v>19.615384615384613</v>
      </c>
    </row>
    <row r="2" spans="1:40">
      <c r="O2" s="17"/>
      <c r="X2" s="23" t="s">
        <v>72</v>
      </c>
      <c r="Y2" s="23"/>
      <c r="AA2" t="s">
        <v>71</v>
      </c>
      <c r="AC2" s="24">
        <f>((COUNT(X4:X63))/2+(COUNT(X4:X63))/2+1)/2</f>
        <v>30.5</v>
      </c>
      <c r="AH2" s="25" t="s">
        <v>74</v>
      </c>
      <c r="AI2" s="25"/>
      <c r="AL2" s="14">
        <f>Summary!G140</f>
        <v>5.460996722861184</v>
      </c>
      <c r="AN2">
        <f>COUNTIF(AN4:AN63,1)</f>
        <v>51</v>
      </c>
    </row>
    <row r="3" spans="1:40">
      <c r="A3" t="s">
        <v>33</v>
      </c>
      <c r="B3" t="s">
        <v>34</v>
      </c>
      <c r="C3" t="s">
        <v>2</v>
      </c>
      <c r="E3" s="16"/>
      <c r="F3" s="16" t="s">
        <v>24</v>
      </c>
      <c r="G3" s="16" t="s">
        <v>25</v>
      </c>
      <c r="H3" s="16" t="s">
        <v>26</v>
      </c>
      <c r="I3" s="16" t="s">
        <v>27</v>
      </c>
      <c r="J3" s="16" t="s">
        <v>28</v>
      </c>
      <c r="K3" s="16" t="s">
        <v>29</v>
      </c>
      <c r="L3" s="16" t="s">
        <v>65</v>
      </c>
      <c r="M3" s="16" t="s">
        <v>66</v>
      </c>
      <c r="N3" s="16"/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2" t="s">
        <v>29</v>
      </c>
      <c r="U3" s="16" t="s">
        <v>65</v>
      </c>
      <c r="V3" s="16" t="s">
        <v>66</v>
      </c>
      <c r="X3" t="s">
        <v>65</v>
      </c>
      <c r="Y3" s="16" t="s">
        <v>66</v>
      </c>
      <c r="AH3" s="16" t="s">
        <v>65</v>
      </c>
      <c r="AI3" s="16" t="s">
        <v>66</v>
      </c>
      <c r="AL3" s="28"/>
    </row>
    <row r="4" spans="1:40">
      <c r="A4">
        <v>1</v>
      </c>
      <c r="B4" t="s">
        <v>30</v>
      </c>
      <c r="C4">
        <v>1</v>
      </c>
      <c r="F4" t="str">
        <f ca="1">INDEX($B$4:$B$55,I4,1) &amp; " " &amp;  I4</f>
        <v>Space 6</v>
      </c>
      <c r="G4" t="str">
        <f t="shared" ref="G4:H4" ca="1" si="0">INDEX($B$4:$B$55,J4,1) &amp; " " &amp;  J4</f>
        <v>Diamond 3</v>
      </c>
      <c r="H4" t="str">
        <f t="shared" ca="1" si="0"/>
        <v>Space 10</v>
      </c>
      <c r="I4">
        <f ca="1">INDEX($C$4:$C$55,RANDBETWEEN($A$4,$A$55),1)</f>
        <v>6</v>
      </c>
      <c r="J4">
        <f t="shared" ref="J4:K19" ca="1" si="1">INDEX($C$4:$C$55,RANDBETWEEN($A$4,$A$55),1)</f>
        <v>3</v>
      </c>
      <c r="K4">
        <f t="shared" ca="1" si="1"/>
        <v>10</v>
      </c>
      <c r="L4">
        <f t="shared" ref="L4:L62" ca="1" si="2">SUM(I4:K4)</f>
        <v>19</v>
      </c>
      <c r="M4" s="14">
        <f ca="1">SUM(I4:K4)/COUNT(I4:K4)</f>
        <v>6.333333333333333</v>
      </c>
      <c r="O4" s="2" t="s">
        <v>55</v>
      </c>
      <c r="P4" s="2" t="s">
        <v>56</v>
      </c>
      <c r="Q4" s="2" t="s">
        <v>57</v>
      </c>
      <c r="R4" s="2">
        <v>5</v>
      </c>
      <c r="S4" s="2">
        <v>7</v>
      </c>
      <c r="T4" s="2">
        <v>6</v>
      </c>
      <c r="U4" s="2">
        <v>18</v>
      </c>
      <c r="V4" s="18">
        <v>6</v>
      </c>
      <c r="X4">
        <v>5</v>
      </c>
      <c r="Y4" s="14">
        <v>1.6666666666666667</v>
      </c>
      <c r="AA4" t="s">
        <v>65</v>
      </c>
      <c r="AH4" s="22">
        <f>(U4-$U$65)^2</f>
        <v>1.2844444444444434</v>
      </c>
      <c r="AI4" s="14">
        <f>(V4-$V$65)^2</f>
        <v>0.14271604938271637</v>
      </c>
      <c r="AL4">
        <f t="shared" ref="AL4:AL35" si="3">NORMDIST(X4,$AL$1,$AL$2,FALSE)</f>
        <v>2.0336581514282608E-3</v>
      </c>
      <c r="AN4">
        <f>IF(AND(U4&gt;=Summary!$B$183,Summary!$B$184&gt;=SampleData!U4),1,0)</f>
        <v>1</v>
      </c>
    </row>
    <row r="5" spans="1:40">
      <c r="A5">
        <v>2</v>
      </c>
      <c r="B5" t="s">
        <v>31</v>
      </c>
      <c r="C5">
        <v>1</v>
      </c>
      <c r="F5" t="str">
        <f t="shared" ref="F5:F31" ca="1" si="4">INDEX($B$4:$B$55,I5,1) &amp; " " &amp;  I5</f>
        <v>Space 10</v>
      </c>
      <c r="G5" t="str">
        <f t="shared" ref="G5:G32" ca="1" si="5">INDEX($B$4:$B$55,J5,1) &amp; " " &amp;  J5</f>
        <v>Space 10</v>
      </c>
      <c r="H5" t="str">
        <f t="shared" ref="H5:H32" ca="1" si="6">INDEX($B$4:$B$55,K5,1) &amp; " " &amp;  K5</f>
        <v>Hearts 1</v>
      </c>
      <c r="I5">
        <f t="shared" ref="I5:K33" ca="1" si="7">INDEX($C$4:$C$55,RANDBETWEEN($A$4,$A$55),1)</f>
        <v>10</v>
      </c>
      <c r="J5">
        <f t="shared" ca="1" si="1"/>
        <v>10</v>
      </c>
      <c r="K5">
        <f t="shared" ca="1" si="1"/>
        <v>1</v>
      </c>
      <c r="L5">
        <f t="shared" ca="1" si="2"/>
        <v>21</v>
      </c>
      <c r="M5" s="14">
        <f t="shared" ref="M5:M63" ca="1" si="8">SUM(I5:K5)/COUNT(I5:K5)</f>
        <v>7</v>
      </c>
      <c r="O5" s="2" t="s">
        <v>58</v>
      </c>
      <c r="P5" s="2" t="s">
        <v>57</v>
      </c>
      <c r="Q5" s="2" t="s">
        <v>58</v>
      </c>
      <c r="R5" s="2">
        <v>10</v>
      </c>
      <c r="S5" s="2">
        <v>6</v>
      </c>
      <c r="T5" s="2">
        <v>10</v>
      </c>
      <c r="U5" s="2">
        <v>26</v>
      </c>
      <c r="V5" s="18">
        <v>8.6666666666666661</v>
      </c>
      <c r="X5">
        <v>6</v>
      </c>
      <c r="Y5" s="14">
        <v>2</v>
      </c>
      <c r="AA5" t="s">
        <v>49</v>
      </c>
      <c r="AB5">
        <f>0.25*(COUNT($X$4:$X$63)-1)</f>
        <v>14.75</v>
      </c>
      <c r="AC5" s="14">
        <f>INDEX($X$4:$X$63,ROUND(AB5+1,0),1)</f>
        <v>15</v>
      </c>
      <c r="AD5" s="14">
        <f>INDEX($X$4:$X$63,IF((AB5-INT(AB5))&lt;0.5,CEILING(AB5,1)+1,CEILING(AB5,1)),1)</f>
        <v>15</v>
      </c>
      <c r="AE5" s="14">
        <f>ABS(AD5-AC5)*(AB5-INT(AB5))</f>
        <v>0</v>
      </c>
      <c r="AF5" s="14">
        <f>MIN(AC5,AD5)+AE5</f>
        <v>15</v>
      </c>
      <c r="AH5" s="22">
        <f t="shared" ref="AH5:AH35" si="9">(U5-$U$65)^2</f>
        <v>47.151111111111121</v>
      </c>
      <c r="AI5" s="14">
        <f t="shared" ref="AI5:AI35" si="10">(V5-$V$65)^2</f>
        <v>5.2390123456790079</v>
      </c>
      <c r="AL5">
        <f t="shared" si="3"/>
        <v>3.2646406924570206E-3</v>
      </c>
      <c r="AN5">
        <f>IF(AND(U5&gt;=Summary!$B$183,Summary!$B$184&gt;=SampleData!U5),1,0)</f>
        <v>1</v>
      </c>
    </row>
    <row r="6" spans="1:40">
      <c r="A6">
        <v>3</v>
      </c>
      <c r="B6" t="s">
        <v>32</v>
      </c>
      <c r="C6">
        <v>1</v>
      </c>
      <c r="F6" t="str">
        <f t="shared" ca="1" si="4"/>
        <v>Hearts 1</v>
      </c>
      <c r="G6" t="str">
        <f t="shared" ca="1" si="5"/>
        <v>Hearts 8</v>
      </c>
      <c r="H6" t="str">
        <f t="shared" ca="1" si="6"/>
        <v>Space 10</v>
      </c>
      <c r="I6">
        <f t="shared" ca="1" si="7"/>
        <v>1</v>
      </c>
      <c r="J6">
        <f t="shared" ca="1" si="1"/>
        <v>8</v>
      </c>
      <c r="K6">
        <f t="shared" ca="1" si="1"/>
        <v>10</v>
      </c>
      <c r="L6">
        <f t="shared" ca="1" si="2"/>
        <v>19</v>
      </c>
      <c r="M6" s="14">
        <f t="shared" ca="1" si="8"/>
        <v>6.333333333333333</v>
      </c>
      <c r="O6" s="2" t="s">
        <v>56</v>
      </c>
      <c r="P6" s="2" t="s">
        <v>56</v>
      </c>
      <c r="Q6" s="2" t="s">
        <v>58</v>
      </c>
      <c r="R6" s="2">
        <v>7</v>
      </c>
      <c r="S6" s="2">
        <v>7</v>
      </c>
      <c r="T6" s="2">
        <v>10</v>
      </c>
      <c r="U6" s="2">
        <v>24</v>
      </c>
      <c r="V6" s="18">
        <v>8</v>
      </c>
      <c r="X6">
        <v>9</v>
      </c>
      <c r="Y6" s="14">
        <v>3</v>
      </c>
      <c r="AA6" t="s">
        <v>50</v>
      </c>
      <c r="AB6">
        <f>0.5*(COUNT($X$4:$X$63)-1)</f>
        <v>29.5</v>
      </c>
      <c r="AC6" s="14">
        <f t="shared" ref="AC6:AC8" si="11">INDEX($X$4:$X$63,ROUND(AB6+1,0),1)</f>
        <v>20</v>
      </c>
      <c r="AD6" s="14">
        <f t="shared" ref="AD6:AD8" si="12">INDEX($X$4:$X$63,IF((AB6-INT(AB6))&lt;0.5,CEILING(AB6,1)+1,CEILING(AB6,1)),1)</f>
        <v>20</v>
      </c>
      <c r="AE6" s="14">
        <f t="shared" ref="AE6:AE8" si="13">ABS(AD6-AC6)*(AB6-INT(AB6))</f>
        <v>0</v>
      </c>
      <c r="AF6" s="14">
        <f t="shared" ref="AF6:AF8" si="14">MIN(AC6,AD6)+AE6</f>
        <v>20</v>
      </c>
      <c r="AH6" s="22">
        <f t="shared" si="9"/>
        <v>23.684444444444448</v>
      </c>
      <c r="AI6" s="14">
        <f t="shared" si="10"/>
        <v>2.6316049382716034</v>
      </c>
      <c r="AL6">
        <f t="shared" si="3"/>
        <v>1.104413710496195E-2</v>
      </c>
      <c r="AN6">
        <f>IF(AND(U6&gt;=Summary!$B$183,Summary!$B$184&gt;=SampleData!U6),1,0)</f>
        <v>1</v>
      </c>
    </row>
    <row r="7" spans="1:40">
      <c r="A7">
        <v>4</v>
      </c>
      <c r="B7" t="s">
        <v>30</v>
      </c>
      <c r="C7">
        <v>1</v>
      </c>
      <c r="F7" t="str">
        <f t="shared" ca="1" si="4"/>
        <v>Hearts 4</v>
      </c>
      <c r="G7" t="str">
        <f t="shared" ca="1" si="5"/>
        <v>Space 10</v>
      </c>
      <c r="H7" t="str">
        <f t="shared" ca="1" si="6"/>
        <v>Space 6</v>
      </c>
      <c r="I7">
        <f t="shared" ca="1" si="7"/>
        <v>4</v>
      </c>
      <c r="J7">
        <f t="shared" ca="1" si="1"/>
        <v>10</v>
      </c>
      <c r="K7">
        <f t="shared" ca="1" si="1"/>
        <v>6</v>
      </c>
      <c r="L7">
        <f t="shared" ca="1" si="2"/>
        <v>20</v>
      </c>
      <c r="M7" s="14">
        <f t="shared" ca="1" si="8"/>
        <v>6.666666666666667</v>
      </c>
      <c r="O7" s="2" t="s">
        <v>58</v>
      </c>
      <c r="P7" s="2" t="s">
        <v>59</v>
      </c>
      <c r="Q7" s="2" t="s">
        <v>58</v>
      </c>
      <c r="R7" s="2">
        <v>10</v>
      </c>
      <c r="S7" s="2">
        <v>3</v>
      </c>
      <c r="T7" s="2">
        <v>10</v>
      </c>
      <c r="U7" s="2">
        <v>23</v>
      </c>
      <c r="V7" s="18">
        <v>7.666666666666667</v>
      </c>
      <c r="X7">
        <v>9</v>
      </c>
      <c r="Y7" s="14">
        <v>3</v>
      </c>
      <c r="AA7" t="s">
        <v>51</v>
      </c>
      <c r="AB7">
        <f>0.75*(COUNT($X$4:$X$63)-1)</f>
        <v>44.25</v>
      </c>
      <c r="AC7" s="14">
        <f t="shared" si="11"/>
        <v>23</v>
      </c>
      <c r="AD7" s="14">
        <f t="shared" si="12"/>
        <v>23</v>
      </c>
      <c r="AE7" s="14">
        <f t="shared" si="13"/>
        <v>0</v>
      </c>
      <c r="AF7" s="14">
        <f t="shared" si="14"/>
        <v>23</v>
      </c>
      <c r="AH7" s="22">
        <f t="shared" si="9"/>
        <v>14.951111111111114</v>
      </c>
      <c r="AI7" s="14">
        <f t="shared" si="10"/>
        <v>1.6612345679012341</v>
      </c>
      <c r="AL7">
        <f t="shared" si="3"/>
        <v>1.104413710496195E-2</v>
      </c>
      <c r="AN7">
        <f>IF(AND(U7&gt;=Summary!$B$183,Summary!$B$184&gt;=SampleData!U7),1,0)</f>
        <v>1</v>
      </c>
    </row>
    <row r="8" spans="1:40">
      <c r="A8">
        <v>5</v>
      </c>
      <c r="B8" t="s">
        <v>30</v>
      </c>
      <c r="C8">
        <v>2</v>
      </c>
      <c r="F8" t="str">
        <f t="shared" ca="1" si="4"/>
        <v>Space 10</v>
      </c>
      <c r="G8" t="str">
        <f t="shared" ca="1" si="5"/>
        <v>Space 10</v>
      </c>
      <c r="H8" t="str">
        <f t="shared" ca="1" si="6"/>
        <v>Hearts 8</v>
      </c>
      <c r="I8">
        <f t="shared" ca="1" si="7"/>
        <v>10</v>
      </c>
      <c r="J8">
        <f t="shared" ca="1" si="1"/>
        <v>10</v>
      </c>
      <c r="K8">
        <f t="shared" ca="1" si="1"/>
        <v>8</v>
      </c>
      <c r="L8">
        <f t="shared" ca="1" si="2"/>
        <v>28</v>
      </c>
      <c r="M8" s="14">
        <f t="shared" ca="1" si="8"/>
        <v>9.3333333333333339</v>
      </c>
      <c r="O8" s="2" t="s">
        <v>58</v>
      </c>
      <c r="P8" s="2" t="s">
        <v>60</v>
      </c>
      <c r="Q8" s="2" t="s">
        <v>58</v>
      </c>
      <c r="R8" s="2">
        <v>10</v>
      </c>
      <c r="S8" s="2">
        <v>4</v>
      </c>
      <c r="T8" s="2">
        <v>10</v>
      </c>
      <c r="U8" s="2">
        <v>24</v>
      </c>
      <c r="V8" s="18">
        <v>8</v>
      </c>
      <c r="X8">
        <v>10</v>
      </c>
      <c r="Y8" s="14">
        <v>3.3333333333333335</v>
      </c>
      <c r="AA8" t="s">
        <v>73</v>
      </c>
      <c r="AB8">
        <f>1*(COUNT($X$4:$X$63)-1)</f>
        <v>59</v>
      </c>
      <c r="AC8" s="14">
        <f t="shared" si="11"/>
        <v>30</v>
      </c>
      <c r="AD8" s="14">
        <f t="shared" si="12"/>
        <v>30</v>
      </c>
      <c r="AE8" s="14">
        <f t="shared" si="13"/>
        <v>0</v>
      </c>
      <c r="AF8" s="14">
        <f t="shared" si="14"/>
        <v>30</v>
      </c>
      <c r="AH8" s="22">
        <f t="shared" si="9"/>
        <v>23.684444444444448</v>
      </c>
      <c r="AI8" s="14">
        <f t="shared" si="10"/>
        <v>2.6316049382716034</v>
      </c>
      <c r="AL8">
        <f t="shared" si="3"/>
        <v>1.5503816452465834E-2</v>
      </c>
      <c r="AN8">
        <f>IF(AND(U8&gt;=Summary!$B$183,Summary!$B$184&gt;=SampleData!U8),1,0)</f>
        <v>1</v>
      </c>
    </row>
    <row r="9" spans="1:40">
      <c r="A9">
        <v>6</v>
      </c>
      <c r="B9" t="s">
        <v>31</v>
      </c>
      <c r="C9">
        <v>2</v>
      </c>
      <c r="F9" t="str">
        <f t="shared" ca="1" si="4"/>
        <v>Diamond 3</v>
      </c>
      <c r="G9" t="str">
        <f t="shared" ca="1" si="5"/>
        <v>Hearts 9</v>
      </c>
      <c r="H9" t="str">
        <f t="shared" ca="1" si="6"/>
        <v>Space 10</v>
      </c>
      <c r="I9">
        <f t="shared" ca="1" si="7"/>
        <v>3</v>
      </c>
      <c r="J9">
        <f t="shared" ca="1" si="1"/>
        <v>9</v>
      </c>
      <c r="K9">
        <f t="shared" ca="1" si="1"/>
        <v>10</v>
      </c>
      <c r="L9">
        <f t="shared" ca="1" si="2"/>
        <v>22</v>
      </c>
      <c r="M9" s="14">
        <f t="shared" ca="1" si="8"/>
        <v>7.333333333333333</v>
      </c>
      <c r="O9" s="2" t="s">
        <v>61</v>
      </c>
      <c r="P9" s="2" t="s">
        <v>62</v>
      </c>
      <c r="Q9" s="2" t="s">
        <v>58</v>
      </c>
      <c r="R9" s="2">
        <v>8</v>
      </c>
      <c r="S9" s="2">
        <v>9</v>
      </c>
      <c r="T9" s="2">
        <v>10</v>
      </c>
      <c r="U9" s="2">
        <v>27</v>
      </c>
      <c r="V9" s="18">
        <v>9</v>
      </c>
      <c r="X9">
        <v>12</v>
      </c>
      <c r="Y9" s="14">
        <v>4</v>
      </c>
      <c r="AH9" s="22">
        <f t="shared" si="9"/>
        <v>61.884444444444455</v>
      </c>
      <c r="AI9" s="14">
        <f t="shared" si="10"/>
        <v>6.8760493827160474</v>
      </c>
      <c r="AL9">
        <f t="shared" si="3"/>
        <v>2.7628946079264236E-2</v>
      </c>
      <c r="AN9">
        <f>IF(AND(U9&gt;=Summary!$B$183,Summary!$B$184&gt;=SampleData!U9),1,0)</f>
        <v>1</v>
      </c>
    </row>
    <row r="10" spans="1:40">
      <c r="A10">
        <v>7</v>
      </c>
      <c r="B10" t="s">
        <v>32</v>
      </c>
      <c r="C10">
        <v>2</v>
      </c>
      <c r="F10" t="str">
        <f t="shared" ca="1" si="4"/>
        <v>Space 10</v>
      </c>
      <c r="G10" t="str">
        <f t="shared" ca="1" si="5"/>
        <v>Space 6</v>
      </c>
      <c r="H10" t="str">
        <f t="shared" ca="1" si="6"/>
        <v>Space 10</v>
      </c>
      <c r="I10">
        <f t="shared" ca="1" si="7"/>
        <v>10</v>
      </c>
      <c r="J10">
        <f t="shared" ca="1" si="1"/>
        <v>6</v>
      </c>
      <c r="K10">
        <f t="shared" ca="1" si="1"/>
        <v>10</v>
      </c>
      <c r="L10">
        <f t="shared" ca="1" si="2"/>
        <v>26</v>
      </c>
      <c r="M10" s="14">
        <f t="shared" ca="1" si="8"/>
        <v>8.6666666666666661</v>
      </c>
      <c r="O10" s="2" t="s">
        <v>56</v>
      </c>
      <c r="P10" s="2" t="s">
        <v>56</v>
      </c>
      <c r="Q10" s="2" t="s">
        <v>58</v>
      </c>
      <c r="R10" s="2">
        <v>7</v>
      </c>
      <c r="S10" s="2">
        <v>7</v>
      </c>
      <c r="T10" s="2">
        <v>10</v>
      </c>
      <c r="U10" s="2">
        <v>24</v>
      </c>
      <c r="V10" s="18">
        <v>8</v>
      </c>
      <c r="X10">
        <v>12</v>
      </c>
      <c r="Y10" s="14">
        <v>4</v>
      </c>
      <c r="AA10" s="16" t="s">
        <v>66</v>
      </c>
      <c r="AH10" s="22">
        <f t="shared" si="9"/>
        <v>23.684444444444448</v>
      </c>
      <c r="AI10" s="14">
        <f t="shared" si="10"/>
        <v>2.6316049382716034</v>
      </c>
      <c r="AL10">
        <f t="shared" si="3"/>
        <v>2.7628946079264236E-2</v>
      </c>
      <c r="AN10">
        <f>IF(AND(U10&gt;=Summary!$B$183,Summary!$B$184&gt;=SampleData!U10),1,0)</f>
        <v>1</v>
      </c>
    </row>
    <row r="11" spans="1:40">
      <c r="A11">
        <v>8</v>
      </c>
      <c r="B11" t="s">
        <v>30</v>
      </c>
      <c r="C11">
        <v>2</v>
      </c>
      <c r="F11" t="str">
        <f t="shared" ca="1" si="4"/>
        <v>Space 2</v>
      </c>
      <c r="G11" t="str">
        <f t="shared" ca="1" si="5"/>
        <v>Hearts 9</v>
      </c>
      <c r="H11" t="str">
        <f t="shared" ca="1" si="6"/>
        <v>Space 10</v>
      </c>
      <c r="I11">
        <f t="shared" ca="1" si="7"/>
        <v>2</v>
      </c>
      <c r="J11">
        <f t="shared" ca="1" si="1"/>
        <v>9</v>
      </c>
      <c r="K11">
        <f t="shared" ca="1" si="1"/>
        <v>10</v>
      </c>
      <c r="L11">
        <f t="shared" ca="1" si="2"/>
        <v>21</v>
      </c>
      <c r="M11" s="14">
        <f t="shared" ca="1" si="8"/>
        <v>7</v>
      </c>
      <c r="O11" s="2" t="s">
        <v>58</v>
      </c>
      <c r="P11" s="2" t="s">
        <v>63</v>
      </c>
      <c r="Q11" s="2" t="s">
        <v>58</v>
      </c>
      <c r="R11" s="2">
        <v>10</v>
      </c>
      <c r="S11" s="2">
        <v>2</v>
      </c>
      <c r="T11" s="2">
        <v>10</v>
      </c>
      <c r="U11" s="2">
        <v>22</v>
      </c>
      <c r="V11" s="18">
        <v>7.333333333333333</v>
      </c>
      <c r="X11">
        <v>13</v>
      </c>
      <c r="Y11" s="14">
        <v>4.333333333333333</v>
      </c>
      <c r="AA11" t="s">
        <v>49</v>
      </c>
      <c r="AB11">
        <f>0.25*(COUNT($Y$4:$Y$63)-1)</f>
        <v>14.75</v>
      </c>
      <c r="AC11" s="14">
        <f>INDEX($Y$4:$Y$63,ROUND(AB11+1,0),1)</f>
        <v>5</v>
      </c>
      <c r="AD11" s="14">
        <f>INDEX($Y$4:$Y$63,IF((AB11-INT(AB11))&lt;0.5,CEILING(AB11,1)+1,CEILING(AB11,1)),1)</f>
        <v>5</v>
      </c>
      <c r="AE11" s="14">
        <f>ABS(AD11-AC11)*(AB11-INT(AB11))</f>
        <v>0</v>
      </c>
      <c r="AF11" s="14">
        <f>MIN(AC11,AD11)+AE11</f>
        <v>5</v>
      </c>
      <c r="AH11" s="22">
        <f t="shared" si="9"/>
        <v>8.2177777777777798</v>
      </c>
      <c r="AI11" s="14">
        <f t="shared" si="10"/>
        <v>0.91308641975308502</v>
      </c>
      <c r="AL11">
        <f t="shared" si="3"/>
        <v>3.5073829846934891E-2</v>
      </c>
      <c r="AN11">
        <f>IF(AND(U11&gt;=Summary!$B$183,Summary!$B$184&gt;=SampleData!U11),1,0)</f>
        <v>1</v>
      </c>
    </row>
    <row r="12" spans="1:40">
      <c r="A12">
        <v>9</v>
      </c>
      <c r="B12" t="s">
        <v>30</v>
      </c>
      <c r="C12">
        <f>C8+1</f>
        <v>3</v>
      </c>
      <c r="F12" t="str">
        <f t="shared" ca="1" si="4"/>
        <v>Space 6</v>
      </c>
      <c r="G12" t="str">
        <f t="shared" ca="1" si="5"/>
        <v>Diamond 7</v>
      </c>
      <c r="H12" t="str">
        <f t="shared" ca="1" si="6"/>
        <v>Space 6</v>
      </c>
      <c r="I12">
        <f t="shared" ca="1" si="7"/>
        <v>6</v>
      </c>
      <c r="J12">
        <f t="shared" ca="1" si="1"/>
        <v>7</v>
      </c>
      <c r="K12">
        <f t="shared" ca="1" si="1"/>
        <v>6</v>
      </c>
      <c r="L12">
        <f t="shared" ca="1" si="2"/>
        <v>19</v>
      </c>
      <c r="M12" s="14">
        <f t="shared" ca="1" si="8"/>
        <v>6.333333333333333</v>
      </c>
      <c r="O12" s="2" t="s">
        <v>58</v>
      </c>
      <c r="P12" s="2" t="s">
        <v>58</v>
      </c>
      <c r="Q12" s="2" t="s">
        <v>58</v>
      </c>
      <c r="R12" s="2">
        <v>10</v>
      </c>
      <c r="S12" s="2">
        <v>10</v>
      </c>
      <c r="T12" s="2">
        <v>10</v>
      </c>
      <c r="U12" s="2">
        <v>30</v>
      </c>
      <c r="V12" s="18">
        <v>10</v>
      </c>
      <c r="X12">
        <v>13</v>
      </c>
      <c r="Y12" s="14">
        <v>4.333333333333333</v>
      </c>
      <c r="AA12" t="s">
        <v>50</v>
      </c>
      <c r="AB12">
        <f>0.5*(COUNT($Y$4:$Y$63)-1)</f>
        <v>29.5</v>
      </c>
      <c r="AC12" s="14">
        <f t="shared" ref="AC12:AC14" si="15">INDEX($Y$4:$Y$63,ROUND(AB12+1,0),1)</f>
        <v>6.666666666666667</v>
      </c>
      <c r="AD12" s="14">
        <f t="shared" ref="AD12:AD14" si="16">INDEX($Y$4:$Y$63,IF((AB12-INT(AB12))&lt;0.5,CEILING(AB12,1)+1,CEILING(AB12,1)),1)</f>
        <v>6.666666666666667</v>
      </c>
      <c r="AE12" s="14">
        <f t="shared" ref="AE12:AE14" si="17">ABS(AD12-AC12)*(AB12-INT(AB12))</f>
        <v>0</v>
      </c>
      <c r="AF12" s="14">
        <f t="shared" ref="AF12:AF14" si="18">MIN(AC12,AD12)+AE12</f>
        <v>6.666666666666667</v>
      </c>
      <c r="AH12" s="22">
        <f t="shared" si="9"/>
        <v>118.08444444444446</v>
      </c>
      <c r="AI12" s="14">
        <f t="shared" si="10"/>
        <v>13.120493827160491</v>
      </c>
      <c r="AL12">
        <f t="shared" si="3"/>
        <v>3.5073829846934891E-2</v>
      </c>
      <c r="AN12">
        <f>IF(AND(U12&gt;=Summary!$B$183,Summary!$B$184&gt;=SampleData!U12),1,0)</f>
        <v>0</v>
      </c>
    </row>
    <row r="13" spans="1:40">
      <c r="A13">
        <v>10</v>
      </c>
      <c r="B13" t="s">
        <v>31</v>
      </c>
      <c r="C13">
        <f t="shared" ref="C13:C43" si="19">C9+1</f>
        <v>3</v>
      </c>
      <c r="F13" t="str">
        <f t="shared" ca="1" si="4"/>
        <v>Space 2</v>
      </c>
      <c r="G13" t="str">
        <f t="shared" ca="1" si="5"/>
        <v>Hearts 1</v>
      </c>
      <c r="H13" t="str">
        <f t="shared" ca="1" si="6"/>
        <v>Hearts 9</v>
      </c>
      <c r="I13">
        <f t="shared" ca="1" si="7"/>
        <v>2</v>
      </c>
      <c r="J13">
        <f t="shared" ca="1" si="1"/>
        <v>1</v>
      </c>
      <c r="K13">
        <f t="shared" ca="1" si="1"/>
        <v>9</v>
      </c>
      <c r="L13">
        <f t="shared" ca="1" si="2"/>
        <v>12</v>
      </c>
      <c r="M13" s="14">
        <f t="shared" ca="1" si="8"/>
        <v>4</v>
      </c>
      <c r="O13" s="2" t="s">
        <v>64</v>
      </c>
      <c r="P13" s="2" t="s">
        <v>59</v>
      </c>
      <c r="Q13" s="2" t="s">
        <v>55</v>
      </c>
      <c r="R13" s="2">
        <v>1</v>
      </c>
      <c r="S13" s="2">
        <v>3</v>
      </c>
      <c r="T13" s="2">
        <v>5</v>
      </c>
      <c r="U13" s="2">
        <v>9</v>
      </c>
      <c r="V13" s="18">
        <v>3</v>
      </c>
      <c r="X13">
        <v>13</v>
      </c>
      <c r="Y13" s="14">
        <v>4.333333333333333</v>
      </c>
      <c r="AA13" t="s">
        <v>51</v>
      </c>
      <c r="AB13">
        <f>0.75*(COUNT($Y$4:$Y$63)-1)</f>
        <v>44.25</v>
      </c>
      <c r="AC13" s="14">
        <f t="shared" si="15"/>
        <v>7.666666666666667</v>
      </c>
      <c r="AD13" s="14">
        <f t="shared" si="16"/>
        <v>7.666666666666667</v>
      </c>
      <c r="AE13" s="14">
        <f t="shared" si="17"/>
        <v>0</v>
      </c>
      <c r="AF13" s="14">
        <f t="shared" si="18"/>
        <v>7.666666666666667</v>
      </c>
      <c r="AH13" s="22">
        <f t="shared" si="9"/>
        <v>102.68444444444444</v>
      </c>
      <c r="AI13" s="14">
        <f t="shared" si="10"/>
        <v>11.409382716049386</v>
      </c>
      <c r="AL13">
        <f t="shared" si="3"/>
        <v>3.5073829846934891E-2</v>
      </c>
      <c r="AN13">
        <f>IF(AND(U13&gt;=Summary!$B$183,Summary!$B$184&gt;=SampleData!U13),1,0)</f>
        <v>0</v>
      </c>
    </row>
    <row r="14" spans="1:40">
      <c r="A14">
        <v>11</v>
      </c>
      <c r="B14" t="s">
        <v>32</v>
      </c>
      <c r="C14">
        <f t="shared" si="19"/>
        <v>3</v>
      </c>
      <c r="F14" t="str">
        <f t="shared" ca="1" si="4"/>
        <v>Space 6</v>
      </c>
      <c r="G14" t="str">
        <f t="shared" ca="1" si="5"/>
        <v>Space 6</v>
      </c>
      <c r="H14" t="str">
        <f t="shared" ca="1" si="6"/>
        <v>Hearts 5</v>
      </c>
      <c r="I14">
        <f t="shared" ca="1" si="7"/>
        <v>6</v>
      </c>
      <c r="J14">
        <f t="shared" ca="1" si="1"/>
        <v>6</v>
      </c>
      <c r="K14">
        <f t="shared" ca="1" si="1"/>
        <v>5</v>
      </c>
      <c r="L14">
        <f t="shared" ca="1" si="2"/>
        <v>17</v>
      </c>
      <c r="M14" s="14">
        <f t="shared" ca="1" si="8"/>
        <v>5.666666666666667</v>
      </c>
      <c r="O14" s="2" t="s">
        <v>55</v>
      </c>
      <c r="P14" s="2" t="s">
        <v>61</v>
      </c>
      <c r="Q14" s="2" t="s">
        <v>61</v>
      </c>
      <c r="R14" s="2">
        <v>5</v>
      </c>
      <c r="S14" s="2">
        <v>8</v>
      </c>
      <c r="T14" s="2">
        <v>8</v>
      </c>
      <c r="U14" s="2">
        <v>21</v>
      </c>
      <c r="V14" s="18">
        <v>7</v>
      </c>
      <c r="X14">
        <v>13</v>
      </c>
      <c r="Y14" s="14">
        <v>4.333333333333333</v>
      </c>
      <c r="AA14" t="s">
        <v>73</v>
      </c>
      <c r="AB14">
        <f>1*(COUNT($Y$4:$Y$63)-1)</f>
        <v>59</v>
      </c>
      <c r="AC14" s="14">
        <f t="shared" si="15"/>
        <v>10</v>
      </c>
      <c r="AD14" s="14">
        <f t="shared" si="16"/>
        <v>10</v>
      </c>
      <c r="AE14" s="14">
        <f t="shared" si="17"/>
        <v>0</v>
      </c>
      <c r="AF14" s="14">
        <f t="shared" si="18"/>
        <v>10</v>
      </c>
      <c r="AH14" s="22">
        <f t="shared" si="9"/>
        <v>3.484444444444446</v>
      </c>
      <c r="AI14" s="14">
        <f t="shared" si="10"/>
        <v>0.38716049382715995</v>
      </c>
      <c r="AL14">
        <f t="shared" si="3"/>
        <v>3.5073829846934891E-2</v>
      </c>
      <c r="AN14">
        <f>IF(AND(U14&gt;=Summary!$B$183,Summary!$B$184&gt;=SampleData!U14),1,0)</f>
        <v>1</v>
      </c>
    </row>
    <row r="15" spans="1:40">
      <c r="A15">
        <v>12</v>
      </c>
      <c r="B15" t="s">
        <v>30</v>
      </c>
      <c r="C15">
        <f t="shared" si="19"/>
        <v>3</v>
      </c>
      <c r="F15" t="str">
        <f t="shared" ca="1" si="4"/>
        <v>Hearts 8</v>
      </c>
      <c r="G15" t="str">
        <f t="shared" ca="1" si="5"/>
        <v>Diamond 3</v>
      </c>
      <c r="H15" t="str">
        <f t="shared" ca="1" si="6"/>
        <v>Diamond 7</v>
      </c>
      <c r="I15">
        <f t="shared" ca="1" si="7"/>
        <v>8</v>
      </c>
      <c r="J15">
        <f t="shared" ca="1" si="1"/>
        <v>3</v>
      </c>
      <c r="K15">
        <f t="shared" ca="1" si="1"/>
        <v>7</v>
      </c>
      <c r="L15">
        <f t="shared" ca="1" si="2"/>
        <v>18</v>
      </c>
      <c r="M15" s="14">
        <f t="shared" ca="1" si="8"/>
        <v>6</v>
      </c>
      <c r="O15" s="2" t="s">
        <v>56</v>
      </c>
      <c r="P15" s="2" t="s">
        <v>57</v>
      </c>
      <c r="Q15" s="2" t="s">
        <v>60</v>
      </c>
      <c r="R15" s="2">
        <v>7</v>
      </c>
      <c r="S15" s="2">
        <v>6</v>
      </c>
      <c r="T15" s="2">
        <v>4</v>
      </c>
      <c r="U15" s="2">
        <v>17</v>
      </c>
      <c r="V15" s="18">
        <v>5.666666666666667</v>
      </c>
      <c r="X15">
        <v>14</v>
      </c>
      <c r="Y15" s="14">
        <v>4.666666666666667</v>
      </c>
      <c r="AH15" s="22">
        <f t="shared" si="9"/>
        <v>4.5511111111111093</v>
      </c>
      <c r="AI15" s="14">
        <f t="shared" si="10"/>
        <v>0.50567901234567925</v>
      </c>
      <c r="AL15">
        <f t="shared" si="3"/>
        <v>4.3056568076048102E-2</v>
      </c>
      <c r="AN15">
        <f>IF(AND(U15&gt;=Summary!$B$183,Summary!$B$184&gt;=SampleData!U15),1,0)</f>
        <v>1</v>
      </c>
    </row>
    <row r="16" spans="1:40">
      <c r="A16">
        <v>13</v>
      </c>
      <c r="B16" t="s">
        <v>30</v>
      </c>
      <c r="C16">
        <f t="shared" si="19"/>
        <v>4</v>
      </c>
      <c r="F16" t="str">
        <f t="shared" ca="1" si="4"/>
        <v>Space 2</v>
      </c>
      <c r="G16" t="str">
        <f t="shared" ca="1" si="5"/>
        <v>Space 10</v>
      </c>
      <c r="H16" t="str">
        <f t="shared" ca="1" si="6"/>
        <v>Diamond 7</v>
      </c>
      <c r="I16">
        <f t="shared" ca="1" si="7"/>
        <v>2</v>
      </c>
      <c r="J16">
        <f t="shared" ca="1" si="1"/>
        <v>10</v>
      </c>
      <c r="K16">
        <f t="shared" ca="1" si="1"/>
        <v>7</v>
      </c>
      <c r="L16">
        <f t="shared" ca="1" si="2"/>
        <v>19</v>
      </c>
      <c r="M16" s="14">
        <f t="shared" ca="1" si="8"/>
        <v>6.333333333333333</v>
      </c>
      <c r="O16" s="2" t="s">
        <v>59</v>
      </c>
      <c r="P16" s="2" t="s">
        <v>62</v>
      </c>
      <c r="Q16" s="2" t="s">
        <v>56</v>
      </c>
      <c r="R16" s="2">
        <v>3</v>
      </c>
      <c r="S16" s="2">
        <v>9</v>
      </c>
      <c r="T16" s="2">
        <v>7</v>
      </c>
      <c r="U16" s="2">
        <v>19</v>
      </c>
      <c r="V16" s="18">
        <v>6.333333333333333</v>
      </c>
      <c r="X16">
        <v>14</v>
      </c>
      <c r="Y16" s="14">
        <v>4.666666666666667</v>
      </c>
      <c r="AH16" s="22">
        <f t="shared" si="9"/>
        <v>1.7777777777777653E-2</v>
      </c>
      <c r="AI16" s="14">
        <f t="shared" si="10"/>
        <v>1.9753086419753737E-3</v>
      </c>
      <c r="AL16">
        <f t="shared" si="3"/>
        <v>4.3056568076048102E-2</v>
      </c>
      <c r="AN16">
        <f>IF(AND(U16&gt;=Summary!$B$183,Summary!$B$184&gt;=SampleData!U16),1,0)</f>
        <v>1</v>
      </c>
    </row>
    <row r="17" spans="1:40">
      <c r="A17">
        <v>14</v>
      </c>
      <c r="B17" t="s">
        <v>31</v>
      </c>
      <c r="C17">
        <f t="shared" si="19"/>
        <v>4</v>
      </c>
      <c r="F17" t="str">
        <f t="shared" ca="1" si="4"/>
        <v>Space 10</v>
      </c>
      <c r="G17" t="str">
        <f t="shared" ca="1" si="5"/>
        <v>Hearts 9</v>
      </c>
      <c r="H17" t="str">
        <f t="shared" ca="1" si="6"/>
        <v>Space 10</v>
      </c>
      <c r="I17">
        <f t="shared" ca="1" si="7"/>
        <v>10</v>
      </c>
      <c r="J17">
        <f t="shared" ca="1" si="1"/>
        <v>9</v>
      </c>
      <c r="K17">
        <f t="shared" ca="1" si="1"/>
        <v>10</v>
      </c>
      <c r="L17">
        <f t="shared" ca="1" si="2"/>
        <v>29</v>
      </c>
      <c r="M17" s="14">
        <f t="shared" ca="1" si="8"/>
        <v>9.6666666666666661</v>
      </c>
      <c r="O17" s="2" t="s">
        <v>58</v>
      </c>
      <c r="P17" s="2" t="s">
        <v>61</v>
      </c>
      <c r="Q17" s="2" t="s">
        <v>56</v>
      </c>
      <c r="R17" s="2">
        <v>10</v>
      </c>
      <c r="S17" s="2">
        <v>8</v>
      </c>
      <c r="T17" s="2">
        <v>7</v>
      </c>
      <c r="U17" s="2">
        <v>25</v>
      </c>
      <c r="V17" s="18">
        <v>8.3333333333333339</v>
      </c>
      <c r="X17">
        <v>14</v>
      </c>
      <c r="Y17" s="14">
        <v>4.666666666666667</v>
      </c>
      <c r="AH17" s="22">
        <f t="shared" si="9"/>
        <v>34.417777777777786</v>
      </c>
      <c r="AI17" s="14">
        <f t="shared" si="10"/>
        <v>3.8241975308641982</v>
      </c>
      <c r="AL17">
        <f t="shared" si="3"/>
        <v>4.3056568076048102E-2</v>
      </c>
      <c r="AN17">
        <f>IF(AND(U17&gt;=Summary!$B$183,Summary!$B$184&gt;=SampleData!U17),1,0)</f>
        <v>1</v>
      </c>
    </row>
    <row r="18" spans="1:40">
      <c r="A18">
        <v>15</v>
      </c>
      <c r="B18" t="s">
        <v>32</v>
      </c>
      <c r="C18">
        <f t="shared" si="19"/>
        <v>4</v>
      </c>
      <c r="F18" t="str">
        <f t="shared" ca="1" si="4"/>
        <v>Hearts 5</v>
      </c>
      <c r="G18" t="str">
        <f t="shared" ca="1" si="5"/>
        <v>Hearts 5</v>
      </c>
      <c r="H18" t="str">
        <f t="shared" ca="1" si="6"/>
        <v>Hearts 9</v>
      </c>
      <c r="I18">
        <f t="shared" ca="1" si="7"/>
        <v>5</v>
      </c>
      <c r="J18">
        <f t="shared" ca="1" si="1"/>
        <v>5</v>
      </c>
      <c r="K18">
        <f t="shared" ca="1" si="1"/>
        <v>9</v>
      </c>
      <c r="L18">
        <f t="shared" ca="1" si="2"/>
        <v>19</v>
      </c>
      <c r="M18" s="14">
        <f t="shared" ca="1" si="8"/>
        <v>6.333333333333333</v>
      </c>
      <c r="O18" s="2" t="s">
        <v>55</v>
      </c>
      <c r="P18" s="2" t="s">
        <v>56</v>
      </c>
      <c r="Q18" s="2" t="s">
        <v>58</v>
      </c>
      <c r="R18" s="2">
        <v>5</v>
      </c>
      <c r="S18" s="2">
        <v>7</v>
      </c>
      <c r="T18" s="2">
        <v>10</v>
      </c>
      <c r="U18" s="2">
        <v>22</v>
      </c>
      <c r="V18" s="18">
        <v>7.333333333333333</v>
      </c>
      <c r="X18">
        <v>15</v>
      </c>
      <c r="Y18" s="14">
        <v>5</v>
      </c>
      <c r="AH18" s="22">
        <f t="shared" si="9"/>
        <v>8.2177777777777798</v>
      </c>
      <c r="AI18" s="14">
        <f t="shared" si="10"/>
        <v>0.91308641975308502</v>
      </c>
      <c r="AL18">
        <f t="shared" si="3"/>
        <v>5.1113188994635933E-2</v>
      </c>
      <c r="AN18">
        <f>IF(AND(U18&gt;=Summary!$B$183,Summary!$B$184&gt;=SampleData!U18),1,0)</f>
        <v>1</v>
      </c>
    </row>
    <row r="19" spans="1:40">
      <c r="A19">
        <v>16</v>
      </c>
      <c r="B19" t="s">
        <v>30</v>
      </c>
      <c r="C19">
        <f t="shared" si="19"/>
        <v>4</v>
      </c>
      <c r="F19" t="str">
        <f t="shared" ca="1" si="4"/>
        <v>Hearts 5</v>
      </c>
      <c r="G19" t="str">
        <f t="shared" ca="1" si="5"/>
        <v>Diamond 3</v>
      </c>
      <c r="H19" t="str">
        <f t="shared" ca="1" si="6"/>
        <v>Space 6</v>
      </c>
      <c r="I19">
        <f t="shared" ca="1" si="7"/>
        <v>5</v>
      </c>
      <c r="J19">
        <f t="shared" ca="1" si="1"/>
        <v>3</v>
      </c>
      <c r="K19">
        <f t="shared" ca="1" si="1"/>
        <v>6</v>
      </c>
      <c r="L19">
        <f t="shared" ca="1" si="2"/>
        <v>14</v>
      </c>
      <c r="M19" s="14">
        <f t="shared" ca="1" si="8"/>
        <v>4.666666666666667</v>
      </c>
      <c r="O19" s="2" t="s">
        <v>58</v>
      </c>
      <c r="P19" s="2" t="s">
        <v>55</v>
      </c>
      <c r="Q19" s="2" t="s">
        <v>55</v>
      </c>
      <c r="R19" s="2">
        <v>10</v>
      </c>
      <c r="S19" s="2">
        <v>5</v>
      </c>
      <c r="T19" s="2">
        <v>5</v>
      </c>
      <c r="U19" s="2">
        <v>20</v>
      </c>
      <c r="V19" s="18">
        <v>6.666666666666667</v>
      </c>
      <c r="X19">
        <v>15</v>
      </c>
      <c r="Y19" s="14">
        <v>5</v>
      </c>
      <c r="AA19" t="s">
        <v>68</v>
      </c>
      <c r="AF19" s="14"/>
      <c r="AH19" s="22">
        <f t="shared" si="9"/>
        <v>0.75111111111111195</v>
      </c>
      <c r="AI19" s="14">
        <f t="shared" si="10"/>
        <v>8.3456790123456706E-2</v>
      </c>
      <c r="AL19">
        <f t="shared" si="3"/>
        <v>5.1113188994635933E-2</v>
      </c>
      <c r="AN19">
        <f>IF(AND(U19&gt;=Summary!$B$183,Summary!$B$184&gt;=SampleData!U19),1,0)</f>
        <v>1</v>
      </c>
    </row>
    <row r="20" spans="1:40">
      <c r="A20">
        <v>17</v>
      </c>
      <c r="B20" t="s">
        <v>30</v>
      </c>
      <c r="C20">
        <f t="shared" si="19"/>
        <v>5</v>
      </c>
      <c r="F20" t="str">
        <f t="shared" ca="1" si="4"/>
        <v>Space 10</v>
      </c>
      <c r="G20" t="str">
        <f t="shared" ca="1" si="5"/>
        <v>Space 10</v>
      </c>
      <c r="H20" t="str">
        <f t="shared" ca="1" si="6"/>
        <v>Space 10</v>
      </c>
      <c r="I20">
        <f t="shared" ca="1" si="7"/>
        <v>10</v>
      </c>
      <c r="J20">
        <f t="shared" ca="1" si="7"/>
        <v>10</v>
      </c>
      <c r="K20">
        <f t="shared" ca="1" si="7"/>
        <v>10</v>
      </c>
      <c r="L20">
        <f t="shared" ca="1" si="2"/>
        <v>30</v>
      </c>
      <c r="M20" s="14">
        <f t="shared" ca="1" si="8"/>
        <v>10</v>
      </c>
      <c r="O20" s="2" t="s">
        <v>63</v>
      </c>
      <c r="P20" s="2" t="s">
        <v>61</v>
      </c>
      <c r="Q20" s="2" t="s">
        <v>59</v>
      </c>
      <c r="R20" s="2">
        <v>2</v>
      </c>
      <c r="S20" s="2">
        <v>8</v>
      </c>
      <c r="T20" s="2">
        <v>3</v>
      </c>
      <c r="U20" s="2">
        <v>13</v>
      </c>
      <c r="V20" s="18">
        <v>4.333333333333333</v>
      </c>
      <c r="X20">
        <v>15</v>
      </c>
      <c r="Y20" s="14">
        <v>5</v>
      </c>
      <c r="AA20" t="s">
        <v>49</v>
      </c>
      <c r="AB20">
        <f>0.25*(COUNT(Summary!$B$11:$B$23)-1)</f>
        <v>3</v>
      </c>
      <c r="AC20" s="14">
        <f>INDEX(Summary!$B$11:$B$23,ROUND(AB20+1,0),1)</f>
        <v>4</v>
      </c>
      <c r="AD20" s="14">
        <f>INDEX(Summary!$B$11:$B$23,IF((AB20-INT(AB20))&lt;0.5,CEILING(AB20,1)+1,CEILING(AB20,1)),1)</f>
        <v>4</v>
      </c>
      <c r="AE20" s="14">
        <f>ABS(AD20-AC20)*(AB20-INT(AB20))</f>
        <v>0</v>
      </c>
      <c r="AF20" s="14">
        <f>MIN(AC20,AD20)+AE20</f>
        <v>4</v>
      </c>
      <c r="AH20" s="22">
        <f t="shared" si="9"/>
        <v>37.617777777777775</v>
      </c>
      <c r="AI20" s="14">
        <f t="shared" si="10"/>
        <v>4.1797530864197565</v>
      </c>
      <c r="AL20">
        <f t="shared" si="3"/>
        <v>5.1113188994635933E-2</v>
      </c>
      <c r="AN20">
        <f>IF(AND(U20&gt;=Summary!$B$183,Summary!$B$184&gt;=SampleData!U20),1,0)</f>
        <v>1</v>
      </c>
    </row>
    <row r="21" spans="1:40">
      <c r="A21">
        <v>18</v>
      </c>
      <c r="B21" t="s">
        <v>31</v>
      </c>
      <c r="C21">
        <f t="shared" si="19"/>
        <v>5</v>
      </c>
      <c r="F21" t="str">
        <f t="shared" ca="1" si="4"/>
        <v>Hearts 4</v>
      </c>
      <c r="G21" t="str">
        <f t="shared" ca="1" si="5"/>
        <v>Space 6</v>
      </c>
      <c r="H21" t="str">
        <f t="shared" ca="1" si="6"/>
        <v>Hearts 4</v>
      </c>
      <c r="I21">
        <f t="shared" ca="1" si="7"/>
        <v>4</v>
      </c>
      <c r="J21">
        <f t="shared" ca="1" si="7"/>
        <v>6</v>
      </c>
      <c r="K21">
        <f t="shared" ca="1" si="7"/>
        <v>4</v>
      </c>
      <c r="L21">
        <f t="shared" ca="1" si="2"/>
        <v>14</v>
      </c>
      <c r="M21" s="14">
        <f t="shared" ca="1" si="8"/>
        <v>4.666666666666667</v>
      </c>
      <c r="O21" s="2" t="s">
        <v>58</v>
      </c>
      <c r="P21" s="2" t="s">
        <v>58</v>
      </c>
      <c r="Q21" s="2" t="s">
        <v>63</v>
      </c>
      <c r="R21" s="2">
        <v>10</v>
      </c>
      <c r="S21" s="2">
        <v>10</v>
      </c>
      <c r="T21" s="2">
        <v>2</v>
      </c>
      <c r="U21" s="2">
        <v>22</v>
      </c>
      <c r="V21" s="18">
        <v>7.333333333333333</v>
      </c>
      <c r="X21">
        <v>16</v>
      </c>
      <c r="Y21" s="14">
        <v>5.333333333333333</v>
      </c>
      <c r="AA21" t="s">
        <v>50</v>
      </c>
      <c r="AB21">
        <f>0.5*(COUNT(Summary!$B$11:$B$23)-1)</f>
        <v>6</v>
      </c>
      <c r="AC21" s="14">
        <f>INDEX(Summary!$B$11:$B$23,ROUND(AB21+1,0),1)</f>
        <v>7</v>
      </c>
      <c r="AD21" s="14">
        <f>INDEX(Summary!$B$11:$B$23,IF((AB21-INT(AB21))&lt;0.5,CEILING(AB21,1)+1,CEILING(AB21,1)),1)</f>
        <v>7</v>
      </c>
      <c r="AE21" s="14">
        <f t="shared" ref="AE21:AE23" si="20">ABS(AD21-AC21)*(AB21-INT(AB21))</f>
        <v>0</v>
      </c>
      <c r="AF21" s="14">
        <f t="shared" ref="AF21:AF23" si="21">MIN(AC21,AD21)+AE21</f>
        <v>7</v>
      </c>
      <c r="AH21" s="22">
        <f t="shared" si="9"/>
        <v>8.2177777777777798</v>
      </c>
      <c r="AI21" s="14">
        <f t="shared" si="10"/>
        <v>0.91308641975308502</v>
      </c>
      <c r="AL21">
        <f t="shared" si="3"/>
        <v>5.8676458418834329E-2</v>
      </c>
      <c r="AN21">
        <f>IF(AND(U21&gt;=Summary!$B$183,Summary!$B$184&gt;=SampleData!U21),1,0)</f>
        <v>1</v>
      </c>
    </row>
    <row r="22" spans="1:40">
      <c r="A22">
        <v>19</v>
      </c>
      <c r="B22" t="s">
        <v>32</v>
      </c>
      <c r="C22">
        <f t="shared" si="19"/>
        <v>5</v>
      </c>
      <c r="F22" t="str">
        <f t="shared" ca="1" si="4"/>
        <v>Hearts 9</v>
      </c>
      <c r="G22" t="str">
        <f t="shared" ca="1" si="5"/>
        <v>Space 6</v>
      </c>
      <c r="H22" t="str">
        <f t="shared" ca="1" si="6"/>
        <v>Diamond 3</v>
      </c>
      <c r="I22">
        <f t="shared" ca="1" si="7"/>
        <v>9</v>
      </c>
      <c r="J22">
        <f t="shared" ca="1" si="7"/>
        <v>6</v>
      </c>
      <c r="K22">
        <f t="shared" ca="1" si="7"/>
        <v>3</v>
      </c>
      <c r="L22">
        <f t="shared" ca="1" si="2"/>
        <v>18</v>
      </c>
      <c r="M22" s="14">
        <f t="shared" ca="1" si="8"/>
        <v>6</v>
      </c>
      <c r="O22" s="2" t="s">
        <v>57</v>
      </c>
      <c r="P22" s="2" t="s">
        <v>62</v>
      </c>
      <c r="Q22" s="2" t="s">
        <v>64</v>
      </c>
      <c r="R22" s="2">
        <v>6</v>
      </c>
      <c r="S22" s="2">
        <v>9</v>
      </c>
      <c r="T22" s="2">
        <v>1</v>
      </c>
      <c r="U22" s="2">
        <v>16</v>
      </c>
      <c r="V22" s="18">
        <v>5.333333333333333</v>
      </c>
      <c r="X22">
        <v>16</v>
      </c>
      <c r="Y22" s="14">
        <v>5.333333333333333</v>
      </c>
      <c r="AA22" t="s">
        <v>51</v>
      </c>
      <c r="AB22">
        <f>0.75*(COUNT(Summary!$B$11:$B$23)-1)</f>
        <v>9</v>
      </c>
      <c r="AC22" s="14">
        <f>INDEX(Summary!$B$11:$B$23,ROUND(AB22+1,0),1)</f>
        <v>10</v>
      </c>
      <c r="AD22" s="14">
        <f>INDEX(Summary!$B$11:$B$23,IF((AB22-INT(AB22))&lt;0.5,CEILING(AB22,1)+1,CEILING(AB22,1)),1)</f>
        <v>10</v>
      </c>
      <c r="AE22" s="14">
        <f t="shared" si="20"/>
        <v>0</v>
      </c>
      <c r="AF22" s="14">
        <f t="shared" si="21"/>
        <v>10</v>
      </c>
      <c r="AH22" s="22">
        <f t="shared" si="9"/>
        <v>9.8177777777777742</v>
      </c>
      <c r="AI22" s="14">
        <f t="shared" si="10"/>
        <v>1.0908641975308657</v>
      </c>
      <c r="AL22">
        <f t="shared" si="3"/>
        <v>5.8676458418834329E-2</v>
      </c>
      <c r="AN22">
        <f>IF(AND(U22&gt;=Summary!$B$183,Summary!$B$184&gt;=SampleData!U22),1,0)</f>
        <v>1</v>
      </c>
    </row>
    <row r="23" spans="1:40">
      <c r="A23">
        <v>20</v>
      </c>
      <c r="B23" t="s">
        <v>30</v>
      </c>
      <c r="C23">
        <f t="shared" si="19"/>
        <v>5</v>
      </c>
      <c r="F23" t="str">
        <f t="shared" ca="1" si="4"/>
        <v>Space 10</v>
      </c>
      <c r="G23" t="str">
        <f t="shared" ca="1" si="5"/>
        <v>Space 10</v>
      </c>
      <c r="H23" t="str">
        <f t="shared" ca="1" si="6"/>
        <v>Space 10</v>
      </c>
      <c r="I23">
        <f t="shared" ca="1" si="7"/>
        <v>10</v>
      </c>
      <c r="J23">
        <f t="shared" ca="1" si="7"/>
        <v>10</v>
      </c>
      <c r="K23">
        <f t="shared" ca="1" si="7"/>
        <v>10</v>
      </c>
      <c r="L23">
        <f t="shared" ca="1" si="2"/>
        <v>30</v>
      </c>
      <c r="M23" s="14">
        <f t="shared" ca="1" si="8"/>
        <v>10</v>
      </c>
      <c r="O23" s="2" t="s">
        <v>57</v>
      </c>
      <c r="P23" s="2" t="s">
        <v>60</v>
      </c>
      <c r="Q23" s="2" t="s">
        <v>63</v>
      </c>
      <c r="R23" s="2">
        <v>6</v>
      </c>
      <c r="S23" s="2">
        <v>4</v>
      </c>
      <c r="T23" s="2">
        <v>2</v>
      </c>
      <c r="U23" s="2">
        <v>12</v>
      </c>
      <c r="V23" s="18">
        <v>4</v>
      </c>
      <c r="X23">
        <v>16</v>
      </c>
      <c r="Y23" s="14">
        <v>5.333333333333333</v>
      </c>
      <c r="AA23" t="s">
        <v>73</v>
      </c>
      <c r="AB23">
        <f>1*(COUNT(Summary!$B$11:$B$23)-1)</f>
        <v>12</v>
      </c>
      <c r="AC23" s="14">
        <f>INDEX(Summary!$B$11:$B$23,ROUND(AB23+1,0),1)</f>
        <v>10</v>
      </c>
      <c r="AD23" s="14">
        <f>INDEX(Summary!$B$11:$B$23,IF((AB23-INT(AB23))&lt;0.5,CEILING(AB23,1)+1,CEILING(AB23,1)),1)</f>
        <v>10</v>
      </c>
      <c r="AE23" s="14">
        <f t="shared" si="20"/>
        <v>0</v>
      </c>
      <c r="AF23" s="14">
        <f t="shared" si="21"/>
        <v>10</v>
      </c>
      <c r="AH23" s="22">
        <f t="shared" si="9"/>
        <v>50.884444444444441</v>
      </c>
      <c r="AI23" s="14">
        <f t="shared" si="10"/>
        <v>5.6538271604938295</v>
      </c>
      <c r="AL23">
        <f t="shared" si="3"/>
        <v>5.8676458418834329E-2</v>
      </c>
      <c r="AN23">
        <f>IF(AND(U23&gt;=Summary!$B$183,Summary!$B$184&gt;=SampleData!U23),1,0)</f>
        <v>1</v>
      </c>
    </row>
    <row r="24" spans="1:40">
      <c r="A24">
        <v>21</v>
      </c>
      <c r="B24" t="s">
        <v>30</v>
      </c>
      <c r="C24">
        <f t="shared" si="19"/>
        <v>6</v>
      </c>
      <c r="F24" t="str">
        <f t="shared" ca="1" si="4"/>
        <v>Hearts 1</v>
      </c>
      <c r="G24" t="str">
        <f t="shared" ca="1" si="5"/>
        <v>Hearts 9</v>
      </c>
      <c r="H24" t="str">
        <f t="shared" ca="1" si="6"/>
        <v>Hearts 5</v>
      </c>
      <c r="I24">
        <f t="shared" ca="1" si="7"/>
        <v>1</v>
      </c>
      <c r="J24">
        <f t="shared" ca="1" si="7"/>
        <v>9</v>
      </c>
      <c r="K24">
        <f t="shared" ca="1" si="7"/>
        <v>5</v>
      </c>
      <c r="L24">
        <f t="shared" ca="1" si="2"/>
        <v>15</v>
      </c>
      <c r="M24" s="14">
        <f t="shared" ca="1" si="8"/>
        <v>5</v>
      </c>
      <c r="O24" s="2" t="s">
        <v>61</v>
      </c>
      <c r="P24" s="2" t="s">
        <v>63</v>
      </c>
      <c r="Q24" s="2" t="s">
        <v>62</v>
      </c>
      <c r="R24" s="2">
        <v>8</v>
      </c>
      <c r="S24" s="2">
        <v>2</v>
      </c>
      <c r="T24" s="2">
        <v>9</v>
      </c>
      <c r="U24" s="2">
        <v>19</v>
      </c>
      <c r="V24" s="18">
        <v>6.333333333333333</v>
      </c>
      <c r="X24">
        <v>17</v>
      </c>
      <c r="Y24" s="14">
        <v>5.666666666666667</v>
      </c>
      <c r="AH24" s="22">
        <f t="shared" si="9"/>
        <v>1.7777777777777653E-2</v>
      </c>
      <c r="AI24" s="14">
        <f t="shared" si="10"/>
        <v>1.9753086419753737E-3</v>
      </c>
      <c r="AL24">
        <f t="shared" si="3"/>
        <v>6.5137660420078347E-2</v>
      </c>
      <c r="AN24">
        <f>IF(AND(U24&gt;=Summary!$B$183,Summary!$B$184&gt;=SampleData!U24),1,0)</f>
        <v>1</v>
      </c>
    </row>
    <row r="25" spans="1:40">
      <c r="A25">
        <v>22</v>
      </c>
      <c r="B25" t="s">
        <v>31</v>
      </c>
      <c r="C25">
        <f t="shared" si="19"/>
        <v>6</v>
      </c>
      <c r="F25" t="str">
        <f t="shared" ca="1" si="4"/>
        <v>Space 10</v>
      </c>
      <c r="G25" t="str">
        <f t="shared" ca="1" si="5"/>
        <v>Space 10</v>
      </c>
      <c r="H25" t="str">
        <f t="shared" ca="1" si="6"/>
        <v>Space 10</v>
      </c>
      <c r="I25">
        <f t="shared" ca="1" si="7"/>
        <v>10</v>
      </c>
      <c r="J25">
        <f t="shared" ca="1" si="7"/>
        <v>10</v>
      </c>
      <c r="K25">
        <f t="shared" ca="1" si="7"/>
        <v>10</v>
      </c>
      <c r="L25">
        <f t="shared" ca="1" si="2"/>
        <v>30</v>
      </c>
      <c r="M25" s="14">
        <f t="shared" ca="1" si="8"/>
        <v>10</v>
      </c>
      <c r="O25" s="2" t="s">
        <v>58</v>
      </c>
      <c r="P25" s="2" t="s">
        <v>60</v>
      </c>
      <c r="Q25" s="2" t="s">
        <v>58</v>
      </c>
      <c r="R25" s="2">
        <v>10</v>
      </c>
      <c r="S25" s="2">
        <v>4</v>
      </c>
      <c r="T25" s="2">
        <v>10</v>
      </c>
      <c r="U25" s="2">
        <v>24</v>
      </c>
      <c r="V25" s="18">
        <v>8</v>
      </c>
      <c r="X25">
        <v>17</v>
      </c>
      <c r="Y25" s="14">
        <v>5.666666666666667</v>
      </c>
      <c r="AH25" s="22">
        <f t="shared" si="9"/>
        <v>23.684444444444448</v>
      </c>
      <c r="AI25" s="14">
        <f t="shared" si="10"/>
        <v>2.6316049382716034</v>
      </c>
      <c r="AL25">
        <f t="shared" si="3"/>
        <v>6.5137660420078347E-2</v>
      </c>
      <c r="AN25">
        <f>IF(AND(U25&gt;=Summary!$B$183,Summary!$B$184&gt;=SampleData!U25),1,0)</f>
        <v>1</v>
      </c>
    </row>
    <row r="26" spans="1:40">
      <c r="A26">
        <v>23</v>
      </c>
      <c r="B26" t="s">
        <v>32</v>
      </c>
      <c r="C26">
        <f t="shared" si="19"/>
        <v>6</v>
      </c>
      <c r="F26" t="str">
        <f t="shared" ca="1" si="4"/>
        <v>Hearts 8</v>
      </c>
      <c r="G26" t="str">
        <f t="shared" ca="1" si="5"/>
        <v>Diamond 7</v>
      </c>
      <c r="H26" t="str">
        <f t="shared" ca="1" si="6"/>
        <v>Space 10</v>
      </c>
      <c r="I26">
        <f t="shared" ca="1" si="7"/>
        <v>8</v>
      </c>
      <c r="J26">
        <f t="shared" ca="1" si="7"/>
        <v>7</v>
      </c>
      <c r="K26">
        <f t="shared" ca="1" si="7"/>
        <v>10</v>
      </c>
      <c r="L26">
        <f t="shared" ca="1" si="2"/>
        <v>25</v>
      </c>
      <c r="M26" s="14">
        <f t="shared" ca="1" si="8"/>
        <v>8.3333333333333339</v>
      </c>
      <c r="O26" s="2" t="s">
        <v>64</v>
      </c>
      <c r="P26" s="2" t="s">
        <v>58</v>
      </c>
      <c r="Q26" s="2" t="s">
        <v>58</v>
      </c>
      <c r="R26" s="2">
        <v>1</v>
      </c>
      <c r="S26" s="2">
        <v>10</v>
      </c>
      <c r="T26" s="2">
        <v>10</v>
      </c>
      <c r="U26" s="2">
        <v>21</v>
      </c>
      <c r="V26" s="18">
        <v>7</v>
      </c>
      <c r="X26">
        <v>17</v>
      </c>
      <c r="Y26" s="14">
        <v>5.666666666666667</v>
      </c>
      <c r="AH26" s="22">
        <f t="shared" si="9"/>
        <v>3.484444444444446</v>
      </c>
      <c r="AI26" s="14">
        <f t="shared" si="10"/>
        <v>0.38716049382715995</v>
      </c>
      <c r="AL26">
        <f t="shared" si="3"/>
        <v>6.5137660420078347E-2</v>
      </c>
      <c r="AN26">
        <f>IF(AND(U26&gt;=Summary!$B$183,Summary!$B$184&gt;=SampleData!U26),1,0)</f>
        <v>1</v>
      </c>
    </row>
    <row r="27" spans="1:40">
      <c r="A27">
        <v>24</v>
      </c>
      <c r="B27" t="s">
        <v>30</v>
      </c>
      <c r="C27">
        <f t="shared" si="19"/>
        <v>6</v>
      </c>
      <c r="F27" t="str">
        <f t="shared" ca="1" si="4"/>
        <v>Hearts 8</v>
      </c>
      <c r="G27" t="str">
        <f t="shared" ca="1" si="5"/>
        <v>Space 10</v>
      </c>
      <c r="H27" t="str">
        <f t="shared" ca="1" si="6"/>
        <v>Space 10</v>
      </c>
      <c r="I27">
        <f t="shared" ca="1" si="7"/>
        <v>8</v>
      </c>
      <c r="J27">
        <f t="shared" ca="1" si="7"/>
        <v>10</v>
      </c>
      <c r="K27">
        <f t="shared" ca="1" si="7"/>
        <v>10</v>
      </c>
      <c r="L27">
        <f t="shared" ca="1" si="2"/>
        <v>28</v>
      </c>
      <c r="M27" s="14">
        <f t="shared" ca="1" si="8"/>
        <v>9.3333333333333339</v>
      </c>
      <c r="O27" s="2" t="s">
        <v>58</v>
      </c>
      <c r="P27" s="2" t="s">
        <v>61</v>
      </c>
      <c r="Q27" s="2" t="s">
        <v>61</v>
      </c>
      <c r="R27" s="2">
        <v>10</v>
      </c>
      <c r="S27" s="2">
        <v>8</v>
      </c>
      <c r="T27" s="2">
        <v>8</v>
      </c>
      <c r="U27" s="2">
        <v>26</v>
      </c>
      <c r="V27" s="18">
        <v>8.6666666666666661</v>
      </c>
      <c r="X27">
        <v>17</v>
      </c>
      <c r="Y27" s="14">
        <v>5.666666666666667</v>
      </c>
      <c r="AH27" s="22">
        <f t="shared" si="9"/>
        <v>47.151111111111121</v>
      </c>
      <c r="AI27" s="14">
        <f t="shared" si="10"/>
        <v>5.2390123456790079</v>
      </c>
      <c r="AL27">
        <f t="shared" si="3"/>
        <v>6.5137660420078347E-2</v>
      </c>
      <c r="AN27">
        <f>IF(AND(U27&gt;=Summary!$B$183,Summary!$B$184&gt;=SampleData!U27),1,0)</f>
        <v>1</v>
      </c>
    </row>
    <row r="28" spans="1:40">
      <c r="A28">
        <v>25</v>
      </c>
      <c r="B28" t="s">
        <v>30</v>
      </c>
      <c r="C28">
        <f t="shared" si="19"/>
        <v>7</v>
      </c>
      <c r="F28" t="str">
        <f t="shared" ca="1" si="4"/>
        <v>Space 2</v>
      </c>
      <c r="G28" t="str">
        <f t="shared" ca="1" si="5"/>
        <v>Space 10</v>
      </c>
      <c r="H28" t="str">
        <f t="shared" ca="1" si="6"/>
        <v>Space 2</v>
      </c>
      <c r="I28">
        <f t="shared" ca="1" si="7"/>
        <v>2</v>
      </c>
      <c r="J28">
        <f t="shared" ca="1" si="7"/>
        <v>10</v>
      </c>
      <c r="K28">
        <f t="shared" ca="1" si="7"/>
        <v>2</v>
      </c>
      <c r="L28">
        <f t="shared" ca="1" si="2"/>
        <v>14</v>
      </c>
      <c r="M28" s="14">
        <f t="shared" ca="1" si="8"/>
        <v>4.666666666666667</v>
      </c>
      <c r="O28" s="2" t="s">
        <v>55</v>
      </c>
      <c r="P28" s="2" t="s">
        <v>64</v>
      </c>
      <c r="Q28" s="2" t="s">
        <v>58</v>
      </c>
      <c r="R28" s="2">
        <v>5</v>
      </c>
      <c r="S28" s="2">
        <v>1</v>
      </c>
      <c r="T28" s="2">
        <v>10</v>
      </c>
      <c r="U28" s="2">
        <v>16</v>
      </c>
      <c r="V28" s="18">
        <v>5.333333333333333</v>
      </c>
      <c r="X28">
        <v>18</v>
      </c>
      <c r="Y28" s="14">
        <v>6</v>
      </c>
      <c r="AH28" s="22">
        <f t="shared" si="9"/>
        <v>9.8177777777777742</v>
      </c>
      <c r="AI28" s="14">
        <f t="shared" si="10"/>
        <v>1.0908641975308657</v>
      </c>
      <c r="AL28">
        <f t="shared" si="3"/>
        <v>6.9925851944697442E-2</v>
      </c>
      <c r="AN28">
        <f>IF(AND(U28&gt;=Summary!$B$183,Summary!$B$184&gt;=SampleData!U28),1,0)</f>
        <v>1</v>
      </c>
    </row>
    <row r="29" spans="1:40">
      <c r="A29">
        <v>26</v>
      </c>
      <c r="B29" t="s">
        <v>31</v>
      </c>
      <c r="C29">
        <f t="shared" si="19"/>
        <v>7</v>
      </c>
      <c r="F29" t="str">
        <f t="shared" ca="1" si="4"/>
        <v>Hearts 9</v>
      </c>
      <c r="G29" t="str">
        <f t="shared" ca="1" si="5"/>
        <v>Space 2</v>
      </c>
      <c r="H29" t="str">
        <f t="shared" ca="1" si="6"/>
        <v>Hearts 9</v>
      </c>
      <c r="I29">
        <f t="shared" ca="1" si="7"/>
        <v>9</v>
      </c>
      <c r="J29">
        <f t="shared" ca="1" si="7"/>
        <v>2</v>
      </c>
      <c r="K29">
        <f t="shared" ca="1" si="7"/>
        <v>9</v>
      </c>
      <c r="L29">
        <f t="shared" ca="1" si="2"/>
        <v>20</v>
      </c>
      <c r="M29" s="14">
        <f t="shared" ca="1" si="8"/>
        <v>6.666666666666667</v>
      </c>
      <c r="O29" s="2" t="s">
        <v>61</v>
      </c>
      <c r="P29" s="2" t="s">
        <v>59</v>
      </c>
      <c r="Q29" s="2" t="s">
        <v>64</v>
      </c>
      <c r="R29" s="2">
        <v>8</v>
      </c>
      <c r="S29" s="2">
        <v>3</v>
      </c>
      <c r="T29" s="2">
        <v>1</v>
      </c>
      <c r="U29" s="2">
        <v>12</v>
      </c>
      <c r="V29" s="18">
        <v>4</v>
      </c>
      <c r="X29">
        <v>18</v>
      </c>
      <c r="Y29" s="14">
        <v>6</v>
      </c>
      <c r="AF29" s="14"/>
      <c r="AH29" s="22">
        <f t="shared" si="9"/>
        <v>50.884444444444441</v>
      </c>
      <c r="AI29" s="14">
        <f t="shared" si="10"/>
        <v>5.6538271604938295</v>
      </c>
      <c r="AL29">
        <f t="shared" si="3"/>
        <v>6.9925851944697442E-2</v>
      </c>
      <c r="AN29">
        <f>IF(AND(U29&gt;=Summary!$B$183,Summary!$B$184&gt;=SampleData!U29),1,0)</f>
        <v>1</v>
      </c>
    </row>
    <row r="30" spans="1:40">
      <c r="A30">
        <v>27</v>
      </c>
      <c r="B30" t="s">
        <v>32</v>
      </c>
      <c r="C30">
        <f t="shared" si="19"/>
        <v>7</v>
      </c>
      <c r="F30" t="str">
        <f t="shared" ca="1" si="4"/>
        <v>Diamond 7</v>
      </c>
      <c r="G30" t="str">
        <f t="shared" ca="1" si="5"/>
        <v>Hearts 9</v>
      </c>
      <c r="H30" t="str">
        <f t="shared" ca="1" si="6"/>
        <v>Diamond 3</v>
      </c>
      <c r="I30">
        <f t="shared" ca="1" si="7"/>
        <v>7</v>
      </c>
      <c r="J30">
        <f t="shared" ca="1" si="7"/>
        <v>9</v>
      </c>
      <c r="K30">
        <f t="shared" ca="1" si="7"/>
        <v>3</v>
      </c>
      <c r="L30">
        <f t="shared" ca="1" si="2"/>
        <v>19</v>
      </c>
      <c r="M30" s="14">
        <f t="shared" ca="1" si="8"/>
        <v>6.333333333333333</v>
      </c>
      <c r="O30" s="2" t="s">
        <v>63</v>
      </c>
      <c r="P30" s="2" t="s">
        <v>56</v>
      </c>
      <c r="Q30" s="2" t="s">
        <v>60</v>
      </c>
      <c r="R30" s="2">
        <v>2</v>
      </c>
      <c r="S30" s="2">
        <v>7</v>
      </c>
      <c r="T30" s="2">
        <v>4</v>
      </c>
      <c r="U30" s="2">
        <v>13</v>
      </c>
      <c r="V30" s="18">
        <v>4.333333333333333</v>
      </c>
      <c r="X30">
        <v>19</v>
      </c>
      <c r="Y30" s="14">
        <v>6.333333333333333</v>
      </c>
      <c r="AH30" s="22">
        <f t="shared" si="9"/>
        <v>37.617777777777775</v>
      </c>
      <c r="AI30" s="14">
        <f t="shared" si="10"/>
        <v>4.1797530864197565</v>
      </c>
      <c r="AL30">
        <f t="shared" si="3"/>
        <v>7.2590656583899377E-2</v>
      </c>
      <c r="AN30">
        <f>IF(AND(U30&gt;=Summary!$B$183,Summary!$B$184&gt;=SampleData!U30),1,0)</f>
        <v>1</v>
      </c>
    </row>
    <row r="31" spans="1:40">
      <c r="A31">
        <v>28</v>
      </c>
      <c r="B31" t="s">
        <v>30</v>
      </c>
      <c r="C31">
        <f t="shared" si="19"/>
        <v>7</v>
      </c>
      <c r="F31" t="str">
        <f t="shared" ca="1" si="4"/>
        <v>Space 10</v>
      </c>
      <c r="G31" t="str">
        <f t="shared" ca="1" si="5"/>
        <v>Diamond 7</v>
      </c>
      <c r="H31" t="str">
        <f t="shared" ca="1" si="6"/>
        <v>Space 10</v>
      </c>
      <c r="I31">
        <f t="shared" ca="1" si="7"/>
        <v>10</v>
      </c>
      <c r="J31">
        <f t="shared" ca="1" si="7"/>
        <v>7</v>
      </c>
      <c r="K31">
        <f t="shared" ca="1" si="7"/>
        <v>10</v>
      </c>
      <c r="L31">
        <f t="shared" ca="1" si="2"/>
        <v>27</v>
      </c>
      <c r="M31" s="14">
        <f t="shared" ca="1" si="8"/>
        <v>9</v>
      </c>
      <c r="O31" s="2" t="s">
        <v>56</v>
      </c>
      <c r="P31" s="2" t="s">
        <v>63</v>
      </c>
      <c r="Q31" s="2" t="s">
        <v>55</v>
      </c>
      <c r="R31" s="2">
        <v>7</v>
      </c>
      <c r="S31" s="2">
        <v>2</v>
      </c>
      <c r="T31" s="2">
        <v>5</v>
      </c>
      <c r="U31" s="2">
        <v>14</v>
      </c>
      <c r="V31" s="18">
        <v>4.666666666666667</v>
      </c>
      <c r="X31">
        <v>19</v>
      </c>
      <c r="Y31" s="14">
        <v>6.333333333333333</v>
      </c>
      <c r="AH31" s="22">
        <f t="shared" si="9"/>
        <v>26.351111111111106</v>
      </c>
      <c r="AI31" s="14">
        <f t="shared" si="10"/>
        <v>2.9279012345679019</v>
      </c>
      <c r="AL31">
        <f t="shared" si="3"/>
        <v>7.2590656583899377E-2</v>
      </c>
      <c r="AN31">
        <f>IF(AND(U31&gt;=Summary!$B$183,Summary!$B$184&gt;=SampleData!U31),1,0)</f>
        <v>1</v>
      </c>
    </row>
    <row r="32" spans="1:40">
      <c r="A32">
        <v>29</v>
      </c>
      <c r="B32" t="s">
        <v>30</v>
      </c>
      <c r="C32">
        <f t="shared" si="19"/>
        <v>8</v>
      </c>
      <c r="F32" t="str">
        <f ca="1">INDEX($B$4:$B$55,I32,1) &amp; " " &amp;  I32</f>
        <v>Hearts 9</v>
      </c>
      <c r="G32" t="str">
        <f t="shared" ca="1" si="5"/>
        <v>Space 10</v>
      </c>
      <c r="H32" t="str">
        <f t="shared" ca="1" si="6"/>
        <v>Space 10</v>
      </c>
      <c r="I32">
        <f ca="1">INDEX($C$4:$C$55,RANDBETWEEN($A$4,$A$55),1)</f>
        <v>9</v>
      </c>
      <c r="J32">
        <f t="shared" ref="J32:K47" ca="1" si="22">INDEX($C$4:$C$55,RANDBETWEEN($A$4,$A$55),1)</f>
        <v>10</v>
      </c>
      <c r="K32">
        <f t="shared" ca="1" si="22"/>
        <v>10</v>
      </c>
      <c r="L32">
        <f t="shared" ca="1" si="2"/>
        <v>29</v>
      </c>
      <c r="M32" s="14">
        <f t="shared" ca="1" si="8"/>
        <v>9.6666666666666661</v>
      </c>
      <c r="O32" s="2" t="s">
        <v>58</v>
      </c>
      <c r="P32" s="2" t="s">
        <v>61</v>
      </c>
      <c r="Q32" s="2" t="s">
        <v>59</v>
      </c>
      <c r="R32" s="2">
        <v>10</v>
      </c>
      <c r="S32" s="2">
        <v>8</v>
      </c>
      <c r="T32" s="2">
        <v>3</v>
      </c>
      <c r="U32" s="2">
        <v>21</v>
      </c>
      <c r="V32" s="18">
        <v>7</v>
      </c>
      <c r="X32">
        <v>19</v>
      </c>
      <c r="Y32" s="14">
        <v>6.333333333333333</v>
      </c>
      <c r="AH32" s="22">
        <f t="shared" si="9"/>
        <v>3.484444444444446</v>
      </c>
      <c r="AI32" s="14">
        <f t="shared" si="10"/>
        <v>0.38716049382715995</v>
      </c>
      <c r="AL32">
        <f t="shared" si="3"/>
        <v>7.2590656583899377E-2</v>
      </c>
      <c r="AN32">
        <f>IF(AND(U32&gt;=Summary!$B$183,Summary!$B$184&gt;=SampleData!U32),1,0)</f>
        <v>1</v>
      </c>
    </row>
    <row r="33" spans="1:40">
      <c r="A33">
        <v>30</v>
      </c>
      <c r="B33" t="s">
        <v>31</v>
      </c>
      <c r="C33">
        <f t="shared" si="19"/>
        <v>8</v>
      </c>
      <c r="F33" t="str">
        <f t="shared" ref="F33:F37" ca="1" si="23">INDEX($B$4:$B$55,I33,1) &amp; " " &amp;  I33</f>
        <v>Hearts 4</v>
      </c>
      <c r="G33" t="str">
        <f t="shared" ref="G33:G37" ca="1" si="24">INDEX($B$4:$B$55,J33,1) &amp; " " &amp;  J33</f>
        <v>Hearts 4</v>
      </c>
      <c r="H33" t="str">
        <f t="shared" ref="H33:H37" ca="1" si="25">INDEX($B$4:$B$55,K33,1) &amp; " " &amp;  K33</f>
        <v>Hearts 9</v>
      </c>
      <c r="I33">
        <f t="shared" ca="1" si="7"/>
        <v>4</v>
      </c>
      <c r="J33">
        <f t="shared" ca="1" si="22"/>
        <v>4</v>
      </c>
      <c r="K33">
        <f t="shared" ca="1" si="22"/>
        <v>9</v>
      </c>
      <c r="L33">
        <f t="shared" ca="1" si="2"/>
        <v>17</v>
      </c>
      <c r="M33" s="14">
        <f t="shared" ca="1" si="8"/>
        <v>5.666666666666667</v>
      </c>
      <c r="O33" s="2" t="s">
        <v>56</v>
      </c>
      <c r="P33" s="2" t="s">
        <v>60</v>
      </c>
      <c r="Q33" s="2" t="s">
        <v>58</v>
      </c>
      <c r="R33" s="2">
        <v>7</v>
      </c>
      <c r="S33" s="2">
        <v>4</v>
      </c>
      <c r="T33" s="2">
        <v>10</v>
      </c>
      <c r="U33" s="2">
        <v>21</v>
      </c>
      <c r="V33" s="18">
        <v>7</v>
      </c>
      <c r="X33">
        <v>20</v>
      </c>
      <c r="Y33" s="14">
        <v>6.666666666666667</v>
      </c>
      <c r="AH33" s="22">
        <f t="shared" si="9"/>
        <v>3.484444444444446</v>
      </c>
      <c r="AI33" s="14">
        <f t="shared" si="10"/>
        <v>0.38716049382715995</v>
      </c>
      <c r="AL33">
        <f t="shared" si="3"/>
        <v>7.2872057316300962E-2</v>
      </c>
      <c r="AN33">
        <f>IF(AND(U33&gt;=Summary!$B$183,Summary!$B$184&gt;=SampleData!U33),1,0)</f>
        <v>1</v>
      </c>
    </row>
    <row r="34" spans="1:40">
      <c r="A34">
        <v>31</v>
      </c>
      <c r="B34" t="s">
        <v>32</v>
      </c>
      <c r="C34">
        <f t="shared" si="19"/>
        <v>8</v>
      </c>
      <c r="F34" t="str">
        <f t="shared" ca="1" si="23"/>
        <v>Hearts 9</v>
      </c>
      <c r="G34" t="str">
        <f t="shared" ca="1" si="24"/>
        <v>Space 6</v>
      </c>
      <c r="H34" t="str">
        <f t="shared" ca="1" si="25"/>
        <v>Hearts 8</v>
      </c>
      <c r="I34">
        <f t="shared" ref="I34:K49" ca="1" si="26">INDEX($C$4:$C$55,RANDBETWEEN($A$4,$A$55),1)</f>
        <v>9</v>
      </c>
      <c r="J34">
        <f t="shared" ca="1" si="22"/>
        <v>6</v>
      </c>
      <c r="K34">
        <f t="shared" ca="1" si="22"/>
        <v>8</v>
      </c>
      <c r="L34">
        <f t="shared" ca="1" si="2"/>
        <v>23</v>
      </c>
      <c r="M34" s="14">
        <f t="shared" ca="1" si="8"/>
        <v>7.666666666666667</v>
      </c>
      <c r="O34" s="2" t="s">
        <v>58</v>
      </c>
      <c r="P34" s="2" t="s">
        <v>60</v>
      </c>
      <c r="Q34" s="2" t="s">
        <v>64</v>
      </c>
      <c r="R34" s="2">
        <v>10</v>
      </c>
      <c r="S34" s="2">
        <v>4</v>
      </c>
      <c r="T34" s="2">
        <v>1</v>
      </c>
      <c r="U34" s="2">
        <v>15</v>
      </c>
      <c r="V34" s="18">
        <v>5</v>
      </c>
      <c r="X34">
        <v>20</v>
      </c>
      <c r="Y34" s="14">
        <v>6.666666666666667</v>
      </c>
      <c r="AH34" s="22">
        <f t="shared" si="9"/>
        <v>17.08444444444444</v>
      </c>
      <c r="AI34" s="14">
        <f t="shared" si="10"/>
        <v>1.8982716049382728</v>
      </c>
      <c r="AL34">
        <f t="shared" si="3"/>
        <v>7.2872057316300962E-2</v>
      </c>
      <c r="AN34">
        <f>IF(AND(U34&gt;=Summary!$B$183,Summary!$B$184&gt;=SampleData!U34),1,0)</f>
        <v>1</v>
      </c>
    </row>
    <row r="35" spans="1:40">
      <c r="A35">
        <v>32</v>
      </c>
      <c r="B35" t="s">
        <v>30</v>
      </c>
      <c r="C35">
        <f t="shared" si="19"/>
        <v>8</v>
      </c>
      <c r="F35" t="str">
        <f t="shared" ca="1" si="23"/>
        <v>Hearts 8</v>
      </c>
      <c r="G35" t="str">
        <f t="shared" ca="1" si="24"/>
        <v>Hearts 5</v>
      </c>
      <c r="H35" t="str">
        <f t="shared" ca="1" si="25"/>
        <v>Hearts 9</v>
      </c>
      <c r="I35">
        <f t="shared" ca="1" si="26"/>
        <v>8</v>
      </c>
      <c r="J35">
        <f t="shared" ca="1" si="22"/>
        <v>5</v>
      </c>
      <c r="K35">
        <f t="shared" ca="1" si="22"/>
        <v>9</v>
      </c>
      <c r="L35">
        <f t="shared" ca="1" si="2"/>
        <v>22</v>
      </c>
      <c r="M35" s="14">
        <f t="shared" ca="1" si="8"/>
        <v>7.333333333333333</v>
      </c>
      <c r="O35" s="2" t="s">
        <v>56</v>
      </c>
      <c r="P35" s="2" t="s">
        <v>64</v>
      </c>
      <c r="Q35" s="2" t="s">
        <v>63</v>
      </c>
      <c r="R35" s="2">
        <v>7</v>
      </c>
      <c r="S35" s="2">
        <v>1</v>
      </c>
      <c r="T35" s="2">
        <v>2</v>
      </c>
      <c r="U35" s="2">
        <v>10</v>
      </c>
      <c r="V35" s="18">
        <v>3.3333333333333335</v>
      </c>
      <c r="X35">
        <v>20</v>
      </c>
      <c r="Y35" s="14">
        <v>6.666666666666667</v>
      </c>
      <c r="AH35" s="22">
        <f t="shared" si="9"/>
        <v>83.417777777777772</v>
      </c>
      <c r="AI35" s="14">
        <f t="shared" si="10"/>
        <v>9.2686419753086433</v>
      </c>
      <c r="AL35">
        <f t="shared" si="3"/>
        <v>7.2872057316300962E-2</v>
      </c>
      <c r="AN35">
        <f>IF(AND(U35&gt;=Summary!$B$183,Summary!$B$184&gt;=SampleData!U35),1,0)</f>
        <v>0</v>
      </c>
    </row>
    <row r="36" spans="1:40">
      <c r="A36">
        <v>33</v>
      </c>
      <c r="B36" t="s">
        <v>30</v>
      </c>
      <c r="C36">
        <f t="shared" si="19"/>
        <v>9</v>
      </c>
      <c r="F36" t="str">
        <f t="shared" ca="1" si="23"/>
        <v>Hearts 5</v>
      </c>
      <c r="G36" t="str">
        <f t="shared" ca="1" si="24"/>
        <v>Diamond 7</v>
      </c>
      <c r="H36" t="str">
        <f t="shared" ca="1" si="25"/>
        <v>Hearts 5</v>
      </c>
      <c r="I36">
        <f t="shared" ca="1" si="26"/>
        <v>5</v>
      </c>
      <c r="J36">
        <f t="shared" ca="1" si="22"/>
        <v>7</v>
      </c>
      <c r="K36">
        <f t="shared" ca="1" si="22"/>
        <v>5</v>
      </c>
      <c r="L36">
        <f t="shared" ca="1" si="2"/>
        <v>17</v>
      </c>
      <c r="M36" s="14">
        <f t="shared" ca="1" si="8"/>
        <v>5.666666666666667</v>
      </c>
      <c r="O36" s="2" t="s">
        <v>58</v>
      </c>
      <c r="P36" s="2" t="s">
        <v>56</v>
      </c>
      <c r="Q36" s="2" t="s">
        <v>59</v>
      </c>
      <c r="R36" s="2">
        <v>10</v>
      </c>
      <c r="S36" s="2">
        <v>7</v>
      </c>
      <c r="T36" s="2">
        <v>3</v>
      </c>
      <c r="U36" s="2">
        <v>20</v>
      </c>
      <c r="V36" s="18">
        <v>6.666666666666667</v>
      </c>
      <c r="X36">
        <v>21</v>
      </c>
      <c r="Y36" s="14">
        <v>7</v>
      </c>
      <c r="AH36" s="22">
        <f t="shared" ref="AH36:AH63" si="27">(U36-$U$65)^2</f>
        <v>0.75111111111111195</v>
      </c>
      <c r="AI36" s="14">
        <f t="shared" ref="AI36:AI63" si="28">(V36-$V$65)^2</f>
        <v>8.3456790123456706E-2</v>
      </c>
      <c r="AL36">
        <f t="shared" ref="AL36:AL63" si="29">NORMDIST(X36,$AL$1,$AL$2,FALSE)</f>
        <v>7.0742219982382198E-2</v>
      </c>
      <c r="AN36">
        <f>IF(AND(U36&gt;=Summary!$B$183,Summary!$B$184&gt;=SampleData!U36),1,0)</f>
        <v>1</v>
      </c>
    </row>
    <row r="37" spans="1:40">
      <c r="A37">
        <v>34</v>
      </c>
      <c r="B37" t="s">
        <v>31</v>
      </c>
      <c r="C37">
        <f t="shared" si="19"/>
        <v>9</v>
      </c>
      <c r="F37" t="str">
        <f t="shared" ca="1" si="23"/>
        <v>Space 10</v>
      </c>
      <c r="G37" t="str">
        <f t="shared" ca="1" si="24"/>
        <v>Hearts 8</v>
      </c>
      <c r="H37" t="str">
        <f t="shared" ca="1" si="25"/>
        <v>Space 10</v>
      </c>
      <c r="I37">
        <f t="shared" ca="1" si="26"/>
        <v>10</v>
      </c>
      <c r="J37">
        <f t="shared" ca="1" si="22"/>
        <v>8</v>
      </c>
      <c r="K37">
        <f t="shared" ca="1" si="22"/>
        <v>10</v>
      </c>
      <c r="L37">
        <f t="shared" ca="1" si="2"/>
        <v>28</v>
      </c>
      <c r="M37" s="14">
        <f t="shared" ca="1" si="8"/>
        <v>9.3333333333333339</v>
      </c>
      <c r="O37" s="2" t="s">
        <v>58</v>
      </c>
      <c r="P37" s="2" t="s">
        <v>58</v>
      </c>
      <c r="Q37" s="2" t="s">
        <v>61</v>
      </c>
      <c r="R37" s="2">
        <v>10</v>
      </c>
      <c r="S37" s="2">
        <v>10</v>
      </c>
      <c r="T37" s="2">
        <v>8</v>
      </c>
      <c r="U37" s="2">
        <v>28</v>
      </c>
      <c r="V37" s="18">
        <v>9.3333333333333339</v>
      </c>
      <c r="X37">
        <v>21</v>
      </c>
      <c r="Y37" s="14">
        <v>7</v>
      </c>
      <c r="AH37" s="22">
        <f t="shared" si="27"/>
        <v>78.617777777777789</v>
      </c>
      <c r="AI37" s="14">
        <f t="shared" si="28"/>
        <v>8.7353086419753101</v>
      </c>
      <c r="AL37">
        <f t="shared" si="29"/>
        <v>7.0742219982382198E-2</v>
      </c>
      <c r="AN37">
        <f>IF(AND(U37&gt;=Summary!$B$183,Summary!$B$184&gt;=SampleData!U37),1,0)</f>
        <v>1</v>
      </c>
    </row>
    <row r="38" spans="1:40">
      <c r="A38">
        <v>35</v>
      </c>
      <c r="B38" t="s">
        <v>32</v>
      </c>
      <c r="C38">
        <f t="shared" si="19"/>
        <v>9</v>
      </c>
      <c r="F38" t="str">
        <f t="shared" ref="F38:F53" ca="1" si="30">INDEX($B$4:$B$55,I38,1) &amp; " " &amp;  I38</f>
        <v>Hearts 1</v>
      </c>
      <c r="G38" t="str">
        <f t="shared" ref="G38:G53" ca="1" si="31">INDEX($B$4:$B$55,J38,1) &amp; " " &amp;  J38</f>
        <v>Space 2</v>
      </c>
      <c r="H38" t="str">
        <f t="shared" ref="H38:H53" ca="1" si="32">INDEX($B$4:$B$55,K38,1) &amp; " " &amp;  K38</f>
        <v>Hearts 9</v>
      </c>
      <c r="I38">
        <f t="shared" ca="1" si="26"/>
        <v>1</v>
      </c>
      <c r="J38">
        <f t="shared" ca="1" si="22"/>
        <v>2</v>
      </c>
      <c r="K38">
        <f t="shared" ca="1" si="22"/>
        <v>9</v>
      </c>
      <c r="L38">
        <f t="shared" ca="1" si="2"/>
        <v>12</v>
      </c>
      <c r="M38" s="14">
        <f t="shared" ca="1" si="8"/>
        <v>4</v>
      </c>
      <c r="O38" s="2" t="s">
        <v>59</v>
      </c>
      <c r="P38" s="2" t="s">
        <v>59</v>
      </c>
      <c r="Q38" s="2" t="s">
        <v>56</v>
      </c>
      <c r="R38" s="2">
        <v>3</v>
      </c>
      <c r="S38" s="2">
        <v>3</v>
      </c>
      <c r="T38" s="2">
        <v>7</v>
      </c>
      <c r="U38" s="2">
        <v>13</v>
      </c>
      <c r="V38" s="18">
        <v>4.333333333333333</v>
      </c>
      <c r="X38">
        <v>21</v>
      </c>
      <c r="Y38" s="14">
        <v>7</v>
      </c>
      <c r="AH38" s="22">
        <f t="shared" si="27"/>
        <v>37.617777777777775</v>
      </c>
      <c r="AI38" s="14">
        <f t="shared" si="28"/>
        <v>4.1797530864197565</v>
      </c>
      <c r="AL38">
        <f t="shared" si="29"/>
        <v>7.0742219982382198E-2</v>
      </c>
      <c r="AN38">
        <f>IF(AND(U38&gt;=Summary!$B$183,Summary!$B$184&gt;=SampleData!U38),1,0)</f>
        <v>1</v>
      </c>
    </row>
    <row r="39" spans="1:40">
      <c r="A39">
        <v>36</v>
      </c>
      <c r="B39" t="s">
        <v>30</v>
      </c>
      <c r="C39">
        <f t="shared" si="19"/>
        <v>9</v>
      </c>
      <c r="F39" t="str">
        <f t="shared" ca="1" si="30"/>
        <v>Space 10</v>
      </c>
      <c r="G39" t="str">
        <f t="shared" ca="1" si="31"/>
        <v>Hearts 4</v>
      </c>
      <c r="H39" t="str">
        <f t="shared" ca="1" si="32"/>
        <v>Hearts 4</v>
      </c>
      <c r="I39">
        <f t="shared" ca="1" si="26"/>
        <v>10</v>
      </c>
      <c r="J39">
        <f t="shared" ca="1" si="22"/>
        <v>4</v>
      </c>
      <c r="K39">
        <f t="shared" ca="1" si="22"/>
        <v>4</v>
      </c>
      <c r="L39">
        <f t="shared" ca="1" si="2"/>
        <v>18</v>
      </c>
      <c r="M39" s="14">
        <f t="shared" ca="1" si="8"/>
        <v>6</v>
      </c>
      <c r="O39" s="2" t="s">
        <v>58</v>
      </c>
      <c r="P39" s="2" t="s">
        <v>58</v>
      </c>
      <c r="Q39" s="2" t="s">
        <v>58</v>
      </c>
      <c r="R39" s="2">
        <v>10</v>
      </c>
      <c r="S39" s="2">
        <v>10</v>
      </c>
      <c r="T39" s="2">
        <v>10</v>
      </c>
      <c r="U39" s="2">
        <v>30</v>
      </c>
      <c r="V39" s="18">
        <v>10</v>
      </c>
      <c r="X39">
        <v>21</v>
      </c>
      <c r="Y39" s="14">
        <v>7</v>
      </c>
      <c r="AH39" s="22">
        <f t="shared" si="27"/>
        <v>118.08444444444446</v>
      </c>
      <c r="AI39" s="14">
        <f t="shared" si="28"/>
        <v>13.120493827160491</v>
      </c>
      <c r="AL39">
        <f t="shared" si="29"/>
        <v>7.0742219982382198E-2</v>
      </c>
      <c r="AN39">
        <f>IF(AND(U39&gt;=Summary!$B$183,Summary!$B$184&gt;=SampleData!U39),1,0)</f>
        <v>0</v>
      </c>
    </row>
    <row r="40" spans="1:40">
      <c r="A40">
        <v>37</v>
      </c>
      <c r="B40" t="s">
        <v>30</v>
      </c>
      <c r="C40">
        <f t="shared" si="19"/>
        <v>10</v>
      </c>
      <c r="F40" t="str">
        <f t="shared" ca="1" si="30"/>
        <v>Hearts 1</v>
      </c>
      <c r="G40" t="str">
        <f t="shared" ca="1" si="31"/>
        <v>Hearts 8</v>
      </c>
      <c r="H40" t="str">
        <f t="shared" ca="1" si="32"/>
        <v>Hearts 8</v>
      </c>
      <c r="I40">
        <f t="shared" ca="1" si="26"/>
        <v>1</v>
      </c>
      <c r="J40">
        <f t="shared" ca="1" si="22"/>
        <v>8</v>
      </c>
      <c r="K40">
        <f t="shared" ca="1" si="22"/>
        <v>8</v>
      </c>
      <c r="L40">
        <f t="shared" ca="1" si="2"/>
        <v>17</v>
      </c>
      <c r="M40" s="14">
        <f t="shared" ca="1" si="8"/>
        <v>5.666666666666667</v>
      </c>
      <c r="O40" s="2" t="s">
        <v>63</v>
      </c>
      <c r="P40" s="2" t="s">
        <v>63</v>
      </c>
      <c r="Q40" s="2" t="s">
        <v>55</v>
      </c>
      <c r="R40" s="2">
        <v>2</v>
      </c>
      <c r="S40" s="2">
        <v>2</v>
      </c>
      <c r="T40" s="2">
        <v>5</v>
      </c>
      <c r="U40" s="2">
        <v>9</v>
      </c>
      <c r="V40" s="18">
        <v>3</v>
      </c>
      <c r="X40">
        <v>22</v>
      </c>
      <c r="Y40" s="14">
        <v>7.333333333333333</v>
      </c>
      <c r="AH40" s="22">
        <f t="shared" si="27"/>
        <v>102.68444444444444</v>
      </c>
      <c r="AI40" s="14">
        <f t="shared" si="28"/>
        <v>11.409382716049386</v>
      </c>
      <c r="AL40">
        <f t="shared" si="29"/>
        <v>6.6410031449550072E-2</v>
      </c>
      <c r="AN40">
        <f>IF(AND(U40&gt;=Summary!$B$183,Summary!$B$184&gt;=SampleData!U40),1,0)</f>
        <v>0</v>
      </c>
    </row>
    <row r="41" spans="1:40">
      <c r="A41">
        <v>38</v>
      </c>
      <c r="B41" t="s">
        <v>31</v>
      </c>
      <c r="C41">
        <f t="shared" si="19"/>
        <v>10</v>
      </c>
      <c r="F41" t="str">
        <f t="shared" ca="1" si="30"/>
        <v>Hearts 8</v>
      </c>
      <c r="G41" t="str">
        <f t="shared" ca="1" si="31"/>
        <v>Hearts 5</v>
      </c>
      <c r="H41" t="str">
        <f t="shared" ca="1" si="32"/>
        <v>Space 10</v>
      </c>
      <c r="I41">
        <f t="shared" ca="1" si="26"/>
        <v>8</v>
      </c>
      <c r="J41">
        <f t="shared" ca="1" si="22"/>
        <v>5</v>
      </c>
      <c r="K41">
        <f t="shared" ca="1" si="22"/>
        <v>10</v>
      </c>
      <c r="L41">
        <f t="shared" ca="1" si="2"/>
        <v>23</v>
      </c>
      <c r="M41" s="14">
        <f t="shared" ca="1" si="8"/>
        <v>7.666666666666667</v>
      </c>
      <c r="O41" s="2" t="s">
        <v>56</v>
      </c>
      <c r="P41" s="2" t="s">
        <v>57</v>
      </c>
      <c r="Q41" s="2" t="s">
        <v>60</v>
      </c>
      <c r="R41" s="2">
        <v>7</v>
      </c>
      <c r="S41" s="2">
        <v>6</v>
      </c>
      <c r="T41" s="2">
        <v>4</v>
      </c>
      <c r="U41" s="2">
        <v>17</v>
      </c>
      <c r="V41" s="18">
        <v>5.666666666666667</v>
      </c>
      <c r="X41">
        <v>22</v>
      </c>
      <c r="Y41" s="14">
        <v>7.333333333333333</v>
      </c>
      <c r="AH41" s="22">
        <f t="shared" si="27"/>
        <v>4.5511111111111093</v>
      </c>
      <c r="AI41" s="14">
        <f t="shared" si="28"/>
        <v>0.50567901234567925</v>
      </c>
      <c r="AL41">
        <f t="shared" si="29"/>
        <v>6.6410031449550072E-2</v>
      </c>
      <c r="AN41">
        <f>IF(AND(U41&gt;=Summary!$B$183,Summary!$B$184&gt;=SampleData!U41),1,0)</f>
        <v>1</v>
      </c>
    </row>
    <row r="42" spans="1:40">
      <c r="A42">
        <v>39</v>
      </c>
      <c r="B42" t="s">
        <v>32</v>
      </c>
      <c r="C42">
        <f t="shared" si="19"/>
        <v>10</v>
      </c>
      <c r="F42" t="str">
        <f t="shared" ca="1" si="30"/>
        <v>Hearts 1</v>
      </c>
      <c r="G42" t="str">
        <f t="shared" ca="1" si="31"/>
        <v>Space 2</v>
      </c>
      <c r="H42" t="str">
        <f t="shared" ca="1" si="32"/>
        <v>Hearts 9</v>
      </c>
      <c r="I42">
        <f t="shared" ca="1" si="26"/>
        <v>1</v>
      </c>
      <c r="J42">
        <f t="shared" ca="1" si="22"/>
        <v>2</v>
      </c>
      <c r="K42">
        <f t="shared" ca="1" si="22"/>
        <v>9</v>
      </c>
      <c r="L42">
        <f t="shared" ca="1" si="2"/>
        <v>12</v>
      </c>
      <c r="M42" s="14">
        <f t="shared" ca="1" si="8"/>
        <v>4</v>
      </c>
      <c r="O42" s="2" t="s">
        <v>60</v>
      </c>
      <c r="P42" s="2" t="s">
        <v>64</v>
      </c>
      <c r="Q42" s="2" t="s">
        <v>58</v>
      </c>
      <c r="R42" s="2">
        <v>4</v>
      </c>
      <c r="S42" s="2">
        <v>1</v>
      </c>
      <c r="T42" s="2">
        <v>10</v>
      </c>
      <c r="U42" s="2">
        <v>15</v>
      </c>
      <c r="V42" s="18">
        <v>5</v>
      </c>
      <c r="X42">
        <v>22</v>
      </c>
      <c r="Y42" s="14">
        <v>7.333333333333333</v>
      </c>
      <c r="AH42" s="22">
        <f t="shared" si="27"/>
        <v>17.08444444444444</v>
      </c>
      <c r="AI42" s="14">
        <f t="shared" si="28"/>
        <v>1.8982716049382728</v>
      </c>
      <c r="AL42">
        <f t="shared" si="29"/>
        <v>6.6410031449550072E-2</v>
      </c>
      <c r="AN42">
        <f>IF(AND(U42&gt;=Summary!$B$183,Summary!$B$184&gt;=SampleData!U42),1,0)</f>
        <v>1</v>
      </c>
    </row>
    <row r="43" spans="1:40">
      <c r="A43">
        <v>40</v>
      </c>
      <c r="B43" t="s">
        <v>30</v>
      </c>
      <c r="C43">
        <f t="shared" si="19"/>
        <v>10</v>
      </c>
      <c r="F43" t="str">
        <f t="shared" ca="1" si="30"/>
        <v>Space 2</v>
      </c>
      <c r="G43" t="str">
        <f t="shared" ca="1" si="31"/>
        <v>Space 10</v>
      </c>
      <c r="H43" t="str">
        <f t="shared" ca="1" si="32"/>
        <v>Space 2</v>
      </c>
      <c r="I43">
        <f t="shared" ca="1" si="26"/>
        <v>2</v>
      </c>
      <c r="J43">
        <f t="shared" ca="1" si="22"/>
        <v>10</v>
      </c>
      <c r="K43">
        <f t="shared" ca="1" si="22"/>
        <v>2</v>
      </c>
      <c r="L43">
        <f t="shared" ca="1" si="2"/>
        <v>14</v>
      </c>
      <c r="M43" s="14">
        <f t="shared" ca="1" si="8"/>
        <v>4.666666666666667</v>
      </c>
      <c r="O43" s="2" t="s">
        <v>58</v>
      </c>
      <c r="P43" s="2" t="s">
        <v>58</v>
      </c>
      <c r="Q43" s="2" t="s">
        <v>58</v>
      </c>
      <c r="R43" s="2">
        <v>10</v>
      </c>
      <c r="S43" s="2">
        <v>10</v>
      </c>
      <c r="T43" s="2">
        <v>10</v>
      </c>
      <c r="U43" s="2">
        <v>30</v>
      </c>
      <c r="V43" s="18">
        <v>10</v>
      </c>
      <c r="X43">
        <v>22</v>
      </c>
      <c r="Y43" s="14">
        <v>7.333333333333333</v>
      </c>
      <c r="AH43" s="22">
        <f t="shared" si="27"/>
        <v>118.08444444444446</v>
      </c>
      <c r="AI43" s="14">
        <f t="shared" si="28"/>
        <v>13.120493827160491</v>
      </c>
      <c r="AL43">
        <f t="shared" si="29"/>
        <v>6.6410031449550072E-2</v>
      </c>
      <c r="AN43">
        <f>IF(AND(U43&gt;=Summary!$B$183,Summary!$B$184&gt;=SampleData!U43),1,0)</f>
        <v>0</v>
      </c>
    </row>
    <row r="44" spans="1:40">
      <c r="A44">
        <v>41</v>
      </c>
      <c r="B44" t="s">
        <v>41</v>
      </c>
      <c r="C44">
        <v>10</v>
      </c>
      <c r="F44" t="str">
        <f t="shared" ca="1" si="30"/>
        <v>Diamond 7</v>
      </c>
      <c r="G44" t="str">
        <f t="shared" ca="1" si="31"/>
        <v>Diamond 7</v>
      </c>
      <c r="H44" t="str">
        <f t="shared" ca="1" si="32"/>
        <v>Hearts 9</v>
      </c>
      <c r="I44">
        <f t="shared" ca="1" si="26"/>
        <v>7</v>
      </c>
      <c r="J44">
        <f t="shared" ca="1" si="22"/>
        <v>7</v>
      </c>
      <c r="K44">
        <f t="shared" ca="1" si="22"/>
        <v>9</v>
      </c>
      <c r="L44">
        <f t="shared" ca="1" si="2"/>
        <v>23</v>
      </c>
      <c r="M44" s="14">
        <f t="shared" ca="1" si="8"/>
        <v>7.666666666666667</v>
      </c>
      <c r="O44" s="2" t="s">
        <v>58</v>
      </c>
      <c r="P44" s="2" t="s">
        <v>63</v>
      </c>
      <c r="Q44" s="2" t="s">
        <v>58</v>
      </c>
      <c r="R44" s="2">
        <v>10</v>
      </c>
      <c r="S44" s="2">
        <v>2</v>
      </c>
      <c r="T44" s="2">
        <v>10</v>
      </c>
      <c r="U44" s="2">
        <v>22</v>
      </c>
      <c r="V44" s="18">
        <v>7.333333333333333</v>
      </c>
      <c r="X44">
        <v>22</v>
      </c>
      <c r="Y44" s="14">
        <v>7.333333333333333</v>
      </c>
      <c r="AH44" s="22">
        <f t="shared" si="27"/>
        <v>8.2177777777777798</v>
      </c>
      <c r="AI44" s="14">
        <f t="shared" si="28"/>
        <v>0.91308641975308502</v>
      </c>
      <c r="AL44">
        <f t="shared" si="29"/>
        <v>6.6410031449550072E-2</v>
      </c>
      <c r="AN44">
        <f>IF(AND(U44&gt;=Summary!$B$183,Summary!$B$184&gt;=SampleData!U44),1,0)</f>
        <v>1</v>
      </c>
    </row>
    <row r="45" spans="1:40">
      <c r="A45">
        <v>42</v>
      </c>
      <c r="B45" t="s">
        <v>43</v>
      </c>
      <c r="C45">
        <v>10</v>
      </c>
      <c r="F45" t="str">
        <f t="shared" ca="1" si="30"/>
        <v>Hearts 4</v>
      </c>
      <c r="G45" t="str">
        <f t="shared" ca="1" si="31"/>
        <v>Diamond 3</v>
      </c>
      <c r="H45" t="str">
        <f t="shared" ca="1" si="32"/>
        <v>Diamond 3</v>
      </c>
      <c r="I45">
        <f t="shared" ca="1" si="26"/>
        <v>4</v>
      </c>
      <c r="J45">
        <f t="shared" ca="1" si="22"/>
        <v>3</v>
      </c>
      <c r="K45">
        <f t="shared" ca="1" si="22"/>
        <v>3</v>
      </c>
      <c r="L45">
        <f t="shared" ca="1" si="2"/>
        <v>10</v>
      </c>
      <c r="M45" s="14">
        <f t="shared" ca="1" si="8"/>
        <v>3.3333333333333335</v>
      </c>
      <c r="O45" s="2" t="s">
        <v>56</v>
      </c>
      <c r="P45" s="2" t="s">
        <v>57</v>
      </c>
      <c r="Q45" s="2" t="s">
        <v>58</v>
      </c>
      <c r="R45" s="2">
        <v>7</v>
      </c>
      <c r="S45" s="2">
        <v>6</v>
      </c>
      <c r="T45" s="2">
        <v>10</v>
      </c>
      <c r="U45" s="2">
        <v>23</v>
      </c>
      <c r="V45" s="18">
        <v>7.666666666666667</v>
      </c>
      <c r="X45">
        <v>22</v>
      </c>
      <c r="Y45" s="14">
        <v>7.333333333333333</v>
      </c>
      <c r="AH45" s="22">
        <f t="shared" si="27"/>
        <v>14.951111111111114</v>
      </c>
      <c r="AI45" s="14">
        <f t="shared" si="28"/>
        <v>1.6612345679012341</v>
      </c>
      <c r="AL45">
        <f t="shared" si="29"/>
        <v>6.6410031449550072E-2</v>
      </c>
      <c r="AN45">
        <f>IF(AND(U45&gt;=Summary!$B$183,Summary!$B$184&gt;=SampleData!U45),1,0)</f>
        <v>1</v>
      </c>
    </row>
    <row r="46" spans="1:40">
      <c r="A46">
        <v>43</v>
      </c>
      <c r="B46" t="s">
        <v>42</v>
      </c>
      <c r="C46">
        <v>10</v>
      </c>
      <c r="F46" t="str">
        <f t="shared" ca="1" si="30"/>
        <v>Space 10</v>
      </c>
      <c r="G46" t="str">
        <f t="shared" ca="1" si="31"/>
        <v>Space 10</v>
      </c>
      <c r="H46" t="str">
        <f t="shared" ca="1" si="32"/>
        <v>Hearts 9</v>
      </c>
      <c r="I46">
        <f t="shared" ca="1" si="26"/>
        <v>10</v>
      </c>
      <c r="J46">
        <f t="shared" ca="1" si="22"/>
        <v>10</v>
      </c>
      <c r="K46">
        <f t="shared" ca="1" si="22"/>
        <v>9</v>
      </c>
      <c r="L46">
        <f t="shared" ca="1" si="2"/>
        <v>29</v>
      </c>
      <c r="M46" s="14">
        <f t="shared" ca="1" si="8"/>
        <v>9.6666666666666661</v>
      </c>
      <c r="O46" s="2" t="s">
        <v>58</v>
      </c>
      <c r="P46" s="2" t="s">
        <v>56</v>
      </c>
      <c r="Q46" s="2" t="s">
        <v>55</v>
      </c>
      <c r="R46" s="2">
        <v>10</v>
      </c>
      <c r="S46" s="2">
        <v>7</v>
      </c>
      <c r="T46" s="2">
        <v>5</v>
      </c>
      <c r="U46" s="2">
        <v>22</v>
      </c>
      <c r="V46" s="18">
        <v>7.333333333333333</v>
      </c>
      <c r="X46">
        <v>22</v>
      </c>
      <c r="Y46" s="14">
        <v>7.333333333333333</v>
      </c>
      <c r="AH46" s="22">
        <f t="shared" si="27"/>
        <v>8.2177777777777798</v>
      </c>
      <c r="AI46" s="14">
        <f t="shared" si="28"/>
        <v>0.91308641975308502</v>
      </c>
      <c r="AL46">
        <f t="shared" si="29"/>
        <v>6.6410031449550072E-2</v>
      </c>
      <c r="AN46">
        <f>IF(AND(U46&gt;=Summary!$B$183,Summary!$B$184&gt;=SampleData!U46),1,0)</f>
        <v>1</v>
      </c>
    </row>
    <row r="47" spans="1:40">
      <c r="A47">
        <v>44</v>
      </c>
      <c r="B47" t="s">
        <v>41</v>
      </c>
      <c r="C47">
        <v>10</v>
      </c>
      <c r="F47" t="str">
        <f t="shared" ca="1" si="30"/>
        <v>Diamond 3</v>
      </c>
      <c r="G47" t="str">
        <f t="shared" ca="1" si="31"/>
        <v>Space 2</v>
      </c>
      <c r="H47" t="str">
        <f t="shared" ca="1" si="32"/>
        <v>Hearts 9</v>
      </c>
      <c r="I47">
        <f t="shared" ca="1" si="26"/>
        <v>3</v>
      </c>
      <c r="J47">
        <f t="shared" ca="1" si="22"/>
        <v>2</v>
      </c>
      <c r="K47">
        <f t="shared" ca="1" si="22"/>
        <v>9</v>
      </c>
      <c r="L47">
        <f t="shared" ca="1" si="2"/>
        <v>14</v>
      </c>
      <c r="M47" s="14">
        <f t="shared" ca="1" si="8"/>
        <v>4.666666666666667</v>
      </c>
      <c r="O47" s="2" t="s">
        <v>62</v>
      </c>
      <c r="P47" s="2" t="s">
        <v>59</v>
      </c>
      <c r="Q47" s="2" t="s">
        <v>59</v>
      </c>
      <c r="R47" s="2">
        <v>9</v>
      </c>
      <c r="S47" s="2">
        <v>3</v>
      </c>
      <c r="T47" s="2">
        <v>3</v>
      </c>
      <c r="U47" s="2">
        <v>15</v>
      </c>
      <c r="V47" s="18">
        <v>5</v>
      </c>
      <c r="X47">
        <v>22</v>
      </c>
      <c r="Y47" s="14">
        <v>7.333333333333333</v>
      </c>
      <c r="AH47" s="22">
        <f t="shared" si="27"/>
        <v>17.08444444444444</v>
      </c>
      <c r="AI47" s="14">
        <f t="shared" si="28"/>
        <v>1.8982716049382728</v>
      </c>
      <c r="AL47">
        <f t="shared" si="29"/>
        <v>6.6410031449550072E-2</v>
      </c>
      <c r="AN47">
        <f>IF(AND(U47&gt;=Summary!$B$183,Summary!$B$184&gt;=SampleData!U47),1,0)</f>
        <v>1</v>
      </c>
    </row>
    <row r="48" spans="1:40">
      <c r="A48">
        <v>45</v>
      </c>
      <c r="B48" t="s">
        <v>38</v>
      </c>
      <c r="C48">
        <v>10</v>
      </c>
      <c r="F48" t="str">
        <f t="shared" ca="1" si="30"/>
        <v>Hearts 1</v>
      </c>
      <c r="G48" t="str">
        <f t="shared" ca="1" si="31"/>
        <v>Space 10</v>
      </c>
      <c r="H48" t="str">
        <f t="shared" ca="1" si="32"/>
        <v>Hearts 8</v>
      </c>
      <c r="I48">
        <f t="shared" ca="1" si="26"/>
        <v>1</v>
      </c>
      <c r="J48">
        <f t="shared" ca="1" si="26"/>
        <v>10</v>
      </c>
      <c r="K48">
        <f t="shared" ca="1" si="26"/>
        <v>8</v>
      </c>
      <c r="L48">
        <f t="shared" ca="1" si="2"/>
        <v>19</v>
      </c>
      <c r="M48" s="14">
        <f t="shared" ca="1" si="8"/>
        <v>6.333333333333333</v>
      </c>
      <c r="O48" s="2" t="s">
        <v>58</v>
      </c>
      <c r="P48" s="2" t="s">
        <v>63</v>
      </c>
      <c r="Q48" s="2" t="s">
        <v>63</v>
      </c>
      <c r="R48" s="2">
        <v>10</v>
      </c>
      <c r="S48" s="2">
        <v>2</v>
      </c>
      <c r="T48" s="2">
        <v>2</v>
      </c>
      <c r="U48" s="2">
        <v>14</v>
      </c>
      <c r="V48" s="18">
        <v>4.666666666666667</v>
      </c>
      <c r="X48">
        <v>23</v>
      </c>
      <c r="Y48" s="14">
        <v>7.666666666666667</v>
      </c>
      <c r="AH48" s="22">
        <f t="shared" si="27"/>
        <v>26.351111111111106</v>
      </c>
      <c r="AI48" s="14">
        <f t="shared" si="28"/>
        <v>2.9279012345679019</v>
      </c>
      <c r="AL48">
        <f t="shared" si="29"/>
        <v>6.0287327894367054E-2</v>
      </c>
      <c r="AN48">
        <f>IF(AND(U48&gt;=Summary!$B$183,Summary!$B$184&gt;=SampleData!U48),1,0)</f>
        <v>1</v>
      </c>
    </row>
    <row r="49" spans="1:40">
      <c r="A49">
        <v>46</v>
      </c>
      <c r="B49" t="s">
        <v>40</v>
      </c>
      <c r="C49">
        <v>10</v>
      </c>
      <c r="F49" t="str">
        <f t="shared" ca="1" si="30"/>
        <v>Hearts 1</v>
      </c>
      <c r="G49" t="str">
        <f t="shared" ca="1" si="31"/>
        <v>Hearts 1</v>
      </c>
      <c r="H49" t="str">
        <f t="shared" ca="1" si="32"/>
        <v>Diamond 3</v>
      </c>
      <c r="I49">
        <f t="shared" ca="1" si="26"/>
        <v>1</v>
      </c>
      <c r="J49">
        <f t="shared" ca="1" si="26"/>
        <v>1</v>
      </c>
      <c r="K49">
        <f t="shared" ca="1" si="26"/>
        <v>3</v>
      </c>
      <c r="L49">
        <f t="shared" ca="1" si="2"/>
        <v>5</v>
      </c>
      <c r="M49" s="14">
        <f t="shared" ca="1" si="8"/>
        <v>1.6666666666666667</v>
      </c>
      <c r="O49" s="2" t="s">
        <v>62</v>
      </c>
      <c r="P49" s="2" t="s">
        <v>59</v>
      </c>
      <c r="Q49" s="2" t="s">
        <v>58</v>
      </c>
      <c r="R49" s="2">
        <v>9</v>
      </c>
      <c r="S49" s="2">
        <v>3</v>
      </c>
      <c r="T49" s="2">
        <v>10</v>
      </c>
      <c r="U49" s="2">
        <v>22</v>
      </c>
      <c r="V49" s="18">
        <v>7.333333333333333</v>
      </c>
      <c r="X49">
        <v>23</v>
      </c>
      <c r="Y49" s="14">
        <v>7.666666666666667</v>
      </c>
      <c r="AH49" s="22">
        <f t="shared" si="27"/>
        <v>8.2177777777777798</v>
      </c>
      <c r="AI49" s="14">
        <f t="shared" si="28"/>
        <v>0.91308641975308502</v>
      </c>
      <c r="AL49">
        <f t="shared" si="29"/>
        <v>6.0287327894367054E-2</v>
      </c>
      <c r="AN49">
        <f>IF(AND(U49&gt;=Summary!$B$183,Summary!$B$184&gt;=SampleData!U49),1,0)</f>
        <v>1</v>
      </c>
    </row>
    <row r="50" spans="1:40">
      <c r="A50">
        <v>47</v>
      </c>
      <c r="B50" t="s">
        <v>39</v>
      </c>
      <c r="C50">
        <v>10</v>
      </c>
      <c r="F50" t="str">
        <f t="shared" ca="1" si="30"/>
        <v>Diamond 7</v>
      </c>
      <c r="G50" t="str">
        <f t="shared" ca="1" si="31"/>
        <v>Space 10</v>
      </c>
      <c r="H50" t="str">
        <f t="shared" ca="1" si="32"/>
        <v>Space 2</v>
      </c>
      <c r="I50">
        <f t="shared" ref="I50:K63" ca="1" si="33">INDEX($C$4:$C$55,RANDBETWEEN($A$4,$A$55),1)</f>
        <v>7</v>
      </c>
      <c r="J50">
        <f t="shared" ca="1" si="33"/>
        <v>10</v>
      </c>
      <c r="K50">
        <f t="shared" ca="1" si="33"/>
        <v>2</v>
      </c>
      <c r="L50">
        <f t="shared" ca="1" si="2"/>
        <v>19</v>
      </c>
      <c r="M50" s="14">
        <f t="shared" ca="1" si="8"/>
        <v>6.333333333333333</v>
      </c>
      <c r="O50" s="2" t="s">
        <v>60</v>
      </c>
      <c r="P50" s="2" t="s">
        <v>61</v>
      </c>
      <c r="Q50" s="2" t="s">
        <v>58</v>
      </c>
      <c r="R50" s="2">
        <v>4</v>
      </c>
      <c r="S50" s="2">
        <v>8</v>
      </c>
      <c r="T50" s="2">
        <v>10</v>
      </c>
      <c r="U50" s="2">
        <v>22</v>
      </c>
      <c r="V50" s="18">
        <v>7.333333333333333</v>
      </c>
      <c r="X50">
        <v>24</v>
      </c>
      <c r="Y50" s="14">
        <v>8</v>
      </c>
      <c r="AH50" s="22">
        <f t="shared" si="27"/>
        <v>8.2177777777777798</v>
      </c>
      <c r="AI50" s="14">
        <f t="shared" si="28"/>
        <v>0.91308641975308502</v>
      </c>
      <c r="AL50">
        <f t="shared" si="29"/>
        <v>5.2924374277454E-2</v>
      </c>
      <c r="AN50">
        <f>IF(AND(U50&gt;=Summary!$B$183,Summary!$B$184&gt;=SampleData!U50),1,0)</f>
        <v>1</v>
      </c>
    </row>
    <row r="51" spans="1:40">
      <c r="A51">
        <v>48</v>
      </c>
      <c r="B51" t="s">
        <v>38</v>
      </c>
      <c r="C51">
        <v>10</v>
      </c>
      <c r="F51" t="str">
        <f t="shared" ca="1" si="30"/>
        <v>Hearts 9</v>
      </c>
      <c r="G51" t="str">
        <f t="shared" ca="1" si="31"/>
        <v>Space 6</v>
      </c>
      <c r="H51" t="str">
        <f t="shared" ca="1" si="32"/>
        <v>Diamond 7</v>
      </c>
      <c r="I51">
        <f t="shared" ca="1" si="33"/>
        <v>9</v>
      </c>
      <c r="J51">
        <f t="shared" ca="1" si="33"/>
        <v>6</v>
      </c>
      <c r="K51">
        <f t="shared" ca="1" si="33"/>
        <v>7</v>
      </c>
      <c r="L51">
        <f t="shared" ca="1" si="2"/>
        <v>22</v>
      </c>
      <c r="M51" s="14">
        <f t="shared" ca="1" si="8"/>
        <v>7.333333333333333</v>
      </c>
      <c r="O51" s="2" t="s">
        <v>64</v>
      </c>
      <c r="P51" s="2" t="s">
        <v>64</v>
      </c>
      <c r="Q51" s="2" t="s">
        <v>60</v>
      </c>
      <c r="R51" s="2">
        <v>1</v>
      </c>
      <c r="S51" s="2">
        <v>1</v>
      </c>
      <c r="T51" s="2">
        <v>4</v>
      </c>
      <c r="U51" s="2">
        <v>6</v>
      </c>
      <c r="V51" s="18">
        <v>2</v>
      </c>
      <c r="X51">
        <v>24</v>
      </c>
      <c r="Y51" s="14">
        <v>8</v>
      </c>
      <c r="AH51" s="22">
        <f t="shared" si="27"/>
        <v>172.48444444444442</v>
      </c>
      <c r="AI51" s="14">
        <f t="shared" si="28"/>
        <v>19.164938271604942</v>
      </c>
      <c r="AL51">
        <f t="shared" si="29"/>
        <v>5.2924374277454E-2</v>
      </c>
      <c r="AN51">
        <f>IF(AND(U51&gt;=Summary!$B$183,Summary!$B$184&gt;=SampleData!U51),1,0)</f>
        <v>0</v>
      </c>
    </row>
    <row r="52" spans="1:40">
      <c r="A52">
        <v>49</v>
      </c>
      <c r="B52" t="s">
        <v>35</v>
      </c>
      <c r="C52">
        <v>10</v>
      </c>
      <c r="F52" t="str">
        <f t="shared" ca="1" si="30"/>
        <v>Space 10</v>
      </c>
      <c r="G52" t="str">
        <f t="shared" ca="1" si="31"/>
        <v>Hearts 8</v>
      </c>
      <c r="H52" t="str">
        <f t="shared" ca="1" si="32"/>
        <v>Hearts 1</v>
      </c>
      <c r="I52">
        <f t="shared" ca="1" si="33"/>
        <v>10</v>
      </c>
      <c r="J52">
        <f t="shared" ca="1" si="33"/>
        <v>8</v>
      </c>
      <c r="K52">
        <f t="shared" ca="1" si="33"/>
        <v>1</v>
      </c>
      <c r="L52">
        <f t="shared" ca="1" si="2"/>
        <v>19</v>
      </c>
      <c r="M52" s="14">
        <f t="shared" ca="1" si="8"/>
        <v>6.333333333333333</v>
      </c>
      <c r="O52" s="2" t="s">
        <v>55</v>
      </c>
      <c r="P52" s="2" t="s">
        <v>58</v>
      </c>
      <c r="Q52" s="2" t="s">
        <v>55</v>
      </c>
      <c r="R52" s="2">
        <v>5</v>
      </c>
      <c r="S52" s="2">
        <v>10</v>
      </c>
      <c r="T52" s="2">
        <v>5</v>
      </c>
      <c r="U52" s="2">
        <v>20</v>
      </c>
      <c r="V52" s="18">
        <v>6.666666666666667</v>
      </c>
      <c r="X52">
        <v>24</v>
      </c>
      <c r="Y52" s="14">
        <v>8</v>
      </c>
      <c r="AH52" s="22">
        <f t="shared" si="27"/>
        <v>0.75111111111111195</v>
      </c>
      <c r="AI52" s="14">
        <f t="shared" si="28"/>
        <v>8.3456790123456706E-2</v>
      </c>
      <c r="AL52">
        <f t="shared" si="29"/>
        <v>5.2924374277454E-2</v>
      </c>
      <c r="AN52">
        <f>IF(AND(U52&gt;=Summary!$B$183,Summary!$B$184&gt;=SampleData!U52),1,0)</f>
        <v>1</v>
      </c>
    </row>
    <row r="53" spans="1:40">
      <c r="A53">
        <v>50</v>
      </c>
      <c r="B53" t="s">
        <v>37</v>
      </c>
      <c r="C53">
        <v>10</v>
      </c>
      <c r="F53" t="str">
        <f t="shared" ca="1" si="30"/>
        <v>Diamond 7</v>
      </c>
      <c r="G53" t="str">
        <f t="shared" ca="1" si="31"/>
        <v>Space 10</v>
      </c>
      <c r="H53" t="str">
        <f t="shared" ca="1" si="32"/>
        <v>Hearts 5</v>
      </c>
      <c r="I53">
        <f t="shared" ca="1" si="33"/>
        <v>7</v>
      </c>
      <c r="J53">
        <f t="shared" ca="1" si="33"/>
        <v>10</v>
      </c>
      <c r="K53">
        <f t="shared" ca="1" si="33"/>
        <v>5</v>
      </c>
      <c r="L53">
        <f t="shared" ca="1" si="2"/>
        <v>22</v>
      </c>
      <c r="M53" s="14">
        <f t="shared" ca="1" si="8"/>
        <v>7.333333333333333</v>
      </c>
      <c r="O53" s="2" t="s">
        <v>57</v>
      </c>
      <c r="P53" s="2" t="s">
        <v>58</v>
      </c>
      <c r="Q53" s="2" t="s">
        <v>59</v>
      </c>
      <c r="R53" s="2">
        <v>6</v>
      </c>
      <c r="S53" s="2">
        <v>10</v>
      </c>
      <c r="T53" s="2">
        <v>3</v>
      </c>
      <c r="U53" s="2">
        <v>19</v>
      </c>
      <c r="V53" s="18">
        <v>6.333333333333333</v>
      </c>
      <c r="X53">
        <v>24</v>
      </c>
      <c r="Y53" s="14">
        <v>8</v>
      </c>
      <c r="AH53" s="22">
        <f t="shared" si="27"/>
        <v>1.7777777777777653E-2</v>
      </c>
      <c r="AI53" s="14">
        <f t="shared" si="28"/>
        <v>1.9753086419753737E-3</v>
      </c>
      <c r="AL53">
        <f t="shared" si="29"/>
        <v>5.2924374277454E-2</v>
      </c>
      <c r="AN53">
        <f>IF(AND(U53&gt;=Summary!$B$183,Summary!$B$184&gt;=SampleData!U53),1,0)</f>
        <v>1</v>
      </c>
    </row>
    <row r="54" spans="1:40">
      <c r="A54">
        <v>51</v>
      </c>
      <c r="B54" t="s">
        <v>36</v>
      </c>
      <c r="C54">
        <v>10</v>
      </c>
      <c r="F54" t="str">
        <f t="shared" ref="F54:F63" ca="1" si="34">INDEX($B$4:$B$55,I54,1) &amp; " " &amp;  I54</f>
        <v>Hearts 1</v>
      </c>
      <c r="G54" t="str">
        <f t="shared" ref="G54:G63" ca="1" si="35">INDEX($B$4:$B$55,J54,1) &amp; " " &amp;  J54</f>
        <v>Space 10</v>
      </c>
      <c r="H54" t="str">
        <f t="shared" ref="H54:H63" ca="1" si="36">INDEX($B$4:$B$55,K54,1) &amp; " " &amp;  K54</f>
        <v>Space 6</v>
      </c>
      <c r="I54">
        <f t="shared" ca="1" si="33"/>
        <v>1</v>
      </c>
      <c r="J54">
        <f t="shared" ca="1" si="33"/>
        <v>10</v>
      </c>
      <c r="K54">
        <f t="shared" ca="1" si="33"/>
        <v>6</v>
      </c>
      <c r="L54">
        <f t="shared" ca="1" si="2"/>
        <v>17</v>
      </c>
      <c r="M54" s="14">
        <f t="shared" ca="1" si="8"/>
        <v>5.666666666666667</v>
      </c>
      <c r="O54" s="2" t="s">
        <v>61</v>
      </c>
      <c r="P54" s="2" t="s">
        <v>55</v>
      </c>
      <c r="Q54" s="2" t="s">
        <v>64</v>
      </c>
      <c r="R54" s="2">
        <v>8</v>
      </c>
      <c r="S54" s="2">
        <v>5</v>
      </c>
      <c r="T54" s="2">
        <v>1</v>
      </c>
      <c r="U54" s="2">
        <v>14</v>
      </c>
      <c r="V54" s="18">
        <v>4.666666666666667</v>
      </c>
      <c r="X54">
        <v>24</v>
      </c>
      <c r="Y54" s="14">
        <v>8</v>
      </c>
      <c r="AH54" s="22">
        <f t="shared" si="27"/>
        <v>26.351111111111106</v>
      </c>
      <c r="AI54" s="14">
        <f t="shared" si="28"/>
        <v>2.9279012345679019</v>
      </c>
      <c r="AL54">
        <f t="shared" si="29"/>
        <v>5.2924374277454E-2</v>
      </c>
      <c r="AN54">
        <f>IF(AND(U54&gt;=Summary!$B$183,Summary!$B$184&gt;=SampleData!U54),1,0)</f>
        <v>1</v>
      </c>
    </row>
    <row r="55" spans="1:40">
      <c r="A55">
        <v>52</v>
      </c>
      <c r="B55" t="s">
        <v>35</v>
      </c>
      <c r="C55">
        <v>10</v>
      </c>
      <c r="F55" t="str">
        <f t="shared" ca="1" si="34"/>
        <v>Diamond 7</v>
      </c>
      <c r="G55" t="str">
        <f t="shared" ca="1" si="35"/>
        <v>Space 10</v>
      </c>
      <c r="H55" t="str">
        <f t="shared" ca="1" si="36"/>
        <v>Space 2</v>
      </c>
      <c r="I55">
        <f t="shared" ca="1" si="33"/>
        <v>7</v>
      </c>
      <c r="J55">
        <f t="shared" ca="1" si="33"/>
        <v>10</v>
      </c>
      <c r="K55">
        <f t="shared" ca="1" si="33"/>
        <v>2</v>
      </c>
      <c r="L55">
        <f t="shared" ca="1" si="2"/>
        <v>19</v>
      </c>
      <c r="M55" s="14">
        <f t="shared" ca="1" si="8"/>
        <v>6.333333333333333</v>
      </c>
      <c r="O55" s="2" t="s">
        <v>58</v>
      </c>
      <c r="P55" s="2" t="s">
        <v>62</v>
      </c>
      <c r="Q55" s="2" t="s">
        <v>59</v>
      </c>
      <c r="R55" s="2">
        <v>10</v>
      </c>
      <c r="S55" s="2">
        <v>9</v>
      </c>
      <c r="T55" s="2">
        <v>3</v>
      </c>
      <c r="U55" s="2">
        <v>22</v>
      </c>
      <c r="V55" s="18">
        <v>7.333333333333333</v>
      </c>
      <c r="X55">
        <v>25</v>
      </c>
      <c r="Y55" s="14">
        <v>8.3333333333333339</v>
      </c>
      <c r="AH55" s="22">
        <f t="shared" si="27"/>
        <v>8.2177777777777798</v>
      </c>
      <c r="AI55" s="14">
        <f t="shared" si="28"/>
        <v>0.91308641975308502</v>
      </c>
      <c r="AL55">
        <f t="shared" si="29"/>
        <v>4.4928588704059774E-2</v>
      </c>
      <c r="AN55">
        <f>IF(AND(U55&gt;=Summary!$B$183,Summary!$B$184&gt;=SampleData!U55),1,0)</f>
        <v>1</v>
      </c>
    </row>
    <row r="56" spans="1:40">
      <c r="F56" t="str">
        <f t="shared" ca="1" si="34"/>
        <v>Hearts 4</v>
      </c>
      <c r="G56" t="str">
        <f t="shared" ca="1" si="35"/>
        <v>Diamond 7</v>
      </c>
      <c r="H56" t="str">
        <f t="shared" ca="1" si="36"/>
        <v>Space 10</v>
      </c>
      <c r="I56">
        <f t="shared" ca="1" si="33"/>
        <v>4</v>
      </c>
      <c r="J56">
        <f t="shared" ca="1" si="33"/>
        <v>7</v>
      </c>
      <c r="K56">
        <f t="shared" ca="1" si="33"/>
        <v>10</v>
      </c>
      <c r="L56">
        <f t="shared" ca="1" si="2"/>
        <v>21</v>
      </c>
      <c r="M56" s="14">
        <f t="shared" ca="1" si="8"/>
        <v>7</v>
      </c>
      <c r="O56" s="2" t="s">
        <v>57</v>
      </c>
      <c r="P56" s="2" t="s">
        <v>59</v>
      </c>
      <c r="Q56" s="2" t="s">
        <v>60</v>
      </c>
      <c r="R56" s="2">
        <v>6</v>
      </c>
      <c r="S56" s="2">
        <v>3</v>
      </c>
      <c r="T56" s="2">
        <v>4</v>
      </c>
      <c r="U56" s="2">
        <v>13</v>
      </c>
      <c r="V56" s="18">
        <v>4.333333333333333</v>
      </c>
      <c r="X56">
        <v>26</v>
      </c>
      <c r="Y56" s="14">
        <v>8.6666666666666661</v>
      </c>
      <c r="AH56" s="22">
        <f t="shared" si="27"/>
        <v>37.617777777777775</v>
      </c>
      <c r="AI56" s="14">
        <f t="shared" si="28"/>
        <v>4.1797530864197565</v>
      </c>
      <c r="AL56">
        <f t="shared" si="29"/>
        <v>3.6883079030811734E-2</v>
      </c>
      <c r="AN56">
        <f>IF(AND(U56&gt;=Summary!$B$183,Summary!$B$184&gt;=SampleData!U56),1,0)</f>
        <v>1</v>
      </c>
    </row>
    <row r="57" spans="1:40">
      <c r="F57" t="str">
        <f t="shared" ca="1" si="34"/>
        <v>Space 10</v>
      </c>
      <c r="G57" t="str">
        <f t="shared" ca="1" si="35"/>
        <v>Diamond 7</v>
      </c>
      <c r="H57" t="str">
        <f t="shared" ca="1" si="36"/>
        <v>Hearts 4</v>
      </c>
      <c r="I57">
        <f t="shared" ca="1" si="33"/>
        <v>10</v>
      </c>
      <c r="J57">
        <f t="shared" ca="1" si="33"/>
        <v>7</v>
      </c>
      <c r="K57">
        <f t="shared" ca="1" si="33"/>
        <v>4</v>
      </c>
      <c r="L57">
        <f t="shared" ca="1" si="2"/>
        <v>21</v>
      </c>
      <c r="M57" s="14">
        <f t="shared" ca="1" si="8"/>
        <v>7</v>
      </c>
      <c r="O57" s="2" t="s">
        <v>58</v>
      </c>
      <c r="P57" s="2" t="s">
        <v>56</v>
      </c>
      <c r="Q57" s="2" t="s">
        <v>56</v>
      </c>
      <c r="R57" s="2">
        <v>10</v>
      </c>
      <c r="S57" s="2">
        <v>7</v>
      </c>
      <c r="T57" s="2">
        <v>7</v>
      </c>
      <c r="U57" s="2">
        <v>24</v>
      </c>
      <c r="V57" s="18">
        <v>8</v>
      </c>
      <c r="X57">
        <v>26</v>
      </c>
      <c r="Y57" s="14">
        <v>8.6666666666666661</v>
      </c>
      <c r="AH57" s="22">
        <f t="shared" si="27"/>
        <v>23.684444444444448</v>
      </c>
      <c r="AI57" s="14">
        <f t="shared" si="28"/>
        <v>2.6316049382716034</v>
      </c>
      <c r="AL57">
        <f t="shared" si="29"/>
        <v>3.6883079030811734E-2</v>
      </c>
      <c r="AN57">
        <f>IF(AND(U57&gt;=Summary!$B$183,Summary!$B$184&gt;=SampleData!U57),1,0)</f>
        <v>1</v>
      </c>
    </row>
    <row r="58" spans="1:40">
      <c r="F58" t="str">
        <f t="shared" ca="1" si="34"/>
        <v>Space 10</v>
      </c>
      <c r="G58" t="str">
        <f t="shared" ca="1" si="35"/>
        <v>Hearts 9</v>
      </c>
      <c r="H58" t="str">
        <f t="shared" ca="1" si="36"/>
        <v>Diamond 7</v>
      </c>
      <c r="I58">
        <f t="shared" ca="1" si="33"/>
        <v>10</v>
      </c>
      <c r="J58">
        <f t="shared" ca="1" si="33"/>
        <v>9</v>
      </c>
      <c r="K58">
        <f t="shared" ca="1" si="33"/>
        <v>7</v>
      </c>
      <c r="L58">
        <f t="shared" ca="1" si="2"/>
        <v>26</v>
      </c>
      <c r="M58" s="14">
        <f t="shared" ca="1" si="8"/>
        <v>8.6666666666666661</v>
      </c>
      <c r="O58" s="2" t="s">
        <v>63</v>
      </c>
      <c r="P58" s="2" t="s">
        <v>58</v>
      </c>
      <c r="Q58" s="2" t="s">
        <v>60</v>
      </c>
      <c r="R58" s="2">
        <v>2</v>
      </c>
      <c r="S58" s="2">
        <v>10</v>
      </c>
      <c r="T58" s="2">
        <v>4</v>
      </c>
      <c r="U58" s="2">
        <v>16</v>
      </c>
      <c r="V58" s="18">
        <v>5.333333333333333</v>
      </c>
      <c r="X58">
        <v>27</v>
      </c>
      <c r="Y58" s="14">
        <v>9</v>
      </c>
      <c r="AH58" s="22">
        <f t="shared" si="27"/>
        <v>9.8177777777777742</v>
      </c>
      <c r="AI58" s="14">
        <f t="shared" si="28"/>
        <v>1.0908641975308657</v>
      </c>
      <c r="AL58">
        <f t="shared" si="29"/>
        <v>2.9279854166271446E-2</v>
      </c>
      <c r="AN58">
        <f>IF(AND(U58&gt;=Summary!$B$183,Summary!$B$184&gt;=SampleData!U58),1,0)</f>
        <v>1</v>
      </c>
    </row>
    <row r="59" spans="1:40">
      <c r="F59" t="str">
        <f t="shared" ca="1" si="34"/>
        <v>Space 10</v>
      </c>
      <c r="G59" t="str">
        <f t="shared" ca="1" si="35"/>
        <v>Diamond 7</v>
      </c>
      <c r="H59" t="str">
        <f t="shared" ca="1" si="36"/>
        <v>Hearts 5</v>
      </c>
      <c r="I59">
        <f t="shared" ca="1" si="33"/>
        <v>10</v>
      </c>
      <c r="J59">
        <f t="shared" ca="1" si="33"/>
        <v>7</v>
      </c>
      <c r="K59">
        <f t="shared" ca="1" si="33"/>
        <v>5</v>
      </c>
      <c r="L59">
        <f t="shared" ca="1" si="2"/>
        <v>22</v>
      </c>
      <c r="M59" s="14">
        <f t="shared" ca="1" si="8"/>
        <v>7.333333333333333</v>
      </c>
      <c r="O59" s="2" t="s">
        <v>59</v>
      </c>
      <c r="P59" s="2" t="s">
        <v>58</v>
      </c>
      <c r="Q59" s="2" t="s">
        <v>55</v>
      </c>
      <c r="R59" s="2">
        <v>3</v>
      </c>
      <c r="S59" s="2">
        <v>10</v>
      </c>
      <c r="T59" s="2">
        <v>5</v>
      </c>
      <c r="U59" s="2">
        <v>18</v>
      </c>
      <c r="V59" s="18">
        <v>6</v>
      </c>
      <c r="X59">
        <v>28</v>
      </c>
      <c r="Y59" s="14">
        <v>9.3333333333333339</v>
      </c>
      <c r="AH59" s="22">
        <f t="shared" si="27"/>
        <v>1.2844444444444434</v>
      </c>
      <c r="AI59" s="14">
        <f t="shared" si="28"/>
        <v>0.14271604938271637</v>
      </c>
      <c r="AL59">
        <f t="shared" si="29"/>
        <v>2.247749952592407E-2</v>
      </c>
      <c r="AN59">
        <f>IF(AND(U59&gt;=Summary!$B$183,Summary!$B$184&gt;=SampleData!U59),1,0)</f>
        <v>1</v>
      </c>
    </row>
    <row r="60" spans="1:40">
      <c r="F60" t="str">
        <f t="shared" ca="1" si="34"/>
        <v>Hearts 1</v>
      </c>
      <c r="G60" t="str">
        <f t="shared" ca="1" si="35"/>
        <v>Space 10</v>
      </c>
      <c r="H60" t="str">
        <f t="shared" ca="1" si="36"/>
        <v>Hearts 9</v>
      </c>
      <c r="I60">
        <f t="shared" ca="1" si="33"/>
        <v>1</v>
      </c>
      <c r="J60">
        <f t="shared" ca="1" si="33"/>
        <v>10</v>
      </c>
      <c r="K60">
        <f t="shared" ca="1" si="33"/>
        <v>9</v>
      </c>
      <c r="L60">
        <f t="shared" ca="1" si="2"/>
        <v>20</v>
      </c>
      <c r="M60" s="14">
        <f t="shared" ca="1" si="8"/>
        <v>6.666666666666667</v>
      </c>
      <c r="O60" s="2" t="s">
        <v>55</v>
      </c>
      <c r="P60" s="2" t="s">
        <v>58</v>
      </c>
      <c r="Q60" s="2" t="s">
        <v>63</v>
      </c>
      <c r="R60" s="2">
        <v>5</v>
      </c>
      <c r="S60" s="2">
        <v>10</v>
      </c>
      <c r="T60" s="2">
        <v>2</v>
      </c>
      <c r="U60" s="2">
        <v>17</v>
      </c>
      <c r="V60" s="18">
        <v>5.666666666666667</v>
      </c>
      <c r="X60">
        <v>29</v>
      </c>
      <c r="Y60" s="14">
        <v>9.6666666666666661</v>
      </c>
      <c r="AH60" s="22">
        <f t="shared" si="27"/>
        <v>4.5511111111111093</v>
      </c>
      <c r="AI60" s="14">
        <f t="shared" si="28"/>
        <v>0.50567901234567925</v>
      </c>
      <c r="AL60">
        <f t="shared" si="29"/>
        <v>1.6686468493376998E-2</v>
      </c>
      <c r="AN60">
        <f>IF(AND(U60&gt;=Summary!$B$183,Summary!$B$184&gt;=SampleData!U60),1,0)</f>
        <v>1</v>
      </c>
    </row>
    <row r="61" spans="1:40">
      <c r="F61" t="str">
        <f t="shared" ca="1" si="34"/>
        <v>Hearts 1</v>
      </c>
      <c r="G61" t="str">
        <f t="shared" ca="1" si="35"/>
        <v>Hearts 8</v>
      </c>
      <c r="H61" t="str">
        <f t="shared" ca="1" si="36"/>
        <v>Space 10</v>
      </c>
      <c r="I61">
        <f t="shared" ca="1" si="33"/>
        <v>1</v>
      </c>
      <c r="J61">
        <f t="shared" ca="1" si="33"/>
        <v>8</v>
      </c>
      <c r="K61">
        <f t="shared" ca="1" si="33"/>
        <v>10</v>
      </c>
      <c r="L61">
        <f t="shared" ca="1" si="2"/>
        <v>19</v>
      </c>
      <c r="M61" s="14">
        <f t="shared" ca="1" si="8"/>
        <v>6.333333333333333</v>
      </c>
      <c r="O61" s="2" t="s">
        <v>64</v>
      </c>
      <c r="P61" s="2" t="s">
        <v>58</v>
      </c>
      <c r="Q61" s="2" t="s">
        <v>57</v>
      </c>
      <c r="R61" s="2">
        <v>1</v>
      </c>
      <c r="S61" s="2">
        <v>10</v>
      </c>
      <c r="T61" s="2">
        <v>6</v>
      </c>
      <c r="U61" s="2">
        <v>17</v>
      </c>
      <c r="V61" s="18">
        <v>5.666666666666667</v>
      </c>
      <c r="X61">
        <v>30</v>
      </c>
      <c r="Y61" s="14">
        <v>10</v>
      </c>
      <c r="AH61" s="22">
        <f t="shared" si="27"/>
        <v>4.5511111111111093</v>
      </c>
      <c r="AI61" s="14">
        <f t="shared" si="28"/>
        <v>0.50567901234567925</v>
      </c>
      <c r="AL61">
        <f t="shared" si="29"/>
        <v>1.1978935213806712E-2</v>
      </c>
      <c r="AN61">
        <f>IF(AND(U61&gt;=Summary!$B$183,Summary!$B$184&gt;=SampleData!U61),1,0)</f>
        <v>1</v>
      </c>
    </row>
    <row r="62" spans="1:40">
      <c r="F62" t="str">
        <f t="shared" ca="1" si="34"/>
        <v>Diamond 3</v>
      </c>
      <c r="G62" t="str">
        <f t="shared" ca="1" si="35"/>
        <v>Space 2</v>
      </c>
      <c r="H62" t="str">
        <f t="shared" ca="1" si="36"/>
        <v>Hearts 5</v>
      </c>
      <c r="I62">
        <f t="shared" ca="1" si="33"/>
        <v>3</v>
      </c>
      <c r="J62">
        <f t="shared" ca="1" si="33"/>
        <v>2</v>
      </c>
      <c r="K62">
        <f t="shared" ca="1" si="33"/>
        <v>5</v>
      </c>
      <c r="L62">
        <f t="shared" ca="1" si="2"/>
        <v>10</v>
      </c>
      <c r="M62" s="14">
        <f t="shared" ca="1" si="8"/>
        <v>3.3333333333333335</v>
      </c>
      <c r="O62" s="2" t="s">
        <v>64</v>
      </c>
      <c r="P62" s="2" t="s">
        <v>64</v>
      </c>
      <c r="Q62" s="2" t="s">
        <v>59</v>
      </c>
      <c r="R62" s="2">
        <v>1</v>
      </c>
      <c r="S62" s="2">
        <v>1</v>
      </c>
      <c r="T62" s="2">
        <v>3</v>
      </c>
      <c r="U62" s="2">
        <v>5</v>
      </c>
      <c r="V62" s="18">
        <v>1.6666666666666667</v>
      </c>
      <c r="X62">
        <v>30</v>
      </c>
      <c r="Y62" s="14">
        <v>10</v>
      </c>
      <c r="AH62" s="22">
        <f t="shared" si="27"/>
        <v>199.7511111111111</v>
      </c>
      <c r="AI62" s="14">
        <f t="shared" si="28"/>
        <v>22.194567901234571</v>
      </c>
      <c r="AL62">
        <f t="shared" si="29"/>
        <v>1.1978935213806712E-2</v>
      </c>
      <c r="AN62">
        <f>IF(AND(U62&gt;=Summary!$B$183,Summary!$B$184&gt;=SampleData!U62),1,0)</f>
        <v>0</v>
      </c>
    </row>
    <row r="63" spans="1:40">
      <c r="F63" t="str">
        <f t="shared" ca="1" si="34"/>
        <v>Space 10</v>
      </c>
      <c r="G63" t="str">
        <f t="shared" ca="1" si="35"/>
        <v>Hearts 8</v>
      </c>
      <c r="H63" t="str">
        <f t="shared" ca="1" si="36"/>
        <v>Hearts 9</v>
      </c>
      <c r="I63">
        <f t="shared" ca="1" si="33"/>
        <v>10</v>
      </c>
      <c r="J63">
        <f t="shared" ca="1" si="33"/>
        <v>8</v>
      </c>
      <c r="K63">
        <f t="shared" ca="1" si="33"/>
        <v>9</v>
      </c>
      <c r="L63">
        <f ca="1">SUM(I63:K63)</f>
        <v>27</v>
      </c>
      <c r="M63" s="14">
        <f t="shared" ca="1" si="8"/>
        <v>9</v>
      </c>
      <c r="O63" s="2" t="s">
        <v>58</v>
      </c>
      <c r="P63" s="2" t="s">
        <v>58</v>
      </c>
      <c r="Q63" s="2" t="s">
        <v>62</v>
      </c>
      <c r="R63" s="2">
        <v>10</v>
      </c>
      <c r="S63" s="2">
        <v>10</v>
      </c>
      <c r="T63" s="2">
        <v>9</v>
      </c>
      <c r="U63" s="2">
        <v>29</v>
      </c>
      <c r="V63" s="18">
        <v>9.6666666666666661</v>
      </c>
      <c r="X63">
        <v>30</v>
      </c>
      <c r="Y63" s="14">
        <v>10</v>
      </c>
      <c r="AH63" s="22">
        <f t="shared" si="27"/>
        <v>97.351111111111123</v>
      </c>
      <c r="AI63" s="14">
        <f t="shared" si="28"/>
        <v>10.816790123456784</v>
      </c>
      <c r="AL63">
        <f t="shared" si="29"/>
        <v>1.1978935213806712E-2</v>
      </c>
      <c r="AN63">
        <f>IF(AND(U63&gt;=Summary!$B$183,Summary!$B$184&gt;=SampleData!U63),1,0)</f>
        <v>0</v>
      </c>
    </row>
    <row r="64" spans="1:40">
      <c r="O64" s="17"/>
    </row>
    <row r="65" spans="21:22">
      <c r="U65" s="14">
        <f>SUM(U4:U63)/COUNT(U4:U63)</f>
        <v>19.133333333333333</v>
      </c>
      <c r="V65" s="14">
        <f>SUM(V4:V63)/COUNT(V4:V63)</f>
        <v>6.3777777777777782</v>
      </c>
    </row>
  </sheetData>
  <sortState ref="AA43:AA54">
    <sortCondition ref="AA43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SampleData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Faidon (Minas) Dermesonoglou</dc:creator>
  <cp:lastModifiedBy>Mac</cp:lastModifiedBy>
  <cp:lastPrinted>2017-05-19T07:42:59Z</cp:lastPrinted>
  <dcterms:created xsi:type="dcterms:W3CDTF">2017-05-18T08:00:05Z</dcterms:created>
  <dcterms:modified xsi:type="dcterms:W3CDTF">2017-07-02T18:47:38Z</dcterms:modified>
</cp:coreProperties>
</file>