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771166_polimi_it/Documents/FINANZA MATEMATICA I/laboratori/lab_2/"/>
    </mc:Choice>
  </mc:AlternateContent>
  <xr:revisionPtr revIDLastSave="702" documentId="13_ncr:1_{1DC755A0-A551-904D-9E47-25AA0730EB4F}" xr6:coauthVersionLast="47" xr6:coauthVersionMax="47" xr10:uidLastSave="{3E1D79F8-A37A-4241-8492-E207F4E3F818}"/>
  <bookViews>
    <workbookView xWindow="-120" yWindow="-120" windowWidth="29040" windowHeight="15840" activeTab="5" xr2:uid="{B686DF62-B1E4-9A47-AB70-9257AEB7AEFC}"/>
  </bookViews>
  <sheets>
    <sheet name="MAGGIO tax" sheetId="2" r:id="rId1"/>
    <sheet name="TIR A B C" sheetId="3" r:id="rId2"/>
    <sheet name="TIR A B C tax" sheetId="4" r:id="rId3"/>
    <sheet name="Portafoglio A C" sheetId="5" r:id="rId4"/>
    <sheet name="Portafoglio B C" sheetId="7" r:id="rId5"/>
    <sheet name="Portafoglio 1 milione" sheetId="8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8" l="1"/>
  <c r="D17" i="8"/>
  <c r="D27" i="5"/>
  <c r="K14" i="4"/>
  <c r="D20" i="7"/>
  <c r="D18" i="7"/>
  <c r="D19" i="7"/>
  <c r="D24" i="7"/>
  <c r="D25" i="7" s="1"/>
  <c r="D21" i="7"/>
  <c r="D22" i="7"/>
  <c r="D23" i="7"/>
  <c r="D22" i="8"/>
  <c r="D18" i="8"/>
  <c r="D23" i="8"/>
  <c r="D24" i="8"/>
  <c r="D26" i="8"/>
  <c r="D27" i="8"/>
  <c r="D25" i="8"/>
  <c r="D28" i="8"/>
  <c r="D20" i="8"/>
  <c r="D21" i="8"/>
  <c r="D19" i="8"/>
  <c r="D16" i="8"/>
  <c r="C16" i="8"/>
  <c r="C18" i="8" s="1"/>
  <c r="I11" i="8"/>
  <c r="F11" i="8"/>
  <c r="C11" i="8"/>
  <c r="C9" i="8"/>
  <c r="I8" i="8"/>
  <c r="F8" i="8"/>
  <c r="C8" i="8"/>
  <c r="I7" i="8"/>
  <c r="F7" i="8"/>
  <c r="D16" i="7"/>
  <c r="D17" i="7"/>
  <c r="D15" i="7"/>
  <c r="D19" i="5"/>
  <c r="D20" i="5"/>
  <c r="D21" i="5"/>
  <c r="D22" i="5"/>
  <c r="D23" i="5"/>
  <c r="D24" i="5"/>
  <c r="D25" i="5"/>
  <c r="D26" i="5"/>
  <c r="D18" i="5"/>
  <c r="D16" i="5"/>
  <c r="D15" i="5"/>
  <c r="D14" i="7"/>
  <c r="F8" i="7"/>
  <c r="C8" i="7"/>
  <c r="F7" i="7"/>
  <c r="C7" i="7"/>
  <c r="C15" i="5"/>
  <c r="C17" i="5" s="1"/>
  <c r="D14" i="5"/>
  <c r="C9" i="5"/>
  <c r="F8" i="5"/>
  <c r="C8" i="5"/>
  <c r="D17" i="5" s="1"/>
  <c r="F7" i="5"/>
  <c r="R14" i="4"/>
  <c r="R15" i="4"/>
  <c r="R16" i="4"/>
  <c r="R17" i="4"/>
  <c r="R18" i="4"/>
  <c r="R19" i="4"/>
  <c r="R20" i="4"/>
  <c r="R21" i="4"/>
  <c r="R22" i="4"/>
  <c r="R13" i="4"/>
  <c r="K15" i="4"/>
  <c r="K16" i="4"/>
  <c r="K13" i="4"/>
  <c r="E14" i="4"/>
  <c r="R23" i="4"/>
  <c r="C14" i="4"/>
  <c r="C13" i="4"/>
  <c r="E13" i="4" s="1"/>
  <c r="R12" i="4"/>
  <c r="K12" i="4"/>
  <c r="E12" i="4"/>
  <c r="C9" i="4"/>
  <c r="Q8" i="4"/>
  <c r="J8" i="4"/>
  <c r="C8" i="4"/>
  <c r="D14" i="4" s="1"/>
  <c r="Q7" i="4"/>
  <c r="J7" i="4"/>
  <c r="R18" i="3"/>
  <c r="R19" i="3" s="1"/>
  <c r="R17" i="3"/>
  <c r="R16" i="3"/>
  <c r="R15" i="3"/>
  <c r="R14" i="3"/>
  <c r="R13" i="3"/>
  <c r="K13" i="3"/>
  <c r="R12" i="3"/>
  <c r="K12" i="3"/>
  <c r="R11" i="3"/>
  <c r="K11" i="3"/>
  <c r="R10" i="3"/>
  <c r="K10" i="3"/>
  <c r="C10" i="3"/>
  <c r="R9" i="3"/>
  <c r="K9" i="3"/>
  <c r="C9" i="3"/>
  <c r="R8" i="3"/>
  <c r="K8" i="3"/>
  <c r="D8" i="3"/>
  <c r="C21" i="3" s="1"/>
  <c r="E22" i="2"/>
  <c r="E23" i="2" s="1"/>
  <c r="E21" i="2"/>
  <c r="E20" i="2"/>
  <c r="E19" i="2"/>
  <c r="E18" i="2"/>
  <c r="E17" i="2"/>
  <c r="E16" i="2"/>
  <c r="E15" i="2"/>
  <c r="D12" i="2"/>
  <c r="D11" i="2"/>
  <c r="C30" i="8" l="1"/>
  <c r="E15" i="8" s="1"/>
  <c r="J21" i="3"/>
  <c r="L10" i="3"/>
  <c r="L12" i="3"/>
  <c r="K17" i="4"/>
  <c r="D15" i="8"/>
  <c r="C29" i="7"/>
  <c r="C29" i="5"/>
  <c r="C25" i="4"/>
  <c r="C26" i="4"/>
  <c r="C27" i="4" s="1"/>
  <c r="J25" i="4"/>
  <c r="Q25" i="4"/>
  <c r="E9" i="3"/>
  <c r="E10" i="3"/>
  <c r="Q21" i="3"/>
  <c r="S14" i="3" s="1"/>
  <c r="L13" i="3"/>
  <c r="E8" i="3"/>
  <c r="C22" i="3" s="1"/>
  <c r="C23" i="3" s="1"/>
  <c r="L8" i="3"/>
  <c r="D25" i="2"/>
  <c r="L12" i="4" l="1"/>
  <c r="L13" i="4"/>
  <c r="L16" i="4"/>
  <c r="L15" i="4"/>
  <c r="L14" i="4"/>
  <c r="L17" i="4"/>
  <c r="L11" i="3"/>
  <c r="L9" i="3"/>
  <c r="J22" i="3" s="1"/>
  <c r="J23" i="3" s="1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14" i="5"/>
  <c r="S13" i="4"/>
  <c r="S14" i="4"/>
  <c r="S15" i="4"/>
  <c r="S16" i="4"/>
  <c r="S17" i="4"/>
  <c r="S18" i="4"/>
  <c r="S19" i="4"/>
  <c r="S20" i="4"/>
  <c r="S21" i="4"/>
  <c r="S22" i="4"/>
  <c r="S23" i="4"/>
  <c r="S12" i="4"/>
  <c r="Q26" i="4" s="1"/>
  <c r="Q27" i="4" s="1"/>
  <c r="E15" i="7"/>
  <c r="E23" i="7"/>
  <c r="E24" i="7"/>
  <c r="E22" i="7"/>
  <c r="E16" i="7"/>
  <c r="E17" i="7"/>
  <c r="E25" i="7"/>
  <c r="E14" i="7"/>
  <c r="E21" i="7"/>
  <c r="E18" i="7"/>
  <c r="E19" i="7"/>
  <c r="E20" i="7"/>
  <c r="C30" i="5"/>
  <c r="C31" i="5" s="1"/>
  <c r="J26" i="4"/>
  <c r="J27" i="4" s="1"/>
  <c r="S10" i="3"/>
  <c r="S17" i="3"/>
  <c r="S18" i="3"/>
  <c r="S11" i="3"/>
  <c r="S8" i="3"/>
  <c r="S12" i="3"/>
  <c r="S16" i="3"/>
  <c r="S9" i="3"/>
  <c r="S15" i="3"/>
  <c r="S19" i="3"/>
  <c r="S13" i="3"/>
  <c r="F16" i="2"/>
  <c r="F17" i="2"/>
  <c r="F20" i="2"/>
  <c r="F21" i="2"/>
  <c r="F22" i="2"/>
  <c r="F15" i="2"/>
  <c r="F18" i="2"/>
  <c r="F19" i="2"/>
  <c r="F23" i="2"/>
  <c r="C30" i="7" l="1"/>
  <c r="C31" i="7" s="1"/>
  <c r="E24" i="8"/>
  <c r="E22" i="8"/>
  <c r="E16" i="8"/>
  <c r="E17" i="8"/>
  <c r="E18" i="8"/>
  <c r="E19" i="8"/>
  <c r="E20" i="8"/>
  <c r="E21" i="8"/>
  <c r="E23" i="8"/>
  <c r="E25" i="8"/>
  <c r="E26" i="8"/>
  <c r="E27" i="8"/>
  <c r="E28" i="8"/>
  <c r="Q22" i="3"/>
  <c r="Q23" i="3" s="1"/>
  <c r="C31" i="8" l="1"/>
  <c r="D26" i="2" l="1"/>
  <c r="D27" i="2" s="1"/>
</calcChain>
</file>

<file path=xl/sharedStrings.xml><?xml version="1.0" encoding="utf-8"?>
<sst xmlns="http://schemas.openxmlformats.org/spreadsheetml/2006/main" count="166" uniqueCount="57">
  <si>
    <t>CALCOLO TIR - Acquisto 1 Maggio 2024</t>
  </si>
  <si>
    <t>Flussi al netto di tassazione</t>
  </si>
  <si>
    <t xml:space="preserve">Prezzo di acquisto </t>
  </si>
  <si>
    <t xml:space="preserve">Rateo </t>
  </si>
  <si>
    <t>Prezzo di rimborso</t>
  </si>
  <si>
    <t>Prezzo di emissione</t>
  </si>
  <si>
    <t>Plusvalenza</t>
  </si>
  <si>
    <t>Disaggio di emissione</t>
  </si>
  <si>
    <t>Date</t>
  </si>
  <si>
    <t>t</t>
  </si>
  <si>
    <t>Flussi</t>
  </si>
  <si>
    <t>Flussi attualizzati</t>
  </si>
  <si>
    <t>Calcolo TIR -&gt;</t>
  </si>
  <si>
    <t>Check TIR -&gt;</t>
  </si>
  <si>
    <t>Errore % (TIR/prezzo) -&gt;</t>
  </si>
  <si>
    <t>TIR TITOLO A</t>
  </si>
  <si>
    <t>TIR TITOLO B</t>
  </si>
  <si>
    <t>TIR TITOLO C</t>
  </si>
  <si>
    <t>Prezzo di Acquisto</t>
  </si>
  <si>
    <t>Rateo -&gt;</t>
  </si>
  <si>
    <t>Cedola semestrale</t>
  </si>
  <si>
    <t>Cedola Semestrale</t>
  </si>
  <si>
    <t>TIR TITOLO A AL NETTO DELLE TASSE</t>
  </si>
  <si>
    <t>TIR TITOLO B AL NETTO DELLE TASSE</t>
  </si>
  <si>
    <t>TIR TITOLO C AL NETTO DELLE TASSE</t>
  </si>
  <si>
    <t>Tassazione</t>
  </si>
  <si>
    <t>flussi</t>
  </si>
  <si>
    <t>flussi attualizzati</t>
  </si>
  <si>
    <t>TIR A/C  AL NETTO DELLE TASSE</t>
  </si>
  <si>
    <t>Prezzo di acquisto A</t>
  </si>
  <si>
    <t>Prezzo di acquisto C</t>
  </si>
  <si>
    <t>Rateo A</t>
  </si>
  <si>
    <t>Prezzo di rimborso C</t>
  </si>
  <si>
    <t>Prezzo di rimborso A</t>
  </si>
  <si>
    <t>Prezzo di emissione C</t>
  </si>
  <si>
    <t>Prezzo di emissione A</t>
  </si>
  <si>
    <t>Plusvalenza C</t>
  </si>
  <si>
    <t>Plusvalenza A</t>
  </si>
  <si>
    <t>Disaggio di emissione C</t>
  </si>
  <si>
    <t>Disaggio di emissione A</t>
  </si>
  <si>
    <t>Tassazione C</t>
  </si>
  <si>
    <t>TIR B/C AL NETTO DELLE TASSE</t>
  </si>
  <si>
    <t xml:space="preserve">Prezzo di acquisto B </t>
  </si>
  <si>
    <t>Prezzo di rimborso B</t>
  </si>
  <si>
    <t>Prezzo di emissione B</t>
  </si>
  <si>
    <t>Plusvalenza B</t>
  </si>
  <si>
    <t>Disaggio di emissione B</t>
  </si>
  <si>
    <t>Cedola Semestrale B</t>
  </si>
  <si>
    <t>Cedola Semestrale C</t>
  </si>
  <si>
    <t>TIR PORTAFOGLIO DA 1 MILIONE</t>
  </si>
  <si>
    <t xml:space="preserve">Tassazione </t>
  </si>
  <si>
    <t>Quota A</t>
  </si>
  <si>
    <t>Quota B</t>
  </si>
  <si>
    <t>Quota C</t>
  </si>
  <si>
    <t>Numero titoli A</t>
  </si>
  <si>
    <t>Numero titoli B</t>
  </si>
  <si>
    <t>Numero titoli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</si>
</sst>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10]dd\-mmm\-yy;@"/>
    <numFmt numFmtId="165" formatCode="0.0"/>
    <numFmt numFmtId="166" formatCode="0.000"/>
    <numFmt numFmtId="167" formatCode="0.0000"/>
  </numFmts>
  <fonts count="6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A48F4"/>
        <bgColor indexed="64"/>
      </patternFill>
    </fill>
    <fill>
      <patternFill patternType="solid">
        <fgColor rgb="FF00BB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3" borderId="2" xfId="0" applyFont="1" applyFill="1" applyBorder="1"/>
    <xf numFmtId="2" fontId="3" fillId="3" borderId="2" xfId="0" applyNumberFormat="1" applyFont="1" applyFill="1" applyBorder="1"/>
    <xf numFmtId="0" fontId="3" fillId="3" borderId="3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/>
    </xf>
    <xf numFmtId="0" fontId="3" fillId="3" borderId="5" xfId="0" applyFont="1" applyFill="1" applyBorder="1" applyAlignment="1">
      <alignment horizontal="right" vertical="center"/>
    </xf>
    <xf numFmtId="164" fontId="2" fillId="0" borderId="6" xfId="0" applyNumberFormat="1" applyFont="1" applyBorder="1" applyAlignment="1">
      <alignment horizontal="right" vertical="center"/>
    </xf>
    <xf numFmtId="2" fontId="2" fillId="0" borderId="7" xfId="0" applyNumberFormat="1" applyFont="1" applyBorder="1" applyAlignment="1">
      <alignment horizontal="right" vertical="center"/>
    </xf>
    <xf numFmtId="15" fontId="2" fillId="0" borderId="6" xfId="0" applyNumberFormat="1" applyFont="1" applyBorder="1"/>
    <xf numFmtId="15" fontId="2" fillId="0" borderId="8" xfId="0" applyNumberFormat="1" applyFont="1" applyBorder="1"/>
    <xf numFmtId="2" fontId="2" fillId="0" borderId="9" xfId="0" applyNumberFormat="1" applyFont="1" applyBorder="1"/>
    <xf numFmtId="0" fontId="2" fillId="0" borderId="9" xfId="0" applyFont="1" applyBorder="1"/>
    <xf numFmtId="0" fontId="4" fillId="4" borderId="2" xfId="0" applyFont="1" applyFill="1" applyBorder="1"/>
    <xf numFmtId="2" fontId="3" fillId="4" borderId="2" xfId="0" applyNumberFormat="1" applyFont="1" applyFill="1" applyBorder="1"/>
    <xf numFmtId="2" fontId="2" fillId="0" borderId="0" xfId="0" applyNumberFormat="1" applyFont="1" applyAlignment="1">
      <alignment horizontal="right" vertical="center"/>
    </xf>
    <xf numFmtId="2" fontId="2" fillId="0" borderId="10" xfId="0" applyNumberFormat="1" applyFont="1" applyBorder="1" applyAlignment="1">
      <alignment horizontal="right" vertical="center"/>
    </xf>
    <xf numFmtId="0" fontId="3" fillId="3" borderId="5" xfId="0" applyFont="1" applyFill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2" fontId="2" fillId="0" borderId="0" xfId="0" applyNumberFormat="1" applyFont="1"/>
    <xf numFmtId="165" fontId="3" fillId="4" borderId="2" xfId="0" applyNumberFormat="1" applyFont="1" applyFill="1" applyBorder="1"/>
    <xf numFmtId="2" fontId="2" fillId="0" borderId="7" xfId="0" applyNumberFormat="1" applyFont="1" applyBorder="1" applyAlignment="1">
      <alignment vertical="center"/>
    </xf>
    <xf numFmtId="15" fontId="2" fillId="0" borderId="0" xfId="0" applyNumberFormat="1" applyFont="1"/>
    <xf numFmtId="0" fontId="3" fillId="4" borderId="2" xfId="0" applyFont="1" applyFill="1" applyBorder="1"/>
    <xf numFmtId="0" fontId="3" fillId="3" borderId="11" xfId="0" applyFont="1" applyFill="1" applyBorder="1" applyAlignment="1">
      <alignment horizontal="right" vertical="center"/>
    </xf>
    <xf numFmtId="0" fontId="3" fillId="3" borderId="12" xfId="0" applyFont="1" applyFill="1" applyBorder="1" applyAlignment="1">
      <alignment horizontal="right" vertical="center"/>
    </xf>
    <xf numFmtId="0" fontId="3" fillId="3" borderId="13" xfId="0" applyFont="1" applyFill="1" applyBorder="1" applyAlignment="1">
      <alignment horizontal="center" vertical="center"/>
    </xf>
    <xf numFmtId="164" fontId="2" fillId="0" borderId="14" xfId="0" applyNumberFormat="1" applyFont="1" applyBorder="1" applyAlignment="1">
      <alignment horizontal="right" vertical="center"/>
    </xf>
    <xf numFmtId="2" fontId="2" fillId="0" borderId="15" xfId="0" applyNumberFormat="1" applyFont="1" applyBorder="1" applyAlignment="1">
      <alignment vertical="center"/>
    </xf>
    <xf numFmtId="15" fontId="2" fillId="0" borderId="14" xfId="0" applyNumberFormat="1" applyFont="1" applyBorder="1"/>
    <xf numFmtId="15" fontId="2" fillId="0" borderId="16" xfId="0" applyNumberFormat="1" applyFont="1" applyBorder="1"/>
    <xf numFmtId="2" fontId="2" fillId="0" borderId="17" xfId="0" applyNumberFormat="1" applyFont="1" applyBorder="1"/>
    <xf numFmtId="0" fontId="2" fillId="0" borderId="17" xfId="0" applyFont="1" applyBorder="1"/>
    <xf numFmtId="2" fontId="2" fillId="0" borderId="18" xfId="0" applyNumberFormat="1" applyFont="1" applyBorder="1" applyAlignment="1">
      <alignment vertical="center"/>
    </xf>
    <xf numFmtId="2" fontId="2" fillId="0" borderId="19" xfId="0" applyNumberFormat="1" applyFont="1" applyBorder="1" applyAlignment="1">
      <alignment vertical="center"/>
    </xf>
    <xf numFmtId="166" fontId="3" fillId="4" borderId="2" xfId="0" applyNumberFormat="1" applyFont="1" applyFill="1" applyBorder="1"/>
    <xf numFmtId="2" fontId="2" fillId="0" borderId="15" xfId="0" applyNumberFormat="1" applyFont="1" applyBorder="1" applyAlignment="1">
      <alignment horizontal="center" vertical="center"/>
    </xf>
    <xf numFmtId="2" fontId="2" fillId="0" borderId="18" xfId="0" applyNumberFormat="1" applyFont="1" applyBorder="1" applyAlignment="1">
      <alignment horizontal="center" vertical="center"/>
    </xf>
    <xf numFmtId="0" fontId="3" fillId="0" borderId="3" xfId="0" applyFont="1" applyBorder="1"/>
    <xf numFmtId="0" fontId="3" fillId="3" borderId="5" xfId="0" applyFont="1" applyFill="1" applyBorder="1"/>
    <xf numFmtId="0" fontId="3" fillId="0" borderId="20" xfId="0" applyFont="1" applyBorder="1"/>
    <xf numFmtId="0" fontId="3" fillId="3" borderId="21" xfId="0" applyFont="1" applyFill="1" applyBorder="1"/>
    <xf numFmtId="0" fontId="3" fillId="3" borderId="13" xfId="0" applyFont="1" applyFill="1" applyBorder="1" applyAlignment="1">
      <alignment vertical="center"/>
    </xf>
    <xf numFmtId="0" fontId="3" fillId="4" borderId="5" xfId="0" applyFont="1" applyFill="1" applyBorder="1"/>
    <xf numFmtId="0" fontId="5" fillId="4" borderId="21" xfId="0" applyFont="1" applyFill="1" applyBorder="1"/>
    <xf numFmtId="0" fontId="3" fillId="4" borderId="21" xfId="0" applyFont="1" applyFill="1" applyBorder="1"/>
    <xf numFmtId="167" fontId="2" fillId="0" borderId="17" xfId="0" applyNumberFormat="1" applyFont="1" applyBorder="1"/>
    <xf numFmtId="0" fontId="3" fillId="0" borderId="0" xfId="0" applyFont="1"/>
    <xf numFmtId="0" fontId="5" fillId="0" borderId="20" xfId="0" applyFont="1" applyBorder="1"/>
    <xf numFmtId="0" fontId="5" fillId="0" borderId="0" xfId="0" applyFont="1"/>
    <xf numFmtId="0" fontId="3" fillId="0" borderId="11" xfId="0" applyFont="1" applyBorder="1"/>
    <xf numFmtId="0" fontId="3" fillId="9" borderId="13" xfId="0" applyFont="1" applyFill="1" applyBorder="1"/>
    <xf numFmtId="0" fontId="5" fillId="9" borderId="21" xfId="0" applyFont="1" applyFill="1" applyBorder="1"/>
    <xf numFmtId="0" fontId="5" fillId="0" borderId="11" xfId="0" applyFont="1" applyBorder="1"/>
    <xf numFmtId="0" fontId="5" fillId="10" borderId="13" xfId="0" applyFont="1" applyFill="1" applyBorder="1"/>
    <xf numFmtId="0" fontId="3" fillId="10" borderId="13" xfId="0" applyFont="1" applyFill="1" applyBorder="1"/>
    <xf numFmtId="0" fontId="3" fillId="9" borderId="21" xfId="0" applyFont="1" applyFill="1" applyBorder="1"/>
    <xf numFmtId="166" fontId="2" fillId="0" borderId="0" xfId="0" applyNumberFormat="1" applyFont="1" applyAlignment="1">
      <alignment horizontal="right" vertical="center"/>
    </xf>
    <xf numFmtId="10" fontId="3" fillId="4" borderId="2" xfId="0" applyNumberFormat="1" applyFont="1" applyFill="1" applyBorder="1"/>
    <xf numFmtId="2" fontId="2" fillId="0" borderId="10" xfId="0" applyNumberFormat="1" applyFont="1" applyBorder="1" applyAlignment="1">
      <alignment horizontal="center" vertical="center"/>
    </xf>
    <xf numFmtId="2" fontId="2" fillId="0" borderId="22" xfId="0" applyNumberFormat="1" applyFont="1" applyBorder="1" applyAlignment="1">
      <alignment vertical="center"/>
    </xf>
    <xf numFmtId="0" fontId="3" fillId="4" borderId="13" xfId="0" applyFont="1" applyFill="1" applyBorder="1"/>
    <xf numFmtId="0" fontId="3" fillId="0" borderId="14" xfId="0" applyFont="1" applyBorder="1"/>
    <xf numFmtId="0" fontId="5" fillId="4" borderId="15" xfId="0" applyFont="1" applyFill="1" applyBorder="1"/>
    <xf numFmtId="15" fontId="2" fillId="0" borderId="23" xfId="0" applyNumberFormat="1" applyFont="1" applyBorder="1"/>
    <xf numFmtId="0" fontId="1" fillId="2" borderId="9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5" borderId="9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A48F4"/>
      <color rgb="FF00B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0A39B-7195-1740-9EF5-C7364919B907}">
  <dimension ref="B2:H27"/>
  <sheetViews>
    <sheetView workbookViewId="0">
      <selection activeCell="I9" sqref="I9"/>
    </sheetView>
  </sheetViews>
  <sheetFormatPr defaultColWidth="11" defaultRowHeight="15.75" x14ac:dyDescent="0.25"/>
  <cols>
    <col min="3" max="3" width="24.875" bestFit="1" customWidth="1"/>
    <col min="4" max="4" width="14" bestFit="1" customWidth="1"/>
    <col min="5" max="5" width="12.875" bestFit="1" customWidth="1"/>
    <col min="6" max="6" width="18" bestFit="1" customWidth="1"/>
  </cols>
  <sheetData>
    <row r="2" spans="2:8" ht="21" customHeight="1" x14ac:dyDescent="0.25">
      <c r="B2" s="67" t="s">
        <v>0</v>
      </c>
      <c r="C2" s="67"/>
      <c r="D2" s="67"/>
      <c r="E2" s="67"/>
      <c r="F2" s="67"/>
      <c r="G2" s="67"/>
      <c r="H2" s="67"/>
    </row>
    <row r="3" spans="2:8" ht="21" customHeight="1" x14ac:dyDescent="0.25">
      <c r="B3" s="67"/>
      <c r="C3" s="67"/>
      <c r="D3" s="67"/>
      <c r="E3" s="67"/>
      <c r="F3" s="67"/>
      <c r="G3" s="67"/>
      <c r="H3" s="67"/>
    </row>
    <row r="4" spans="2:8" ht="21" customHeight="1" x14ac:dyDescent="0.25">
      <c r="B4" s="67" t="s">
        <v>1</v>
      </c>
      <c r="C4" s="67"/>
      <c r="D4" s="67"/>
      <c r="E4" s="67"/>
      <c r="F4" s="67"/>
      <c r="G4" s="67"/>
      <c r="H4" s="67"/>
    </row>
    <row r="5" spans="2:8" ht="21" customHeight="1" x14ac:dyDescent="0.25">
      <c r="B5" s="66"/>
      <c r="C5" s="66"/>
      <c r="D5" s="66"/>
      <c r="E5" s="66"/>
      <c r="F5" s="66"/>
      <c r="G5" s="66"/>
      <c r="H5" s="66"/>
    </row>
    <row r="6" spans="2:8" ht="18.75" x14ac:dyDescent="0.3">
      <c r="B6" s="1"/>
      <c r="C6" s="1"/>
      <c r="D6" s="1"/>
      <c r="E6" s="1"/>
      <c r="F6" s="1"/>
      <c r="G6" s="1"/>
      <c r="H6" s="1"/>
    </row>
    <row r="7" spans="2:8" ht="19.5" thickBot="1" x14ac:dyDescent="0.35">
      <c r="B7" s="1"/>
      <c r="C7" s="2" t="s">
        <v>2</v>
      </c>
      <c r="D7" s="3">
        <v>98.08</v>
      </c>
      <c r="E7" s="1"/>
      <c r="F7" s="1"/>
      <c r="G7" s="1"/>
      <c r="H7" s="1"/>
    </row>
    <row r="8" spans="2:8" ht="19.5" thickBot="1" x14ac:dyDescent="0.35">
      <c r="B8" s="1"/>
      <c r="C8" s="2" t="s">
        <v>3</v>
      </c>
      <c r="D8" s="4">
        <v>1.1000000000000001</v>
      </c>
      <c r="E8" s="1"/>
      <c r="F8" s="1"/>
      <c r="G8" s="1"/>
      <c r="H8" s="1"/>
    </row>
    <row r="9" spans="2:8" ht="19.5" thickBot="1" x14ac:dyDescent="0.35">
      <c r="B9" s="1"/>
      <c r="C9" s="2" t="s">
        <v>4</v>
      </c>
      <c r="D9" s="3">
        <v>100</v>
      </c>
      <c r="E9" s="1"/>
      <c r="F9" s="1"/>
      <c r="G9" s="1"/>
      <c r="H9" s="1"/>
    </row>
    <row r="10" spans="2:8" ht="19.5" thickBot="1" x14ac:dyDescent="0.35">
      <c r="B10" s="1"/>
      <c r="C10" s="2" t="s">
        <v>5</v>
      </c>
      <c r="D10" s="3">
        <v>99.62</v>
      </c>
      <c r="E10" s="1"/>
      <c r="F10" s="1"/>
      <c r="G10" s="1"/>
      <c r="H10" s="1"/>
    </row>
    <row r="11" spans="2:8" ht="19.5" thickBot="1" x14ac:dyDescent="0.35">
      <c r="B11" s="1"/>
      <c r="C11" s="2" t="s">
        <v>6</v>
      </c>
      <c r="D11" s="3">
        <f>MAX(0,D9-D7)</f>
        <v>1.9200000000000017</v>
      </c>
      <c r="E11" s="1"/>
      <c r="F11" s="1"/>
      <c r="G11" s="1"/>
      <c r="H11" s="1"/>
    </row>
    <row r="12" spans="2:8" ht="19.5" thickBot="1" x14ac:dyDescent="0.35">
      <c r="B12" s="1"/>
      <c r="C12" s="2" t="s">
        <v>7</v>
      </c>
      <c r="D12" s="3">
        <f>MAX(0,D9-D10)</f>
        <v>0.37999999999999545</v>
      </c>
      <c r="E12" s="1"/>
      <c r="F12" s="1"/>
      <c r="G12" s="1"/>
      <c r="H12" s="1"/>
    </row>
    <row r="13" spans="2:8" ht="19.5" thickBot="1" x14ac:dyDescent="0.35">
      <c r="B13" s="1"/>
      <c r="C13" s="1"/>
      <c r="D13" s="1"/>
      <c r="E13" s="1"/>
      <c r="F13" s="1"/>
      <c r="G13" s="1"/>
      <c r="H13" s="1"/>
    </row>
    <row r="14" spans="2:8" ht="18.75" x14ac:dyDescent="0.3">
      <c r="B14" s="1"/>
      <c r="C14" s="5" t="s">
        <v>8</v>
      </c>
      <c r="D14" s="6" t="s">
        <v>9</v>
      </c>
      <c r="E14" s="6" t="s">
        <v>10</v>
      </c>
      <c r="F14" s="7" t="s">
        <v>11</v>
      </c>
      <c r="G14" s="1"/>
      <c r="H14" s="1"/>
    </row>
    <row r="15" spans="2:8" ht="18.75" x14ac:dyDescent="0.3">
      <c r="B15" s="1"/>
      <c r="C15" s="8">
        <v>45413</v>
      </c>
      <c r="D15" s="16">
        <v>0</v>
      </c>
      <c r="E15" s="16">
        <f>-D7-D8</f>
        <v>-99.179999999999993</v>
      </c>
      <c r="F15" s="9">
        <f>E15/(1+$D$25)^D15</f>
        <v>-99.179999999999993</v>
      </c>
      <c r="G15" s="1"/>
      <c r="H15" s="1"/>
    </row>
    <row r="16" spans="2:8" ht="18.75" x14ac:dyDescent="0.3">
      <c r="B16" s="1"/>
      <c r="C16" s="10">
        <v>45444</v>
      </c>
      <c r="D16" s="16">
        <v>8.3333333333333329E-2</v>
      </c>
      <c r="E16" s="1">
        <f>1.325*(1-0.125)</f>
        <v>1.159375</v>
      </c>
      <c r="F16" s="9">
        <f t="shared" ref="F16:F23" si="0">E16/(1+$D$25)^D16</f>
        <v>1.1567237783973003</v>
      </c>
      <c r="G16" s="1"/>
      <c r="H16" s="1"/>
    </row>
    <row r="17" spans="2:8" ht="18.75" x14ac:dyDescent="0.3">
      <c r="B17" s="1"/>
      <c r="C17" s="10">
        <v>45627</v>
      </c>
      <c r="D17" s="20">
        <v>0.58333333333333337</v>
      </c>
      <c r="E17" s="1">
        <f t="shared" ref="E17:E22" si="1">1.325*(1-0.125)</f>
        <v>1.159375</v>
      </c>
      <c r="F17" s="9">
        <f t="shared" si="0"/>
        <v>1.1409432819482328</v>
      </c>
      <c r="G17" s="1"/>
      <c r="H17" s="1"/>
    </row>
    <row r="18" spans="2:8" ht="18.75" x14ac:dyDescent="0.3">
      <c r="B18" s="1"/>
      <c r="C18" s="10">
        <v>45809</v>
      </c>
      <c r="D18" s="20">
        <v>1.0833333333333333</v>
      </c>
      <c r="E18" s="1">
        <f t="shared" si="1"/>
        <v>1.159375</v>
      </c>
      <c r="F18" s="9">
        <f t="shared" si="0"/>
        <v>1.1253780694527153</v>
      </c>
      <c r="G18" s="1"/>
      <c r="H18" s="1"/>
    </row>
    <row r="19" spans="2:8" ht="18.75" x14ac:dyDescent="0.3">
      <c r="B19" s="1"/>
      <c r="C19" s="10">
        <v>45992</v>
      </c>
      <c r="D19" s="20">
        <v>1.5833333333333333</v>
      </c>
      <c r="E19" s="1">
        <f t="shared" si="1"/>
        <v>1.159375</v>
      </c>
      <c r="F19" s="9">
        <f t="shared" si="0"/>
        <v>1.110025203919456</v>
      </c>
      <c r="G19" s="1"/>
      <c r="H19" s="1"/>
    </row>
    <row r="20" spans="2:8" ht="18.75" x14ac:dyDescent="0.3">
      <c r="B20" s="1"/>
      <c r="C20" s="10">
        <v>46174</v>
      </c>
      <c r="D20" s="20">
        <v>2.0833333333333335</v>
      </c>
      <c r="E20" s="1">
        <f t="shared" si="1"/>
        <v>1.159375</v>
      </c>
      <c r="F20" s="9">
        <f t="shared" si="0"/>
        <v>1.0948817884247934</v>
      </c>
      <c r="G20" s="1"/>
      <c r="H20" s="1"/>
    </row>
    <row r="21" spans="2:8" ht="18.75" x14ac:dyDescent="0.3">
      <c r="B21" s="1"/>
      <c r="C21" s="10">
        <v>46357</v>
      </c>
      <c r="D21" s="20">
        <v>2.5833333333333335</v>
      </c>
      <c r="E21" s="1">
        <f t="shared" si="1"/>
        <v>1.159375</v>
      </c>
      <c r="F21" s="9">
        <f t="shared" si="0"/>
        <v>1.0799449655660762</v>
      </c>
      <c r="G21" s="1"/>
      <c r="H21" s="1"/>
    </row>
    <row r="22" spans="2:8" ht="18.75" x14ac:dyDescent="0.3">
      <c r="B22" s="1"/>
      <c r="C22" s="10">
        <v>46539</v>
      </c>
      <c r="D22" s="20">
        <v>3.0833333333333335</v>
      </c>
      <c r="E22" s="1">
        <f t="shared" si="1"/>
        <v>1.159375</v>
      </c>
      <c r="F22" s="9">
        <f t="shared" si="0"/>
        <v>1.0652119169225041</v>
      </c>
      <c r="G22" s="1"/>
      <c r="H22" s="1"/>
    </row>
    <row r="23" spans="2:8" ht="19.5" thickBot="1" x14ac:dyDescent="0.35">
      <c r="B23" s="1"/>
      <c r="C23" s="11">
        <v>46722</v>
      </c>
      <c r="D23" s="12">
        <v>3.5833333333333335</v>
      </c>
      <c r="E23" s="13">
        <f>100+E22-0.125*(D11+D12)</f>
        <v>100.871875</v>
      </c>
      <c r="F23" s="17">
        <f t="shared" si="0"/>
        <v>91.414812081914334</v>
      </c>
      <c r="G23" s="1"/>
      <c r="H23" s="1"/>
    </row>
    <row r="24" spans="2:8" ht="19.5" thickBot="1" x14ac:dyDescent="0.35">
      <c r="B24" s="1"/>
      <c r="C24" s="1"/>
      <c r="D24" s="1"/>
      <c r="E24" s="1"/>
      <c r="F24" s="1"/>
      <c r="G24" s="1"/>
      <c r="H24" s="1"/>
    </row>
    <row r="25" spans="2:8" ht="19.5" thickBot="1" x14ac:dyDescent="0.35">
      <c r="B25" s="1"/>
      <c r="C25" s="2" t="s">
        <v>12</v>
      </c>
      <c r="D25" s="14">
        <f>XIRR(E15:E23,C15:C23)</f>
        <v>2.7853491902351379E-2</v>
      </c>
      <c r="E25" s="1"/>
      <c r="F25" s="1"/>
      <c r="G25" s="1"/>
      <c r="H25" s="1"/>
    </row>
    <row r="26" spans="2:8" ht="19.5" thickBot="1" x14ac:dyDescent="0.35">
      <c r="B26" s="1"/>
      <c r="C26" s="2" t="s">
        <v>13</v>
      </c>
      <c r="D26" s="15">
        <f>SUM(F15:F23)</f>
        <v>7.9210865454513169E-3</v>
      </c>
      <c r="E26" s="1"/>
      <c r="F26" s="1"/>
      <c r="G26" s="1"/>
      <c r="H26" s="1"/>
    </row>
    <row r="27" spans="2:8" ht="19.5" thickBot="1" x14ac:dyDescent="0.35">
      <c r="B27" s="1"/>
      <c r="C27" s="2" t="s">
        <v>14</v>
      </c>
      <c r="D27" s="59">
        <f>ABS(D26/D7)</f>
        <v>8.0761485985433491E-5</v>
      </c>
      <c r="E27" s="1"/>
      <c r="F27" s="1"/>
      <c r="G27" s="1"/>
      <c r="H27" s="1"/>
    </row>
  </sheetData>
  <mergeCells count="2">
    <mergeCell ref="B2:H3"/>
    <mergeCell ref="B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974B8-37B3-424A-B39D-B54EC26205B2}">
  <dimension ref="B2:S23"/>
  <sheetViews>
    <sheetView topLeftCell="J7" workbookViewId="0">
      <selection activeCell="L20" sqref="L20"/>
    </sheetView>
  </sheetViews>
  <sheetFormatPr defaultColWidth="11" defaultRowHeight="15.75" x14ac:dyDescent="0.25"/>
  <cols>
    <col min="2" max="2" width="24.875" bestFit="1" customWidth="1"/>
    <col min="3" max="3" width="12.875" bestFit="1" customWidth="1"/>
    <col min="4" max="4" width="9.125" customWidth="1"/>
    <col min="5" max="5" width="18" bestFit="1" customWidth="1"/>
    <col min="9" max="9" width="24.875" bestFit="1" customWidth="1"/>
    <col min="10" max="10" width="14" bestFit="1" customWidth="1"/>
    <col min="12" max="12" width="18" bestFit="1" customWidth="1"/>
    <col min="16" max="16" width="24.875" bestFit="1" customWidth="1"/>
    <col min="17" max="17" width="14" bestFit="1" customWidth="1"/>
    <col min="19" max="19" width="18" bestFit="1" customWidth="1"/>
  </cols>
  <sheetData>
    <row r="2" spans="2:19" ht="21.75" thickBot="1" x14ac:dyDescent="0.4">
      <c r="B2" s="68" t="s">
        <v>15</v>
      </c>
      <c r="C2" s="68"/>
      <c r="D2" s="68"/>
      <c r="E2" s="68"/>
      <c r="I2" s="69" t="s">
        <v>16</v>
      </c>
      <c r="J2" s="69"/>
      <c r="K2" s="69"/>
      <c r="L2" s="69"/>
      <c r="P2" s="70" t="s">
        <v>17</v>
      </c>
      <c r="Q2" s="70"/>
      <c r="R2" s="70"/>
      <c r="S2" s="70"/>
    </row>
    <row r="3" spans="2:19" ht="16.5" thickBot="1" x14ac:dyDescent="0.3"/>
    <row r="4" spans="2:19" ht="19.5" thickBot="1" x14ac:dyDescent="0.35">
      <c r="B4" s="2" t="s">
        <v>18</v>
      </c>
      <c r="C4" s="3">
        <v>97.65</v>
      </c>
      <c r="I4" s="39" t="s">
        <v>2</v>
      </c>
      <c r="J4" s="40">
        <v>112.9</v>
      </c>
      <c r="P4" s="39" t="s">
        <v>2</v>
      </c>
      <c r="Q4" s="40">
        <v>108.95</v>
      </c>
    </row>
    <row r="5" spans="2:19" ht="19.5" thickBot="1" x14ac:dyDescent="0.35">
      <c r="B5" s="2" t="s">
        <v>19</v>
      </c>
      <c r="C5" s="21">
        <v>0</v>
      </c>
      <c r="I5" s="41" t="s">
        <v>20</v>
      </c>
      <c r="J5" s="42">
        <v>3.625</v>
      </c>
      <c r="P5" s="41" t="s">
        <v>21</v>
      </c>
      <c r="Q5" s="57">
        <v>2.625</v>
      </c>
    </row>
    <row r="6" spans="2:19" ht="16.5" thickBot="1" x14ac:dyDescent="0.3"/>
    <row r="7" spans="2:19" ht="18.75" x14ac:dyDescent="0.25">
      <c r="B7" s="25" t="s">
        <v>8</v>
      </c>
      <c r="C7" s="26" t="s">
        <v>9</v>
      </c>
      <c r="D7" s="26" t="s">
        <v>10</v>
      </c>
      <c r="E7" s="27" t="s">
        <v>11</v>
      </c>
      <c r="I7" s="25" t="s">
        <v>8</v>
      </c>
      <c r="J7" s="26" t="s">
        <v>9</v>
      </c>
      <c r="K7" s="26" t="s">
        <v>10</v>
      </c>
      <c r="L7" s="27" t="s">
        <v>11</v>
      </c>
      <c r="P7" s="25" t="s">
        <v>8</v>
      </c>
      <c r="Q7" s="26" t="s">
        <v>9</v>
      </c>
      <c r="R7" s="26" t="s">
        <v>10</v>
      </c>
      <c r="S7" s="43" t="s">
        <v>11</v>
      </c>
    </row>
    <row r="8" spans="2:19" ht="18.75" x14ac:dyDescent="0.25">
      <c r="B8" s="28">
        <v>45413</v>
      </c>
      <c r="C8" s="16">
        <v>0</v>
      </c>
      <c r="D8" s="16">
        <f>-C4</f>
        <v>-97.65</v>
      </c>
      <c r="E8" s="29">
        <f>D8/(1+$C$21)^C8</f>
        <v>-97.65</v>
      </c>
      <c r="I8" s="28">
        <v>45413</v>
      </c>
      <c r="J8" s="16">
        <v>0</v>
      </c>
      <c r="K8" s="16">
        <f>-J4</f>
        <v>-112.9</v>
      </c>
      <c r="L8" s="37">
        <f t="shared" ref="L8:L13" si="0">K8/(1+$J$21)^J8</f>
        <v>-112.9</v>
      </c>
      <c r="P8" s="28">
        <v>45413</v>
      </c>
      <c r="Q8" s="16">
        <v>0</v>
      </c>
      <c r="R8" s="16">
        <f>-Q4</f>
        <v>-108.95</v>
      </c>
      <c r="S8" s="29">
        <f>R8/(1+$Q$21)^Q8</f>
        <v>-108.95</v>
      </c>
    </row>
    <row r="9" spans="2:19" ht="18.75" x14ac:dyDescent="0.3">
      <c r="B9" s="30">
        <v>45458</v>
      </c>
      <c r="C9" s="16">
        <f>1.5/12</f>
        <v>0.125</v>
      </c>
      <c r="D9" s="1">
        <v>0</v>
      </c>
      <c r="E9" s="29">
        <f t="shared" ref="E9" si="1">D9/(1+$C$21)^C9</f>
        <v>0</v>
      </c>
      <c r="I9" s="30">
        <v>45597</v>
      </c>
      <c r="J9" s="16">
        <v>0.5</v>
      </c>
      <c r="K9" s="1">
        <f>$J$5</f>
        <v>3.625</v>
      </c>
      <c r="L9" s="37">
        <f t="shared" si="0"/>
        <v>3.5902506882199372</v>
      </c>
      <c r="P9" s="30">
        <v>45597</v>
      </c>
      <c r="Q9" s="16">
        <v>0.5</v>
      </c>
      <c r="R9" s="1">
        <f>$Q$5</f>
        <v>2.625</v>
      </c>
      <c r="S9" s="29">
        <f t="shared" ref="S9:S19" si="2">R9/(1+$Q$21)^Q9</f>
        <v>2.5805464695398026</v>
      </c>
    </row>
    <row r="10" spans="2:19" ht="19.5" thickBot="1" x14ac:dyDescent="0.35">
      <c r="B10" s="31">
        <v>45641</v>
      </c>
      <c r="C10" s="32">
        <f>7.5/12</f>
        <v>0.625</v>
      </c>
      <c r="D10" s="33">
        <v>100</v>
      </c>
      <c r="E10" s="34">
        <f>D10/(1+$C$21)^C10</f>
        <v>97.648726958280065</v>
      </c>
      <c r="I10" s="30">
        <v>45778</v>
      </c>
      <c r="J10" s="20">
        <v>1</v>
      </c>
      <c r="K10" s="1">
        <f>$J$5</f>
        <v>3.625</v>
      </c>
      <c r="L10" s="37">
        <f t="shared" si="0"/>
        <v>3.5558344839348233</v>
      </c>
      <c r="P10" s="30">
        <v>45778</v>
      </c>
      <c r="Q10" s="20">
        <v>1</v>
      </c>
      <c r="R10" s="1">
        <f t="shared" ref="R10:R18" si="3">$Q$5</f>
        <v>2.625</v>
      </c>
      <c r="S10" s="29">
        <f t="shared" si="2"/>
        <v>2.5368457453159392</v>
      </c>
    </row>
    <row r="11" spans="2:19" ht="18.75" x14ac:dyDescent="0.3">
      <c r="B11" s="1"/>
      <c r="C11" s="1"/>
      <c r="D11" s="1"/>
      <c r="E11" s="1"/>
      <c r="I11" s="30">
        <v>45962</v>
      </c>
      <c r="J11" s="20">
        <v>1.5</v>
      </c>
      <c r="K11" s="1">
        <f>$J$5</f>
        <v>3.625</v>
      </c>
      <c r="L11" s="37">
        <f t="shared" si="0"/>
        <v>3.5217481939705335</v>
      </c>
      <c r="P11" s="30">
        <v>45962</v>
      </c>
      <c r="Q11" s="20">
        <v>1.5</v>
      </c>
      <c r="R11" s="1">
        <f t="shared" si="3"/>
        <v>2.625</v>
      </c>
      <c r="S11" s="29">
        <f t="shared" si="2"/>
        <v>2.4938850787969966</v>
      </c>
    </row>
    <row r="12" spans="2:19" ht="18.75" x14ac:dyDescent="0.3">
      <c r="I12" s="30">
        <v>46143</v>
      </c>
      <c r="J12" s="20">
        <v>2</v>
      </c>
      <c r="K12" s="1">
        <f>$J$5</f>
        <v>3.625</v>
      </c>
      <c r="L12" s="37">
        <f t="shared" si="0"/>
        <v>3.4879886557627668</v>
      </c>
      <c r="P12" s="30">
        <v>46143</v>
      </c>
      <c r="Q12" s="20">
        <v>2</v>
      </c>
      <c r="R12" s="1">
        <f t="shared" si="3"/>
        <v>2.625</v>
      </c>
      <c r="S12" s="29">
        <f t="shared" si="2"/>
        <v>2.4516519373438408</v>
      </c>
    </row>
    <row r="13" spans="2:19" ht="19.5" thickBot="1" x14ac:dyDescent="0.35">
      <c r="I13" s="31">
        <v>46327</v>
      </c>
      <c r="J13" s="32">
        <v>2.5</v>
      </c>
      <c r="K13" s="33">
        <f>100+$J$5</f>
        <v>103.625</v>
      </c>
      <c r="L13" s="38">
        <f t="shared" si="0"/>
        <v>98.752559276749565</v>
      </c>
      <c r="P13" s="30">
        <v>46327</v>
      </c>
      <c r="Q13" s="20">
        <v>2.5</v>
      </c>
      <c r="R13" s="1">
        <f t="shared" si="3"/>
        <v>2.625</v>
      </c>
      <c r="S13" s="29">
        <f t="shared" si="2"/>
        <v>2.4101340005535494</v>
      </c>
    </row>
    <row r="14" spans="2:19" ht="18.75" x14ac:dyDescent="0.3">
      <c r="P14" s="30">
        <v>46508</v>
      </c>
      <c r="Q14" s="20">
        <v>3</v>
      </c>
      <c r="R14" s="1">
        <f t="shared" si="3"/>
        <v>2.625</v>
      </c>
      <c r="S14" s="29">
        <f t="shared" si="2"/>
        <v>2.3693191566652576</v>
      </c>
    </row>
    <row r="15" spans="2:19" ht="18.75" x14ac:dyDescent="0.3">
      <c r="P15" s="30">
        <v>46692</v>
      </c>
      <c r="Q15" s="20">
        <v>3.5</v>
      </c>
      <c r="R15" s="1">
        <f t="shared" si="3"/>
        <v>2.625</v>
      </c>
      <c r="S15" s="29">
        <f t="shared" si="2"/>
        <v>2.3291954990268779</v>
      </c>
    </row>
    <row r="16" spans="2:19" ht="18.75" x14ac:dyDescent="0.3">
      <c r="P16" s="30">
        <v>46874</v>
      </c>
      <c r="Q16" s="20">
        <v>4</v>
      </c>
      <c r="R16" s="1">
        <f t="shared" si="3"/>
        <v>2.625</v>
      </c>
      <c r="S16" s="29">
        <f t="shared" si="2"/>
        <v>2.2897513226216417</v>
      </c>
    </row>
    <row r="17" spans="2:19" ht="18.75" x14ac:dyDescent="0.3">
      <c r="P17" s="30">
        <v>47058</v>
      </c>
      <c r="Q17" s="20">
        <v>4.5</v>
      </c>
      <c r="R17" s="1">
        <f t="shared" si="3"/>
        <v>2.625</v>
      </c>
      <c r="S17" s="29">
        <f t="shared" si="2"/>
        <v>2.2509751206534747</v>
      </c>
    </row>
    <row r="18" spans="2:19" ht="18.75" x14ac:dyDescent="0.3">
      <c r="P18" s="30">
        <v>47239</v>
      </c>
      <c r="Q18" s="20">
        <v>5</v>
      </c>
      <c r="R18" s="1">
        <f t="shared" si="3"/>
        <v>2.625</v>
      </c>
      <c r="S18" s="29">
        <f t="shared" si="2"/>
        <v>2.2128555811901927</v>
      </c>
    </row>
    <row r="19" spans="2:19" ht="19.5" thickBot="1" x14ac:dyDescent="0.35">
      <c r="P19" s="31">
        <v>47423</v>
      </c>
      <c r="Q19" s="32">
        <v>5.5</v>
      </c>
      <c r="R19" s="33">
        <f>100+R18</f>
        <v>102.625</v>
      </c>
      <c r="S19" s="34">
        <f t="shared" si="2"/>
        <v>85.04706096914137</v>
      </c>
    </row>
    <row r="20" spans="2:19" ht="19.5" thickBot="1" x14ac:dyDescent="0.35">
      <c r="P20" s="23"/>
      <c r="Q20" s="20"/>
    </row>
    <row r="21" spans="2:19" ht="19.5" thickBot="1" x14ac:dyDescent="0.35">
      <c r="B21" s="2" t="s">
        <v>12</v>
      </c>
      <c r="C21" s="14">
        <f>XIRR(D8:D10,B8:B10)</f>
        <v>3.8803640007972734E-2</v>
      </c>
      <c r="I21" s="2" t="s">
        <v>12</v>
      </c>
      <c r="J21" s="14">
        <f>XIRR(K8:K13,I8:I13)</f>
        <v>1.9451275467872623E-2</v>
      </c>
      <c r="P21" s="2" t="s">
        <v>12</v>
      </c>
      <c r="Q21" s="14">
        <f>XIRR(R8:R19,P8:P19)</f>
        <v>3.4749552607536316E-2</v>
      </c>
    </row>
    <row r="22" spans="2:19" ht="19.5" thickBot="1" x14ac:dyDescent="0.35">
      <c r="B22" s="2" t="s">
        <v>13</v>
      </c>
      <c r="C22" s="36">
        <f>SUM(E8:E10)</f>
        <v>-1.2730417199406929E-3</v>
      </c>
      <c r="I22" s="2" t="s">
        <v>13</v>
      </c>
      <c r="J22" s="15">
        <f>SUM(L8:L13)</f>
        <v>8.3812986376159415E-3</v>
      </c>
      <c r="P22" s="2" t="s">
        <v>13</v>
      </c>
      <c r="Q22" s="15">
        <f>SUM(S8:S19)</f>
        <v>2.2220880848948354E-2</v>
      </c>
    </row>
    <row r="23" spans="2:19" ht="19.5" thickBot="1" x14ac:dyDescent="0.35">
      <c r="B23" s="2" t="s">
        <v>14</v>
      </c>
      <c r="C23" s="59">
        <f>ABS(C22/C4)</f>
        <v>1.3036781566212933E-5</v>
      </c>
      <c r="I23" s="2" t="s">
        <v>14</v>
      </c>
      <c r="J23" s="59">
        <f>ABS(J22/J4)</f>
        <v>7.4236480404038448E-5</v>
      </c>
      <c r="P23" s="2" t="s">
        <v>14</v>
      </c>
      <c r="Q23" s="59">
        <f>ABS(Q22/Q4)</f>
        <v>2.0395484946258242E-4</v>
      </c>
    </row>
  </sheetData>
  <mergeCells count="3">
    <mergeCell ref="B2:E2"/>
    <mergeCell ref="I2:L2"/>
    <mergeCell ref="P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A67C5-AD85-AE45-8DA6-942EA85AC763}">
  <dimension ref="B2:S27"/>
  <sheetViews>
    <sheetView topLeftCell="N4" workbookViewId="0">
      <selection activeCell="K15" sqref="K15"/>
    </sheetView>
  </sheetViews>
  <sheetFormatPr defaultColWidth="11" defaultRowHeight="15.75" x14ac:dyDescent="0.25"/>
  <cols>
    <col min="2" max="2" width="24.875" bestFit="1" customWidth="1"/>
    <col min="3" max="3" width="14" bestFit="1" customWidth="1"/>
    <col min="5" max="5" width="17.625" bestFit="1" customWidth="1"/>
    <col min="9" max="9" width="24.875" bestFit="1" customWidth="1"/>
    <col min="10" max="10" width="14" bestFit="1" customWidth="1"/>
    <col min="12" max="12" width="18" bestFit="1" customWidth="1"/>
    <col min="16" max="16" width="24.875" bestFit="1" customWidth="1"/>
    <col min="17" max="17" width="14" bestFit="1" customWidth="1"/>
    <col min="19" max="19" width="18" bestFit="1" customWidth="1"/>
  </cols>
  <sheetData>
    <row r="2" spans="2:19" ht="21" x14ac:dyDescent="0.35">
      <c r="B2" s="68" t="s">
        <v>22</v>
      </c>
      <c r="C2" s="68"/>
      <c r="D2" s="68"/>
      <c r="E2" s="68"/>
      <c r="I2" s="69" t="s">
        <v>23</v>
      </c>
      <c r="J2" s="69"/>
      <c r="K2" s="69"/>
      <c r="L2" s="69"/>
      <c r="P2" s="70" t="s">
        <v>24</v>
      </c>
      <c r="Q2" s="70"/>
      <c r="R2" s="70"/>
      <c r="S2" s="70"/>
    </row>
    <row r="4" spans="2:19" ht="19.5" thickBot="1" x14ac:dyDescent="0.35">
      <c r="B4" s="2" t="s">
        <v>2</v>
      </c>
      <c r="C4" s="3">
        <v>97.65</v>
      </c>
      <c r="I4" s="2" t="s">
        <v>2</v>
      </c>
      <c r="J4" s="3">
        <v>112.9</v>
      </c>
      <c r="P4" s="2" t="s">
        <v>2</v>
      </c>
      <c r="Q4" s="3">
        <v>108.95</v>
      </c>
    </row>
    <row r="5" spans="2:19" ht="19.5" thickBot="1" x14ac:dyDescent="0.35">
      <c r="B5" s="2" t="s">
        <v>3</v>
      </c>
      <c r="C5" s="4">
        <v>0</v>
      </c>
      <c r="I5" s="2" t="s">
        <v>4</v>
      </c>
      <c r="J5" s="3">
        <v>100</v>
      </c>
      <c r="P5" s="2" t="s">
        <v>4</v>
      </c>
      <c r="Q5" s="3">
        <v>100</v>
      </c>
    </row>
    <row r="6" spans="2:19" ht="19.5" thickBot="1" x14ac:dyDescent="0.35">
      <c r="B6" s="2" t="s">
        <v>4</v>
      </c>
      <c r="C6" s="3">
        <v>100</v>
      </c>
      <c r="I6" s="2" t="s">
        <v>5</v>
      </c>
      <c r="J6" s="3">
        <v>99.45</v>
      </c>
      <c r="P6" s="2" t="s">
        <v>5</v>
      </c>
      <c r="Q6" s="3">
        <v>99.7</v>
      </c>
    </row>
    <row r="7" spans="2:19" ht="19.5" thickBot="1" x14ac:dyDescent="0.35">
      <c r="B7" s="2" t="s">
        <v>5</v>
      </c>
      <c r="C7" s="3">
        <v>100.29</v>
      </c>
      <c r="I7" s="2" t="s">
        <v>6</v>
      </c>
      <c r="J7" s="24">
        <f>MAX(0,J5-J4)</f>
        <v>0</v>
      </c>
      <c r="P7" s="2" t="s">
        <v>6</v>
      </c>
      <c r="Q7" s="24">
        <f>MAX(0,Q5-Q4)</f>
        <v>0</v>
      </c>
    </row>
    <row r="8" spans="2:19" ht="19.5" thickBot="1" x14ac:dyDescent="0.35">
      <c r="B8" s="2" t="s">
        <v>6</v>
      </c>
      <c r="C8" s="3">
        <f>MAX(0,C6-C4)</f>
        <v>2.3499999999999943</v>
      </c>
      <c r="I8" s="39" t="s">
        <v>7</v>
      </c>
      <c r="J8" s="44">
        <f>MAX(0,J5-J6)</f>
        <v>0.54999999999999716</v>
      </c>
      <c r="P8" s="39" t="s">
        <v>7</v>
      </c>
      <c r="Q8" s="44">
        <f>MAX(0,Q5-Q6)</f>
        <v>0.29999999999999716</v>
      </c>
    </row>
    <row r="9" spans="2:19" ht="19.5" thickBot="1" x14ac:dyDescent="0.35">
      <c r="B9" s="2" t="s">
        <v>7</v>
      </c>
      <c r="C9" s="3">
        <f>MAX(0,C6-C7)</f>
        <v>0</v>
      </c>
      <c r="I9" s="41" t="s">
        <v>25</v>
      </c>
      <c r="J9" s="45">
        <v>0.125</v>
      </c>
      <c r="P9" s="49" t="s">
        <v>25</v>
      </c>
      <c r="Q9" s="46">
        <v>0.125</v>
      </c>
    </row>
    <row r="10" spans="2:19" ht="16.5" thickBot="1" x14ac:dyDescent="0.3"/>
    <row r="11" spans="2:19" ht="18.75" x14ac:dyDescent="0.25">
      <c r="B11" s="5" t="s">
        <v>8</v>
      </c>
      <c r="C11" s="6" t="s">
        <v>9</v>
      </c>
      <c r="D11" s="6" t="s">
        <v>26</v>
      </c>
      <c r="E11" s="18" t="s">
        <v>27</v>
      </c>
      <c r="I11" s="5" t="s">
        <v>8</v>
      </c>
      <c r="J11" s="6" t="s">
        <v>9</v>
      </c>
      <c r="K11" s="6" t="s">
        <v>10</v>
      </c>
      <c r="L11" s="18" t="s">
        <v>11</v>
      </c>
      <c r="P11" s="25" t="s">
        <v>8</v>
      </c>
      <c r="Q11" s="26" t="s">
        <v>9</v>
      </c>
      <c r="R11" s="26" t="s">
        <v>10</v>
      </c>
      <c r="S11" s="43" t="s">
        <v>11</v>
      </c>
    </row>
    <row r="12" spans="2:19" ht="18.75" x14ac:dyDescent="0.25">
      <c r="B12" s="8">
        <v>45413</v>
      </c>
      <c r="C12" s="16">
        <v>0</v>
      </c>
      <c r="D12" s="16">
        <v>-97.65</v>
      </c>
      <c r="E12" s="22">
        <f>D12/(1+$C$50)^C12</f>
        <v>-97.65</v>
      </c>
      <c r="I12" s="8">
        <v>45413</v>
      </c>
      <c r="J12" s="16">
        <v>0</v>
      </c>
      <c r="K12" s="16">
        <f>-J4</f>
        <v>-112.9</v>
      </c>
      <c r="L12" s="19">
        <f>K12/(1+$J$25)^J12</f>
        <v>-112.9</v>
      </c>
      <c r="P12" s="28">
        <v>45413</v>
      </c>
      <c r="Q12" s="16">
        <v>0</v>
      </c>
      <c r="R12" s="16">
        <f>-Q4</f>
        <v>-108.95</v>
      </c>
      <c r="S12" s="29">
        <f>R12/(1+$Q$25)^Q12</f>
        <v>-108.95</v>
      </c>
    </row>
    <row r="13" spans="2:19" ht="18.75" x14ac:dyDescent="0.3">
      <c r="B13" s="10">
        <v>45458</v>
      </c>
      <c r="C13" s="16">
        <f>1.5/12</f>
        <v>0.125</v>
      </c>
      <c r="D13" s="1">
        <v>0</v>
      </c>
      <c r="E13" s="22">
        <f t="shared" ref="E13" si="0">D13/(1+$C$50)^C13</f>
        <v>0</v>
      </c>
      <c r="I13" s="10">
        <v>45597</v>
      </c>
      <c r="J13" s="16">
        <v>0.5</v>
      </c>
      <c r="K13" s="1">
        <f>'TIR A B C'!$J$5*(1-$J$9)</f>
        <v>3.171875</v>
      </c>
      <c r="L13" s="19">
        <f t="shared" ref="L13:L17" si="1">K13/(1+$J$25)^J13</f>
        <v>3.1549735453654884</v>
      </c>
      <c r="P13" s="30">
        <v>45597</v>
      </c>
      <c r="Q13" s="16">
        <v>0.5</v>
      </c>
      <c r="R13" s="1">
        <f>'TIR A B C'!$Q$5*(1-$Q$9)</f>
        <v>2.296875</v>
      </c>
      <c r="S13" s="29">
        <f t="shared" ref="S13:S23" si="2">R13/(1+$Q$25)^Q13</f>
        <v>2.2649861566173857</v>
      </c>
    </row>
    <row r="14" spans="2:19" ht="19.5" thickBot="1" x14ac:dyDescent="0.35">
      <c r="B14" s="11">
        <v>45641</v>
      </c>
      <c r="C14" s="12">
        <f>7.5/12</f>
        <v>0.625</v>
      </c>
      <c r="D14" s="13">
        <f>100+D13-J9*(C8+C9)</f>
        <v>99.706249999999997</v>
      </c>
      <c r="E14" s="35">
        <f>D14/(1+C25)^C14</f>
        <v>97.648884293465571</v>
      </c>
      <c r="I14" s="10">
        <v>45778</v>
      </c>
      <c r="J14" s="20">
        <v>1</v>
      </c>
      <c r="K14" s="1">
        <f>'TIR A B C'!$J$5*(1-$J$9)</f>
        <v>3.171875</v>
      </c>
      <c r="L14" s="19">
        <f t="shared" si="1"/>
        <v>3.1381621507644777</v>
      </c>
      <c r="P14" s="30">
        <v>45778</v>
      </c>
      <c r="Q14" s="20">
        <v>1</v>
      </c>
      <c r="R14" s="1">
        <f>'TIR A B C'!$Q$5*(1-$Q$9)</f>
        <v>2.296875</v>
      </c>
      <c r="S14" s="29">
        <f t="shared" si="2"/>
        <v>2.233540044481479</v>
      </c>
    </row>
    <row r="15" spans="2:19" ht="18.75" x14ac:dyDescent="0.3">
      <c r="I15" s="10">
        <v>45962</v>
      </c>
      <c r="J15" s="20">
        <v>1.5</v>
      </c>
      <c r="K15" s="1">
        <f>'TIR A B C'!$J$5*(1-$J$9)</f>
        <v>3.171875</v>
      </c>
      <c r="L15" s="19">
        <f t="shared" si="1"/>
        <v>3.12144033630871</v>
      </c>
      <c r="P15" s="30">
        <v>45962</v>
      </c>
      <c r="Q15" s="20">
        <v>1.5</v>
      </c>
      <c r="R15" s="1">
        <f>'TIR A B C'!$Q$5*(1-$Q$9)</f>
        <v>2.296875</v>
      </c>
      <c r="S15" s="29">
        <f t="shared" si="2"/>
        <v>2.2025305168984519</v>
      </c>
    </row>
    <row r="16" spans="2:19" ht="18.75" x14ac:dyDescent="0.3">
      <c r="I16" s="10">
        <v>46143</v>
      </c>
      <c r="J16" s="20">
        <v>2</v>
      </c>
      <c r="K16" s="1">
        <f>'TIR A B C'!$J$5*(1-$J$9)</f>
        <v>3.171875</v>
      </c>
      <c r="L16" s="19">
        <f t="shared" si="1"/>
        <v>3.1048076246670289</v>
      </c>
      <c r="P16" s="30">
        <v>46143</v>
      </c>
      <c r="Q16" s="20">
        <v>2</v>
      </c>
      <c r="R16" s="1">
        <f>'TIR A B C'!$Q$5*(1-$Q$9)</f>
        <v>2.296875</v>
      </c>
      <c r="S16" s="29">
        <f t="shared" si="2"/>
        <v>2.1719515125125781</v>
      </c>
    </row>
    <row r="17" spans="2:19" ht="19.5" thickBot="1" x14ac:dyDescent="0.35">
      <c r="I17" s="11">
        <v>46327</v>
      </c>
      <c r="J17" s="12">
        <v>2.5</v>
      </c>
      <c r="K17" s="13">
        <f>100+K16-$J$9*(J8+J7)</f>
        <v>103.10312500000001</v>
      </c>
      <c r="L17" s="60">
        <f t="shared" si="1"/>
        <v>100.38529951716312</v>
      </c>
      <c r="P17" s="30">
        <v>46327</v>
      </c>
      <c r="Q17" s="20">
        <v>2.5</v>
      </c>
      <c r="R17" s="1">
        <f>'TIR A B C'!$Q$5*(1-$Q$9)</f>
        <v>2.296875</v>
      </c>
      <c r="S17" s="29">
        <f t="shared" si="2"/>
        <v>2.1417970541214402</v>
      </c>
    </row>
    <row r="18" spans="2:19" ht="18.75" x14ac:dyDescent="0.3">
      <c r="P18" s="30">
        <v>46508</v>
      </c>
      <c r="Q18" s="20">
        <v>3</v>
      </c>
      <c r="R18" s="1">
        <f>'TIR A B C'!$Q$5*(1-$Q$9)</f>
        <v>2.296875</v>
      </c>
      <c r="S18" s="29">
        <f t="shared" si="2"/>
        <v>2.1120612475075746</v>
      </c>
    </row>
    <row r="19" spans="2:19" ht="18.75" x14ac:dyDescent="0.3">
      <c r="P19" s="30">
        <v>46692</v>
      </c>
      <c r="Q19" s="20">
        <v>3.5</v>
      </c>
      <c r="R19" s="1">
        <f>'TIR A B C'!$Q$5*(1-$Q$9)</f>
        <v>2.296875</v>
      </c>
      <c r="S19" s="29">
        <f t="shared" si="2"/>
        <v>2.082738280286347</v>
      </c>
    </row>
    <row r="20" spans="2:19" ht="18.75" x14ac:dyDescent="0.3">
      <c r="P20" s="30">
        <v>46874</v>
      </c>
      <c r="Q20" s="20">
        <v>4</v>
      </c>
      <c r="R20" s="1">
        <f>'TIR A B C'!$Q$5*(1-$Q$9)</f>
        <v>2.296875</v>
      </c>
      <c r="S20" s="29">
        <f t="shared" si="2"/>
        <v>2.0538224207698184</v>
      </c>
    </row>
    <row r="21" spans="2:19" ht="18.75" x14ac:dyDescent="0.3">
      <c r="P21" s="30">
        <v>47058</v>
      </c>
      <c r="Q21" s="20">
        <v>4.5</v>
      </c>
      <c r="R21" s="1">
        <f>'TIR A B C'!$Q$5*(1-$Q$9)</f>
        <v>2.296875</v>
      </c>
      <c r="S21" s="29">
        <f t="shared" si="2"/>
        <v>2.0253080168463877</v>
      </c>
    </row>
    <row r="22" spans="2:19" ht="18.75" x14ac:dyDescent="0.3">
      <c r="P22" s="30">
        <v>47239</v>
      </c>
      <c r="Q22" s="20">
        <v>5</v>
      </c>
      <c r="R22" s="1">
        <f>'TIR A B C'!$Q$5*(1-$Q$9)</f>
        <v>2.296875</v>
      </c>
      <c r="S22" s="29">
        <f t="shared" si="2"/>
        <v>1.9971894948759856</v>
      </c>
    </row>
    <row r="23" spans="2:19" ht="19.5" thickBot="1" x14ac:dyDescent="0.35">
      <c r="P23" s="31">
        <v>47423</v>
      </c>
      <c r="Q23" s="32">
        <v>5.5</v>
      </c>
      <c r="R23" s="47">
        <f>100+R22-Q9*(Q7+Q8)</f>
        <v>102.25937500000001</v>
      </c>
      <c r="S23" s="61">
        <f t="shared" si="2"/>
        <v>87.682563316309896</v>
      </c>
    </row>
    <row r="24" spans="2:19" ht="16.5" thickBot="1" x14ac:dyDescent="0.3"/>
    <row r="25" spans="2:19" ht="19.5" thickBot="1" x14ac:dyDescent="0.35">
      <c r="B25" s="2" t="s">
        <v>12</v>
      </c>
      <c r="C25" s="14">
        <f>XIRR(D12:D14,B12:B14)</f>
        <v>3.3922901749610906E-2</v>
      </c>
      <c r="I25" s="2" t="s">
        <v>12</v>
      </c>
      <c r="J25" s="14">
        <f>XIRR(K12:K17,I12:I17)</f>
        <v>1.0742864012718199E-2</v>
      </c>
      <c r="P25" s="2" t="s">
        <v>12</v>
      </c>
      <c r="Q25" s="14">
        <f>XIRR(R12:R23,P12:P23)</f>
        <v>2.8356310725212101E-2</v>
      </c>
    </row>
    <row r="26" spans="2:19" ht="19.5" thickBot="1" x14ac:dyDescent="0.35">
      <c r="B26" s="2" t="s">
        <v>13</v>
      </c>
      <c r="C26" s="36">
        <f>SUM(E12:E14)</f>
        <v>-1.1157065344349348E-3</v>
      </c>
      <c r="I26" s="2" t="s">
        <v>13</v>
      </c>
      <c r="J26" s="36">
        <f>SUM(L12:L17)</f>
        <v>4.6831742688198119E-3</v>
      </c>
      <c r="P26" s="2" t="s">
        <v>13</v>
      </c>
      <c r="Q26" s="15">
        <f>SUM(S12:S23)</f>
        <v>1.8488061227316166E-2</v>
      </c>
    </row>
    <row r="27" spans="2:19" ht="19.5" thickBot="1" x14ac:dyDescent="0.35">
      <c r="B27" s="2" t="s">
        <v>14</v>
      </c>
      <c r="C27" s="59">
        <f>ABS(C26/C4)</f>
        <v>1.1425566148847258E-5</v>
      </c>
      <c r="I27" s="2" t="s">
        <v>14</v>
      </c>
      <c r="J27" s="59">
        <f>ABS(J26/J4)</f>
        <v>4.1480728687509403E-5</v>
      </c>
      <c r="P27" s="2" t="s">
        <v>14</v>
      </c>
      <c r="Q27" s="59">
        <f>ABS(Q26/Q4)</f>
        <v>1.6969308148064401E-4</v>
      </c>
    </row>
  </sheetData>
  <mergeCells count="3">
    <mergeCell ref="B2:E2"/>
    <mergeCell ref="I2:L2"/>
    <mergeCell ref="P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A047-6CCD-574F-BD79-6F07232DD709}">
  <dimension ref="B2:F31"/>
  <sheetViews>
    <sheetView topLeftCell="A12" workbookViewId="0">
      <selection activeCell="H14" sqref="H14"/>
    </sheetView>
  </sheetViews>
  <sheetFormatPr defaultColWidth="11" defaultRowHeight="15.75" x14ac:dyDescent="0.25"/>
  <cols>
    <col min="2" max="2" width="24.875" bestFit="1" customWidth="1"/>
    <col min="3" max="3" width="14.625" bestFit="1" customWidth="1"/>
    <col min="5" max="5" width="24.125" bestFit="1" customWidth="1"/>
  </cols>
  <sheetData>
    <row r="2" spans="2:6" ht="21" x14ac:dyDescent="0.35">
      <c r="B2" s="71" t="s">
        <v>28</v>
      </c>
      <c r="C2" s="71"/>
      <c r="D2" s="71"/>
      <c r="E2" s="71"/>
      <c r="F2" s="71"/>
    </row>
    <row r="4" spans="2:6" ht="19.5" thickBot="1" x14ac:dyDescent="0.35">
      <c r="B4" s="2" t="s">
        <v>29</v>
      </c>
      <c r="C4" s="3">
        <v>97.65</v>
      </c>
      <c r="E4" s="2" t="s">
        <v>30</v>
      </c>
      <c r="F4" s="3">
        <v>108.95</v>
      </c>
    </row>
    <row r="5" spans="2:6" ht="19.5" thickBot="1" x14ac:dyDescent="0.35">
      <c r="B5" s="2" t="s">
        <v>31</v>
      </c>
      <c r="C5" s="4">
        <v>0</v>
      </c>
      <c r="E5" s="2" t="s">
        <v>32</v>
      </c>
      <c r="F5" s="3">
        <v>100</v>
      </c>
    </row>
    <row r="6" spans="2:6" ht="19.5" thickBot="1" x14ac:dyDescent="0.35">
      <c r="B6" s="2" t="s">
        <v>33</v>
      </c>
      <c r="C6" s="3">
        <v>100</v>
      </c>
      <c r="E6" s="2" t="s">
        <v>34</v>
      </c>
      <c r="F6" s="3">
        <v>99.7</v>
      </c>
    </row>
    <row r="7" spans="2:6" ht="19.5" thickBot="1" x14ac:dyDescent="0.35">
      <c r="B7" s="2" t="s">
        <v>35</v>
      </c>
      <c r="C7" s="3">
        <v>100.29</v>
      </c>
      <c r="E7" s="2" t="s">
        <v>36</v>
      </c>
      <c r="F7" s="24">
        <f>MAX(0,F5-F4)</f>
        <v>0</v>
      </c>
    </row>
    <row r="8" spans="2:6" ht="19.5" thickBot="1" x14ac:dyDescent="0.35">
      <c r="B8" s="2" t="s">
        <v>37</v>
      </c>
      <c r="C8" s="3">
        <f>MAX(0,C6-C4)</f>
        <v>2.3499999999999943</v>
      </c>
      <c r="E8" s="39" t="s">
        <v>38</v>
      </c>
      <c r="F8" s="44">
        <f>MAX(0,F5-F6)</f>
        <v>0.29999999999999716</v>
      </c>
    </row>
    <row r="9" spans="2:6" ht="19.5" thickBot="1" x14ac:dyDescent="0.35">
      <c r="B9" s="2" t="s">
        <v>39</v>
      </c>
      <c r="C9" s="3">
        <f>MAX(0,C6-C7)</f>
        <v>0</v>
      </c>
      <c r="E9" s="49" t="s">
        <v>40</v>
      </c>
      <c r="F9" s="46">
        <v>0.125</v>
      </c>
    </row>
    <row r="10" spans="2:6" ht="19.5" thickBot="1" x14ac:dyDescent="0.35">
      <c r="B10" s="41" t="s">
        <v>21</v>
      </c>
      <c r="C10" s="57">
        <v>0</v>
      </c>
      <c r="E10" s="41" t="s">
        <v>21</v>
      </c>
      <c r="F10" s="57">
        <v>2.625</v>
      </c>
    </row>
    <row r="11" spans="2:6" ht="18.75" x14ac:dyDescent="0.3">
      <c r="B11" s="48"/>
      <c r="C11" s="48"/>
      <c r="E11" s="50"/>
      <c r="F11" s="48"/>
    </row>
    <row r="13" spans="2:6" ht="18.75" x14ac:dyDescent="0.25">
      <c r="B13" s="25" t="s">
        <v>8</v>
      </c>
      <c r="C13" s="26" t="s">
        <v>9</v>
      </c>
      <c r="D13" s="26" t="s">
        <v>10</v>
      </c>
      <c r="E13" s="43" t="s">
        <v>11</v>
      </c>
    </row>
    <row r="14" spans="2:6" ht="18.75" x14ac:dyDescent="0.25">
      <c r="B14" s="28">
        <v>45413</v>
      </c>
      <c r="C14" s="16">
        <v>0</v>
      </c>
      <c r="D14" s="16">
        <f>-(C4+F4)</f>
        <v>-206.60000000000002</v>
      </c>
      <c r="E14" s="29">
        <f>D14/(1+$C$29)^C14</f>
        <v>-206.60000000000002</v>
      </c>
    </row>
    <row r="15" spans="2:6" ht="18.75" x14ac:dyDescent="0.3">
      <c r="B15" s="30">
        <v>45458</v>
      </c>
      <c r="C15" s="16">
        <f>1.5/12</f>
        <v>0.125</v>
      </c>
      <c r="D15" s="16">
        <f>C10</f>
        <v>0</v>
      </c>
      <c r="E15" s="29">
        <f t="shared" ref="E15:E27" si="0">D15/(1+$C$29)^C15</f>
        <v>0</v>
      </c>
    </row>
    <row r="16" spans="2:6" ht="18.75" x14ac:dyDescent="0.3">
      <c r="B16" s="30">
        <v>45597</v>
      </c>
      <c r="C16" s="16">
        <v>0.5</v>
      </c>
      <c r="D16" s="1">
        <f>$F$10*(1-$F$9)</f>
        <v>2.296875</v>
      </c>
      <c r="E16" s="29">
        <f t="shared" si="0"/>
        <v>2.2643642063543199</v>
      </c>
    </row>
    <row r="17" spans="2:5" ht="18.75" x14ac:dyDescent="0.3">
      <c r="B17" s="30">
        <v>45641</v>
      </c>
      <c r="C17" s="16">
        <f>C16+C15</f>
        <v>0.625</v>
      </c>
      <c r="D17" s="1">
        <f>C6+D15-F9*(C8+C9)</f>
        <v>99.706249999999997</v>
      </c>
      <c r="E17" s="29">
        <f t="shared" si="0"/>
        <v>97.945284733926542</v>
      </c>
    </row>
    <row r="18" spans="2:5" ht="18.75" x14ac:dyDescent="0.3">
      <c r="B18" s="30">
        <v>45778</v>
      </c>
      <c r="C18" s="20">
        <v>1</v>
      </c>
      <c r="D18" s="1">
        <f>$F$10*(1-$F$9)</f>
        <v>2.296875</v>
      </c>
      <c r="E18" s="29">
        <f t="shared" si="0"/>
        <v>2.2323135821577709</v>
      </c>
    </row>
    <row r="19" spans="2:5" ht="18.75" x14ac:dyDescent="0.3">
      <c r="B19" s="30">
        <v>45962</v>
      </c>
      <c r="C19" s="20">
        <v>1.5</v>
      </c>
      <c r="D19" s="1">
        <f t="shared" ref="D19:D26" si="1">$F$10*(1-$F$9)</f>
        <v>2.296875</v>
      </c>
      <c r="E19" s="29">
        <f t="shared" si="0"/>
        <v>2.2007166140067049</v>
      </c>
    </row>
    <row r="20" spans="2:5" ht="18.75" x14ac:dyDescent="0.3">
      <c r="B20" s="30">
        <v>46143</v>
      </c>
      <c r="C20" s="20">
        <v>2</v>
      </c>
      <c r="D20" s="1">
        <f t="shared" si="1"/>
        <v>2.296875</v>
      </c>
      <c r="E20" s="29">
        <f t="shared" si="0"/>
        <v>2.1695668806905291</v>
      </c>
    </row>
    <row r="21" spans="2:5" ht="18.75" x14ac:dyDescent="0.3">
      <c r="B21" s="30">
        <v>46327</v>
      </c>
      <c r="C21" s="20">
        <v>2.5</v>
      </c>
      <c r="D21" s="1">
        <f t="shared" si="1"/>
        <v>2.296875</v>
      </c>
      <c r="E21" s="29">
        <f t="shared" si="0"/>
        <v>2.1388580518867712</v>
      </c>
    </row>
    <row r="22" spans="2:5" ht="18.75" x14ac:dyDescent="0.3">
      <c r="B22" s="30">
        <v>46508</v>
      </c>
      <c r="C22" s="20">
        <v>3</v>
      </c>
      <c r="D22" s="1">
        <f t="shared" si="1"/>
        <v>2.296875</v>
      </c>
      <c r="E22" s="29">
        <f t="shared" si="0"/>
        <v>2.1085838868746172</v>
      </c>
    </row>
    <row r="23" spans="2:5" ht="18.75" x14ac:dyDescent="0.3">
      <c r="B23" s="30">
        <v>46692</v>
      </c>
      <c r="C23" s="20">
        <v>3.5</v>
      </c>
      <c r="D23" s="1">
        <f t="shared" si="1"/>
        <v>2.296875</v>
      </c>
      <c r="E23" s="29">
        <f t="shared" si="0"/>
        <v>2.0787382332666557</v>
      </c>
    </row>
    <row r="24" spans="2:5" ht="18.75" x14ac:dyDescent="0.3">
      <c r="B24" s="30">
        <v>46874</v>
      </c>
      <c r="C24" s="20">
        <v>4</v>
      </c>
      <c r="D24" s="1">
        <f t="shared" si="1"/>
        <v>2.296875</v>
      </c>
      <c r="E24" s="29">
        <f t="shared" si="0"/>
        <v>2.049315025758577</v>
      </c>
    </row>
    <row r="25" spans="2:5" ht="18.75" x14ac:dyDescent="0.3">
      <c r="B25" s="30">
        <v>47058</v>
      </c>
      <c r="C25" s="20">
        <v>4.5</v>
      </c>
      <c r="D25" s="1">
        <f t="shared" si="1"/>
        <v>2.296875</v>
      </c>
      <c r="E25" s="29">
        <f t="shared" si="0"/>
        <v>2.0203082848965681</v>
      </c>
    </row>
    <row r="26" spans="2:5" ht="18.75" x14ac:dyDescent="0.3">
      <c r="B26" s="30">
        <v>47239</v>
      </c>
      <c r="C26" s="20">
        <v>5</v>
      </c>
      <c r="D26" s="1">
        <f t="shared" si="1"/>
        <v>2.296875</v>
      </c>
      <c r="E26" s="29">
        <f t="shared" si="0"/>
        <v>1.9917121158621494</v>
      </c>
    </row>
    <row r="27" spans="2:5" ht="18.75" x14ac:dyDescent="0.3">
      <c r="B27" s="31">
        <v>47423</v>
      </c>
      <c r="C27" s="32">
        <v>5.5</v>
      </c>
      <c r="D27" s="47">
        <f>100+D26-$F$9*($F$7+$F$8)</f>
        <v>102.25937500000001</v>
      </c>
      <c r="E27" s="34">
        <f t="shared" si="0"/>
        <v>87.418079053244085</v>
      </c>
    </row>
    <row r="29" spans="2:5" ht="19.5" thickBot="1" x14ac:dyDescent="0.35">
      <c r="B29" s="2" t="s">
        <v>12</v>
      </c>
      <c r="C29" s="14">
        <f>XIRR(D14:D27,B14:B27)</f>
        <v>2.8921303153038026E-2</v>
      </c>
    </row>
    <row r="30" spans="2:5" ht="19.5" thickBot="1" x14ac:dyDescent="0.35">
      <c r="B30" s="2" t="s">
        <v>13</v>
      </c>
      <c r="C30" s="36">
        <f>SUM(E14:E27)</f>
        <v>1.7840668925259706E-2</v>
      </c>
    </row>
    <row r="31" spans="2:5" ht="19.5" thickBot="1" x14ac:dyDescent="0.35">
      <c r="B31" s="2" t="s">
        <v>14</v>
      </c>
      <c r="C31" s="59">
        <f>ABS(C30/(C4+F4))</f>
        <v>8.6353673403967589E-5</v>
      </c>
    </row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5EB24-EBF0-604D-8F3D-DABF96D0F211}">
  <dimension ref="B2:F31"/>
  <sheetViews>
    <sheetView topLeftCell="A13" workbookViewId="0">
      <selection activeCell="G11" sqref="G11"/>
    </sheetView>
  </sheetViews>
  <sheetFormatPr defaultColWidth="11" defaultRowHeight="15.75" x14ac:dyDescent="0.25"/>
  <cols>
    <col min="2" max="2" width="24.875" bestFit="1" customWidth="1"/>
    <col min="3" max="3" width="13.5" bestFit="1" customWidth="1"/>
    <col min="5" max="5" width="24.125" bestFit="1" customWidth="1"/>
  </cols>
  <sheetData>
    <row r="2" spans="2:6" ht="21" x14ac:dyDescent="0.35">
      <c r="B2" s="71" t="s">
        <v>41</v>
      </c>
      <c r="C2" s="71"/>
      <c r="D2" s="71"/>
      <c r="E2" s="71"/>
      <c r="F2" s="71"/>
    </row>
    <row r="4" spans="2:6" ht="19.5" thickBot="1" x14ac:dyDescent="0.35">
      <c r="B4" s="2" t="s">
        <v>42</v>
      </c>
      <c r="C4" s="3">
        <v>112.9</v>
      </c>
      <c r="E4" s="2" t="s">
        <v>30</v>
      </c>
      <c r="F4" s="3">
        <v>108.95</v>
      </c>
    </row>
    <row r="5" spans="2:6" ht="19.5" thickBot="1" x14ac:dyDescent="0.35">
      <c r="B5" s="2" t="s">
        <v>43</v>
      </c>
      <c r="C5" s="3">
        <v>100</v>
      </c>
      <c r="E5" s="2" t="s">
        <v>32</v>
      </c>
      <c r="F5" s="3">
        <v>100</v>
      </c>
    </row>
    <row r="6" spans="2:6" ht="19.5" thickBot="1" x14ac:dyDescent="0.35">
      <c r="B6" s="2" t="s">
        <v>44</v>
      </c>
      <c r="C6" s="3">
        <v>99.45</v>
      </c>
      <c r="E6" s="2" t="s">
        <v>34</v>
      </c>
      <c r="F6" s="3">
        <v>99.7</v>
      </c>
    </row>
    <row r="7" spans="2:6" ht="19.5" thickBot="1" x14ac:dyDescent="0.35">
      <c r="B7" s="2" t="s">
        <v>45</v>
      </c>
      <c r="C7" s="24">
        <f>MAX(0,C5-C4)</f>
        <v>0</v>
      </c>
      <c r="E7" s="2" t="s">
        <v>36</v>
      </c>
      <c r="F7" s="24">
        <f>MAX(0,F5-F4)</f>
        <v>0</v>
      </c>
    </row>
    <row r="8" spans="2:6" ht="19.5" thickBot="1" x14ac:dyDescent="0.35">
      <c r="B8" s="39" t="s">
        <v>46</v>
      </c>
      <c r="C8" s="44">
        <f>MAX(0,C5-C6)</f>
        <v>0.54999999999999716</v>
      </c>
      <c r="E8" s="39" t="s">
        <v>38</v>
      </c>
      <c r="F8" s="44">
        <f>MAX(0,F5-F6)</f>
        <v>0.29999999999999716</v>
      </c>
    </row>
    <row r="9" spans="2:6" ht="19.5" thickBot="1" x14ac:dyDescent="0.35">
      <c r="B9" s="41" t="s">
        <v>25</v>
      </c>
      <c r="C9" s="45">
        <v>0.125</v>
      </c>
      <c r="E9" s="49" t="s">
        <v>40</v>
      </c>
      <c r="F9" s="46">
        <v>0.125</v>
      </c>
    </row>
    <row r="10" spans="2:6" ht="19.5" thickBot="1" x14ac:dyDescent="0.35">
      <c r="B10" s="49" t="s">
        <v>47</v>
      </c>
      <c r="C10" s="42">
        <v>3.625</v>
      </c>
      <c r="E10" s="41" t="s">
        <v>48</v>
      </c>
      <c r="F10" s="57">
        <v>2.625</v>
      </c>
    </row>
    <row r="11" spans="2:6" ht="18.75" x14ac:dyDescent="0.3">
      <c r="B11" s="48"/>
      <c r="C11" s="50"/>
      <c r="E11" s="50"/>
      <c r="F11" s="48"/>
    </row>
    <row r="12" spans="2:6" ht="16.5" thickBot="1" x14ac:dyDescent="0.3"/>
    <row r="13" spans="2:6" ht="18.75" x14ac:dyDescent="0.25">
      <c r="B13" s="25" t="s">
        <v>8</v>
      </c>
      <c r="C13" s="26" t="s">
        <v>9</v>
      </c>
      <c r="D13" s="26" t="s">
        <v>10</v>
      </c>
      <c r="E13" s="43" t="s">
        <v>11</v>
      </c>
    </row>
    <row r="14" spans="2:6" ht="18.75" x14ac:dyDescent="0.25">
      <c r="B14" s="28">
        <v>45413</v>
      </c>
      <c r="C14" s="16">
        <v>0</v>
      </c>
      <c r="D14" s="16">
        <f>-(C4+F4)</f>
        <v>-221.85000000000002</v>
      </c>
      <c r="E14" s="29">
        <f>D14/(1+$C$29)^C14</f>
        <v>-221.85000000000002</v>
      </c>
    </row>
    <row r="15" spans="2:6" ht="18.75" x14ac:dyDescent="0.3">
      <c r="B15" s="30">
        <v>45597</v>
      </c>
      <c r="C15" s="16">
        <v>0.5</v>
      </c>
      <c r="D15" s="1">
        <f>$C$10*(1-$C$9)+$F$10*(1-$C$9)</f>
        <v>5.46875</v>
      </c>
      <c r="E15" s="29">
        <f t="shared" ref="E15:E25" si="0">D15/(1+$C$29)^C15</f>
        <v>5.4079567342867589</v>
      </c>
    </row>
    <row r="16" spans="2:6" ht="18.75" x14ac:dyDescent="0.3">
      <c r="B16" s="30">
        <v>45778</v>
      </c>
      <c r="C16" s="20">
        <v>1</v>
      </c>
      <c r="D16" s="1">
        <f t="shared" ref="D16:D17" si="1">$C$10*(1-$C$9)+$F$10*(1-$C$9)</f>
        <v>5.46875</v>
      </c>
      <c r="E16" s="29">
        <f t="shared" si="0"/>
        <v>5.3478392758706299</v>
      </c>
    </row>
    <row r="17" spans="2:5" ht="18.75" x14ac:dyDescent="0.3">
      <c r="B17" s="30">
        <v>45962</v>
      </c>
      <c r="C17" s="20">
        <v>1.5</v>
      </c>
      <c r="D17" s="1">
        <f t="shared" si="1"/>
        <v>5.46875</v>
      </c>
      <c r="E17" s="29">
        <f t="shared" si="0"/>
        <v>5.2883901121513688</v>
      </c>
    </row>
    <row r="18" spans="2:5" ht="18.75" x14ac:dyDescent="0.3">
      <c r="B18" s="30">
        <v>46143</v>
      </c>
      <c r="C18" s="20">
        <v>2</v>
      </c>
      <c r="D18" s="1">
        <f>$C$10*(1-$C$9)+$F$10*(1-$C$9)</f>
        <v>5.46875</v>
      </c>
      <c r="E18" s="29">
        <f t="shared" si="0"/>
        <v>5.2296018140424234</v>
      </c>
    </row>
    <row r="19" spans="2:5" ht="18.75" x14ac:dyDescent="0.3">
      <c r="B19" s="30">
        <v>46327</v>
      </c>
      <c r="C19" s="20">
        <v>2.5</v>
      </c>
      <c r="D19" s="1">
        <f>C5+D18-C9*(C7+C8)</f>
        <v>105.4</v>
      </c>
      <c r="E19" s="29">
        <f t="shared" si="0"/>
        <v>99.670422947380189</v>
      </c>
    </row>
    <row r="20" spans="2:5" ht="18.75" x14ac:dyDescent="0.3">
      <c r="B20" s="30">
        <v>46508</v>
      </c>
      <c r="C20" s="20">
        <v>3</v>
      </c>
      <c r="D20" s="1">
        <f>$F$10*(1-$C$9)</f>
        <v>2.296875</v>
      </c>
      <c r="E20" s="29">
        <f t="shared" si="0"/>
        <v>2.1478709743334679</v>
      </c>
    </row>
    <row r="21" spans="2:5" ht="18.75" x14ac:dyDescent="0.3">
      <c r="B21" s="30">
        <v>46692</v>
      </c>
      <c r="C21" s="20">
        <v>3.5</v>
      </c>
      <c r="D21" s="1">
        <f t="shared" ref="D21:D23" si="2">$F$10*(1-$C$9)</f>
        <v>2.296875</v>
      </c>
      <c r="E21" s="29">
        <f t="shared" si="0"/>
        <v>2.1239942034332788</v>
      </c>
    </row>
    <row r="22" spans="2:5" ht="18.75" x14ac:dyDescent="0.3">
      <c r="B22" s="30">
        <v>46874</v>
      </c>
      <c r="C22" s="20">
        <v>4</v>
      </c>
      <c r="D22" s="1">
        <f t="shared" si="2"/>
        <v>2.296875</v>
      </c>
      <c r="E22" s="29">
        <f t="shared" si="0"/>
        <v>2.1003828582478699</v>
      </c>
    </row>
    <row r="23" spans="2:5" ht="18.75" x14ac:dyDescent="0.3">
      <c r="B23" s="30">
        <v>47058</v>
      </c>
      <c r="C23" s="20">
        <v>4.5</v>
      </c>
      <c r="D23" s="1">
        <f t="shared" si="2"/>
        <v>2.296875</v>
      </c>
      <c r="E23" s="29">
        <f t="shared" si="0"/>
        <v>2.0770339881768303</v>
      </c>
    </row>
    <row r="24" spans="2:5" ht="18.75" x14ac:dyDescent="0.3">
      <c r="B24" s="30">
        <v>47239</v>
      </c>
      <c r="C24" s="20">
        <v>5</v>
      </c>
      <c r="D24" s="1">
        <f>$F$10*(1-$C$9)</f>
        <v>2.296875</v>
      </c>
      <c r="E24" s="29">
        <f t="shared" si="0"/>
        <v>2.0539446754200452</v>
      </c>
    </row>
    <row r="25" spans="2:5" ht="19.5" thickBot="1" x14ac:dyDescent="0.35">
      <c r="B25" s="65">
        <v>47423</v>
      </c>
      <c r="C25" s="32">
        <v>5.5</v>
      </c>
      <c r="D25" s="47">
        <f>D24+F5-F9*(F7+F8)</f>
        <v>102.25937500000001</v>
      </c>
      <c r="E25" s="61">
        <f t="shared" si="0"/>
        <v>90.427318515161531</v>
      </c>
    </row>
    <row r="28" spans="2:5" ht="16.5" thickBot="1" x14ac:dyDescent="0.3"/>
    <row r="29" spans="2:5" ht="19.5" thickBot="1" x14ac:dyDescent="0.35">
      <c r="B29" s="2" t="s">
        <v>12</v>
      </c>
      <c r="C29" s="14">
        <f>XIRR(D14:D27,B14:B27)</f>
        <v>2.2609266638755805E-2</v>
      </c>
    </row>
    <row r="30" spans="2:5" ht="19.5" thickBot="1" x14ac:dyDescent="0.35">
      <c r="B30" s="2" t="s">
        <v>13</v>
      </c>
      <c r="C30" s="36">
        <f>SUM(E14:E27)</f>
        <v>2.4756098504369106E-2</v>
      </c>
    </row>
    <row r="31" spans="2:5" ht="19.5" thickBot="1" x14ac:dyDescent="0.35">
      <c r="B31" s="2" t="s">
        <v>14</v>
      </c>
      <c r="C31" s="59">
        <f>ABS(C30/D14)</f>
        <v>1.11589355440023E-4</v>
      </c>
    </row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C660D-1FF5-D947-A4D8-7781687E6B3F}">
  <dimension ref="B2:I32"/>
  <sheetViews>
    <sheetView tabSelected="1" topLeftCell="A8" zoomScale="111" workbookViewId="0">
      <selection activeCell="E31" sqref="E31"/>
    </sheetView>
  </sheetViews>
  <sheetFormatPr defaultColWidth="11" defaultRowHeight="15.75" x14ac:dyDescent="0.25"/>
  <cols>
    <col min="2" max="2" width="25" bestFit="1" customWidth="1"/>
    <col min="3" max="3" width="14.625" bestFit="1" customWidth="1"/>
    <col min="4" max="4" width="14" bestFit="1" customWidth="1"/>
    <col min="5" max="5" width="24.375" bestFit="1" customWidth="1"/>
    <col min="8" max="8" width="24.125" bestFit="1" customWidth="1"/>
  </cols>
  <sheetData>
    <row r="2" spans="2:9" ht="21" x14ac:dyDescent="0.35">
      <c r="B2" s="71" t="s">
        <v>49</v>
      </c>
      <c r="C2" s="71"/>
      <c r="D2" s="71"/>
      <c r="E2" s="71"/>
      <c r="F2" s="71"/>
      <c r="G2" s="71"/>
      <c r="H2" s="71"/>
      <c r="I2" s="71"/>
    </row>
    <row r="4" spans="2:9" ht="19.5" thickBot="1" x14ac:dyDescent="0.35">
      <c r="B4" s="2" t="s">
        <v>29</v>
      </c>
      <c r="C4" s="3">
        <v>97.65</v>
      </c>
      <c r="E4" s="2" t="s">
        <v>42</v>
      </c>
      <c r="F4" s="3">
        <v>112.9</v>
      </c>
      <c r="H4" s="2" t="s">
        <v>30</v>
      </c>
      <c r="I4" s="3">
        <v>108.95</v>
      </c>
    </row>
    <row r="5" spans="2:9" ht="19.5" thickBot="1" x14ac:dyDescent="0.35">
      <c r="B5" s="2" t="s">
        <v>31</v>
      </c>
      <c r="C5" s="4">
        <v>0</v>
      </c>
      <c r="E5" s="2" t="s">
        <v>43</v>
      </c>
      <c r="F5" s="3">
        <v>100</v>
      </c>
      <c r="H5" s="2" t="s">
        <v>32</v>
      </c>
      <c r="I5" s="3">
        <v>100</v>
      </c>
    </row>
    <row r="6" spans="2:9" ht="19.5" thickBot="1" x14ac:dyDescent="0.35">
      <c r="B6" s="2" t="s">
        <v>33</v>
      </c>
      <c r="C6" s="3">
        <v>100</v>
      </c>
      <c r="E6" s="2" t="s">
        <v>44</v>
      </c>
      <c r="F6" s="3">
        <v>99.45</v>
      </c>
      <c r="H6" s="2" t="s">
        <v>34</v>
      </c>
      <c r="I6" s="3">
        <v>99.7</v>
      </c>
    </row>
    <row r="7" spans="2:9" ht="19.5" thickBot="1" x14ac:dyDescent="0.35">
      <c r="B7" s="2" t="s">
        <v>35</v>
      </c>
      <c r="C7" s="3">
        <v>100.29</v>
      </c>
      <c r="E7" s="2" t="s">
        <v>45</v>
      </c>
      <c r="F7" s="24">
        <f>MAX(0,F5-F4)</f>
        <v>0</v>
      </c>
      <c r="H7" s="2" t="s">
        <v>36</v>
      </c>
      <c r="I7" s="24">
        <f>MAX(0,I5-I4)</f>
        <v>0</v>
      </c>
    </row>
    <row r="8" spans="2:9" ht="19.5" thickBot="1" x14ac:dyDescent="0.35">
      <c r="B8" s="2" t="s">
        <v>37</v>
      </c>
      <c r="C8" s="24">
        <f>MAX(0,C6-C4)</f>
        <v>2.3499999999999943</v>
      </c>
      <c r="E8" s="39" t="s">
        <v>46</v>
      </c>
      <c r="F8" s="44">
        <f>MAX(0,F5-F6)</f>
        <v>0.54999999999999716</v>
      </c>
      <c r="H8" s="39" t="s">
        <v>38</v>
      </c>
      <c r="I8" s="44">
        <f>MAX(0,I5-I6)</f>
        <v>0.29999999999999716</v>
      </c>
    </row>
    <row r="9" spans="2:9" ht="19.5" thickBot="1" x14ac:dyDescent="0.35">
      <c r="B9" s="39" t="s">
        <v>39</v>
      </c>
      <c r="C9" s="44">
        <f>MAX(0,C6-C7)</f>
        <v>0</v>
      </c>
      <c r="E9" s="51" t="s">
        <v>25</v>
      </c>
      <c r="F9" s="55">
        <v>0.125</v>
      </c>
      <c r="H9" s="54" t="s">
        <v>50</v>
      </c>
      <c r="I9" s="56">
        <v>0.125</v>
      </c>
    </row>
    <row r="10" spans="2:9" ht="19.5" thickBot="1" x14ac:dyDescent="0.35">
      <c r="B10" s="51" t="s">
        <v>51</v>
      </c>
      <c r="C10" s="52">
        <v>0.15</v>
      </c>
      <c r="E10" s="41" t="s">
        <v>52</v>
      </c>
      <c r="F10" s="53">
        <v>0.45</v>
      </c>
      <c r="H10" s="51" t="s">
        <v>53</v>
      </c>
      <c r="I10" s="52">
        <v>0.4</v>
      </c>
    </row>
    <row r="11" spans="2:9" ht="19.5" thickBot="1" x14ac:dyDescent="0.35">
      <c r="B11" s="51" t="s">
        <v>54</v>
      </c>
      <c r="C11" s="62">
        <f>FLOOR(1000000*C10/C4,1)</f>
        <v>1536</v>
      </c>
      <c r="E11" s="63" t="s">
        <v>55</v>
      </c>
      <c r="F11" s="64">
        <f>FLOOR(1000000*F10/F4,1)</f>
        <v>3985</v>
      </c>
      <c r="H11" s="51" t="s">
        <v>56</v>
      </c>
      <c r="I11" s="62">
        <f>FLOOR(1000000*I10/I4,1)</f>
        <v>3671</v>
      </c>
    </row>
    <row r="12" spans="2:9" ht="19.5" thickBot="1" x14ac:dyDescent="0.35">
      <c r="B12" s="41" t="s">
        <v>21</v>
      </c>
      <c r="C12" s="57">
        <v>0</v>
      </c>
      <c r="E12" s="41" t="s">
        <v>20</v>
      </c>
      <c r="F12" s="42">
        <v>3.625</v>
      </c>
      <c r="H12" s="41" t="s">
        <v>21</v>
      </c>
      <c r="I12" s="57">
        <v>2.625</v>
      </c>
    </row>
    <row r="13" spans="2:9" ht="16.5" thickBot="1" x14ac:dyDescent="0.3"/>
    <row r="14" spans="2:9" ht="18.75" x14ac:dyDescent="0.25">
      <c r="B14" s="25" t="s">
        <v>8</v>
      </c>
      <c r="C14" s="26" t="s">
        <v>9</v>
      </c>
      <c r="D14" s="26" t="s">
        <v>10</v>
      </c>
      <c r="E14" s="43" t="s">
        <v>11</v>
      </c>
    </row>
    <row r="15" spans="2:9" ht="18.75" x14ac:dyDescent="0.25">
      <c r="B15" s="28">
        <v>45413</v>
      </c>
      <c r="C15" s="16">
        <v>0</v>
      </c>
      <c r="D15" s="58">
        <f>-(C4*C11+F4*F11+I4*I11)</f>
        <v>-999852.35000000009</v>
      </c>
      <c r="E15" s="29">
        <f>D15/(1+$C$30)^C15</f>
        <v>-999852.35000000009</v>
      </c>
    </row>
    <row r="16" spans="2:9" ht="18.75" x14ac:dyDescent="0.3">
      <c r="B16" s="30">
        <v>45458</v>
      </c>
      <c r="C16" s="16">
        <f>1.5/12</f>
        <v>0.125</v>
      </c>
      <c r="D16" s="16">
        <f>C12</f>
        <v>0</v>
      </c>
      <c r="E16" s="29">
        <f t="shared" ref="E16:E28" si="0">D16/(1+$C$30)^C16</f>
        <v>0</v>
      </c>
    </row>
    <row r="17" spans="2:5" ht="18.75" x14ac:dyDescent="0.3">
      <c r="B17" s="30">
        <v>45597</v>
      </c>
      <c r="C17" s="16">
        <v>0.5</v>
      </c>
      <c r="D17" s="1">
        <f>($F$11*$F$12+$I$11*$I$12)*(1-$F$9)</f>
        <v>21071.75</v>
      </c>
      <c r="E17" s="29">
        <f t="shared" si="0"/>
        <v>20837.277130554059</v>
      </c>
    </row>
    <row r="18" spans="2:5" ht="18.75" x14ac:dyDescent="0.3">
      <c r="B18" s="30">
        <v>45641</v>
      </c>
      <c r="C18" s="16">
        <f>C17+C16</f>
        <v>0.625</v>
      </c>
      <c r="D18" s="1">
        <f>C6*C11-F9*(C9+C8)*C11</f>
        <v>153148.79999999999</v>
      </c>
      <c r="E18" s="29">
        <f t="shared" si="0"/>
        <v>151021.59461233011</v>
      </c>
    </row>
    <row r="19" spans="2:5" ht="18.75" x14ac:dyDescent="0.3">
      <c r="B19" s="30">
        <v>45778</v>
      </c>
      <c r="C19" s="20">
        <v>1</v>
      </c>
      <c r="D19" s="1">
        <f>($F$11*$F$12+$I$11*$I$12)*(1-$F$9)</f>
        <v>21071.75</v>
      </c>
      <c r="E19" s="29">
        <f t="shared" si="0"/>
        <v>20605.413324261692</v>
      </c>
    </row>
    <row r="20" spans="2:5" ht="18.75" x14ac:dyDescent="0.3">
      <c r="B20" s="30">
        <v>45962</v>
      </c>
      <c r="C20" s="20">
        <v>1.5</v>
      </c>
      <c r="D20" s="1">
        <f t="shared" ref="D20:D21" si="1">($F$11*$F$12+$I$11*$I$12)*(1-$F$9)</f>
        <v>21071.75</v>
      </c>
      <c r="E20" s="29">
        <f t="shared" si="0"/>
        <v>20376.129549147656</v>
      </c>
    </row>
    <row r="21" spans="2:5" ht="18.75" x14ac:dyDescent="0.3">
      <c r="B21" s="30">
        <v>46143</v>
      </c>
      <c r="C21" s="20">
        <v>2</v>
      </c>
      <c r="D21" s="1">
        <f t="shared" si="1"/>
        <v>21071.75</v>
      </c>
      <c r="E21" s="29">
        <f t="shared" si="0"/>
        <v>20149.397096285848</v>
      </c>
    </row>
    <row r="22" spans="2:5" ht="18.75" x14ac:dyDescent="0.3">
      <c r="B22" s="30">
        <v>46327</v>
      </c>
      <c r="C22" s="20">
        <v>2.5</v>
      </c>
      <c r="D22" s="1">
        <f>F5*F11+($F$11*$F$12+$I$11*$I$12)*(1-$F$9)-F9*(F8+F7)*F11</f>
        <v>419297.78125</v>
      </c>
      <c r="E22" s="29">
        <f>D22/(1+$C$30)^C22</f>
        <v>396482.82376606867</v>
      </c>
    </row>
    <row r="23" spans="2:5" ht="18.75" x14ac:dyDescent="0.3">
      <c r="B23" s="30">
        <v>46508</v>
      </c>
      <c r="C23" s="20">
        <v>3</v>
      </c>
      <c r="D23" s="1">
        <f t="shared" ref="D23:D24" si="2">($I$11*$I$12)*(1-$F$9)</f>
        <v>8431.828125</v>
      </c>
      <c r="E23" s="29">
        <f t="shared" si="0"/>
        <v>7884.3141688598507</v>
      </c>
    </row>
    <row r="24" spans="2:5" ht="18.75" x14ac:dyDescent="0.3">
      <c r="B24" s="30">
        <v>46692</v>
      </c>
      <c r="C24" s="20">
        <v>3.5</v>
      </c>
      <c r="D24" s="1">
        <f t="shared" si="2"/>
        <v>8431.828125</v>
      </c>
      <c r="E24" s="29">
        <f>D24/(1+$C$30)^C24</f>
        <v>7796.5825961719711</v>
      </c>
    </row>
    <row r="25" spans="2:5" ht="18.75" x14ac:dyDescent="0.3">
      <c r="B25" s="30">
        <v>46874</v>
      </c>
      <c r="C25" s="20">
        <v>4</v>
      </c>
      <c r="D25" s="1">
        <f>($I$11*$I$12)*(1-$F$9)</f>
        <v>8431.828125</v>
      </c>
      <c r="E25" s="29">
        <f t="shared" si="0"/>
        <v>7709.8272439493639</v>
      </c>
    </row>
    <row r="26" spans="2:5" ht="18.75" x14ac:dyDescent="0.3">
      <c r="B26" s="30">
        <v>47058</v>
      </c>
      <c r="C26" s="20">
        <v>4.5</v>
      </c>
      <c r="D26" s="1">
        <f t="shared" ref="D26:D27" si="3">($I$11*$I$12)*(1-$F$9)</f>
        <v>8431.828125</v>
      </c>
      <c r="E26" s="29">
        <f t="shared" si="0"/>
        <v>7624.0372494391186</v>
      </c>
    </row>
    <row r="27" spans="2:5" ht="18.75" x14ac:dyDescent="0.3">
      <c r="B27" s="30">
        <v>47239</v>
      </c>
      <c r="C27" s="20">
        <v>5</v>
      </c>
      <c r="D27" s="1">
        <f t="shared" si="3"/>
        <v>8431.828125</v>
      </c>
      <c r="E27" s="29">
        <f t="shared" si="0"/>
        <v>7539.2018707620418</v>
      </c>
    </row>
    <row r="28" spans="2:5" ht="19.5" thickBot="1" x14ac:dyDescent="0.35">
      <c r="B28" s="31">
        <v>47423</v>
      </c>
      <c r="C28" s="32">
        <v>5.5</v>
      </c>
      <c r="D28" s="47">
        <f>I11*I5+D27-I9*(I7+I8)*I11</f>
        <v>375394.16562500002</v>
      </c>
      <c r="E28" s="61">
        <f t="shared" si="0"/>
        <v>331918.53744112985</v>
      </c>
    </row>
    <row r="29" spans="2:5" ht="16.5" thickBot="1" x14ac:dyDescent="0.3"/>
    <row r="30" spans="2:5" ht="19.5" thickBot="1" x14ac:dyDescent="0.35">
      <c r="B30" s="2" t="s">
        <v>12</v>
      </c>
      <c r="C30" s="14">
        <f>XIRR(D15:D28,B15:B28)</f>
        <v>2.2631755471229559E-2</v>
      </c>
    </row>
    <row r="31" spans="2:5" ht="19.5" thickBot="1" x14ac:dyDescent="0.35">
      <c r="B31" s="2" t="s">
        <v>13</v>
      </c>
      <c r="C31" s="36">
        <f>SUM(E15:E28)</f>
        <v>92.786048960115295</v>
      </c>
    </row>
    <row r="32" spans="2:5" ht="19.5" thickBot="1" x14ac:dyDescent="0.35">
      <c r="B32" s="2" t="s">
        <v>14</v>
      </c>
      <c r="C32" s="59">
        <f>ABS(C31/D15)</f>
        <v>9.2799750843327309E-5</v>
      </c>
    </row>
  </sheetData>
  <mergeCells count="1"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MAGGIO tax</vt:lpstr>
      <vt:lpstr>TIR A B C</vt:lpstr>
      <vt:lpstr>TIR A B C tax</vt:lpstr>
      <vt:lpstr>Portafoglio A C</vt:lpstr>
      <vt:lpstr>Portafoglio B C</vt:lpstr>
      <vt:lpstr>Portafoglio 1 milione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Alessandro Rossi</dc:creator>
  <cp:keywords/>
  <dc:description/>
  <cp:lastModifiedBy>Federico Maria Riva</cp:lastModifiedBy>
  <cp:revision/>
  <dcterms:created xsi:type="dcterms:W3CDTF">2024-04-08T12:28:39Z</dcterms:created>
  <dcterms:modified xsi:type="dcterms:W3CDTF">2024-04-11T10:49:05Z</dcterms:modified>
  <cp:category/>
  <cp:contentStatus/>
</cp:coreProperties>
</file>