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771166_polimi_it/Documents/FINANZA MATEMATICA I/laboratori/lab_2/"/>
    </mc:Choice>
  </mc:AlternateContent>
  <xr:revisionPtr revIDLastSave="1701" documentId="13_ncr:1_{E7367DEF-E4E4-7D46-951C-5ED83D0C9967}" xr6:coauthVersionLast="47" xr6:coauthVersionMax="47" xr10:uidLastSave="{40561ABC-9A4A-485A-A957-8F34EF4E8432}"/>
  <bookViews>
    <workbookView xWindow="-120" yWindow="-120" windowWidth="29040" windowHeight="15840" activeTab="1" xr2:uid="{B1BA74CD-AD52-4272-8052-DFFD7C539B87}"/>
  </bookViews>
  <sheets>
    <sheet name="1°titolo" sheetId="2" r:id="rId1"/>
    <sheet name="2°titolo" sheetId="8" r:id="rId2"/>
    <sheet name="Duration, Convexity e Imm.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8" l="1"/>
  <c r="E28" i="9" l="1"/>
  <c r="F24" i="9"/>
  <c r="B22" i="9"/>
  <c r="B21" i="9"/>
  <c r="E24" i="9" s="1"/>
  <c r="I11" i="2"/>
  <c r="N3" i="2"/>
  <c r="F40" i="8"/>
  <c r="E39" i="2" l="1"/>
  <c r="E38" i="2"/>
  <c r="E37" i="2"/>
  <c r="E36" i="2"/>
  <c r="E35" i="2"/>
  <c r="E24" i="2"/>
  <c r="E23" i="2"/>
  <c r="E22" i="2"/>
  <c r="E21" i="2"/>
  <c r="E20" i="2"/>
  <c r="E9" i="2"/>
  <c r="E8" i="2"/>
  <c r="E7" i="2"/>
  <c r="E6" i="2"/>
  <c r="E5" i="2"/>
  <c r="I41" i="8"/>
  <c r="I25" i="8"/>
  <c r="I10" i="8"/>
  <c r="F41" i="8"/>
  <c r="F26" i="8"/>
  <c r="F25" i="8"/>
  <c r="F26" i="2"/>
  <c r="F25" i="2"/>
  <c r="F41" i="2"/>
  <c r="F40" i="2"/>
  <c r="F10" i="8"/>
  <c r="F11" i="8"/>
  <c r="F11" i="2"/>
  <c r="F10" i="2"/>
  <c r="J35" i="8" l="1"/>
  <c r="J34" i="8"/>
  <c r="I34" i="8"/>
  <c r="H34" i="8"/>
  <c r="H35" i="8"/>
  <c r="I35" i="8"/>
  <c r="J19" i="8"/>
  <c r="H20" i="8"/>
  <c r="I20" i="8"/>
  <c r="J5" i="8"/>
  <c r="D35" i="8"/>
  <c r="E35" i="8"/>
  <c r="F35" i="8" s="1"/>
  <c r="D36" i="8"/>
  <c r="E36" i="8"/>
  <c r="F36" i="8" s="1"/>
  <c r="E37" i="8"/>
  <c r="F37" i="8"/>
  <c r="E38" i="8"/>
  <c r="F38" i="8"/>
  <c r="D39" i="8"/>
  <c r="E39" i="8"/>
  <c r="D20" i="8"/>
  <c r="E20" i="8"/>
  <c r="F20" i="8" s="1"/>
  <c r="D21" i="8"/>
  <c r="E21" i="8"/>
  <c r="F21" i="8" s="1"/>
  <c r="E22" i="8"/>
  <c r="F22" i="8" s="1"/>
  <c r="E23" i="8"/>
  <c r="F23" i="8"/>
  <c r="D24" i="8"/>
  <c r="E24" i="8"/>
  <c r="F24" i="8" s="1"/>
  <c r="D5" i="8"/>
  <c r="E5" i="8"/>
  <c r="F5" i="8" s="1"/>
  <c r="H5" i="8"/>
  <c r="I5" i="8"/>
  <c r="D6" i="8"/>
  <c r="E6" i="8"/>
  <c r="F6" i="8"/>
  <c r="E7" i="8"/>
  <c r="F7" i="8" s="1"/>
  <c r="E8" i="8"/>
  <c r="F8" i="8" s="1"/>
  <c r="D9" i="8"/>
  <c r="E9" i="8"/>
  <c r="D35" i="2"/>
  <c r="F35" i="2" s="1"/>
  <c r="H35" i="2"/>
  <c r="I35" i="2"/>
  <c r="J35" i="2"/>
  <c r="K35" i="2"/>
  <c r="D36" i="2"/>
  <c r="F36" i="2"/>
  <c r="F38" i="2"/>
  <c r="D39" i="2"/>
  <c r="F39" i="2" s="1"/>
  <c r="I36" i="2" s="1"/>
  <c r="D24" i="2"/>
  <c r="F23" i="2"/>
  <c r="F22" i="2"/>
  <c r="H21" i="2" s="1"/>
  <c r="D21" i="2"/>
  <c r="K20" i="2"/>
  <c r="J20" i="2"/>
  <c r="I20" i="2"/>
  <c r="H20" i="2"/>
  <c r="D20" i="2"/>
  <c r="D9" i="2"/>
  <c r="F9" i="2" s="1"/>
  <c r="I6" i="2" s="1"/>
  <c r="J6" i="2" s="1"/>
  <c r="K6" i="2" s="1"/>
  <c r="F8" i="2"/>
  <c r="D6" i="2"/>
  <c r="F6" i="2" s="1"/>
  <c r="K5" i="2"/>
  <c r="J5" i="2"/>
  <c r="I5" i="2"/>
  <c r="H5" i="2"/>
  <c r="D5" i="2"/>
  <c r="F39" i="8" l="1"/>
  <c r="J36" i="8" s="1"/>
  <c r="J37" i="8" s="1"/>
  <c r="F9" i="8"/>
  <c r="I6" i="8"/>
  <c r="O3" i="8" s="1"/>
  <c r="N11" i="8"/>
  <c r="O11" i="8"/>
  <c r="I21" i="8"/>
  <c r="I22" i="8" s="1"/>
  <c r="H21" i="8"/>
  <c r="H22" i="8" s="1"/>
  <c r="H36" i="8"/>
  <c r="I36" i="8"/>
  <c r="O11" i="2"/>
  <c r="P11" i="2"/>
  <c r="J36" i="2"/>
  <c r="J37" i="2" s="1"/>
  <c r="K36" i="2"/>
  <c r="K37" i="2" s="1"/>
  <c r="I37" i="2"/>
  <c r="P3" i="2"/>
  <c r="J6" i="8"/>
  <c r="P3" i="8" s="1"/>
  <c r="Q11" i="2"/>
  <c r="F5" i="2"/>
  <c r="F37" i="2"/>
  <c r="H36" i="2" s="1"/>
  <c r="H37" i="2" s="1"/>
  <c r="F21" i="2"/>
  <c r="O3" i="2"/>
  <c r="F7" i="2"/>
  <c r="H6" i="2" s="1"/>
  <c r="F20" i="2"/>
  <c r="I37" i="8"/>
  <c r="H37" i="8"/>
  <c r="H22" i="2"/>
  <c r="F24" i="2"/>
  <c r="N3" i="8" l="1"/>
  <c r="H7" i="8"/>
  <c r="I7" i="8"/>
  <c r="N11" i="2"/>
  <c r="H7" i="2"/>
  <c r="J21" i="2"/>
  <c r="J22" i="2" s="1"/>
  <c r="I21" i="2"/>
  <c r="K21" i="2"/>
  <c r="K22" i="2" s="1"/>
  <c r="P11" i="8"/>
  <c r="J7" i="8"/>
  <c r="I9" i="8" s="1"/>
  <c r="Q3" i="2"/>
  <c r="I40" i="2"/>
  <c r="I40" i="8"/>
  <c r="I41" i="2" l="1"/>
  <c r="C40" i="2" s="1"/>
  <c r="I11" i="8"/>
  <c r="N12" i="8"/>
  <c r="D4" i="9" s="1"/>
  <c r="N4" i="8"/>
  <c r="I42" i="8"/>
  <c r="C40" i="8" s="1"/>
  <c r="J21" i="8"/>
  <c r="J22" i="8" s="1"/>
  <c r="I24" i="8" s="1"/>
  <c r="I26" i="8" s="1"/>
  <c r="I22" i="2"/>
  <c r="I25" i="2" s="1"/>
  <c r="C25" i="2" s="1"/>
  <c r="C25" i="8" l="1"/>
  <c r="I26" i="2"/>
  <c r="C10" i="8"/>
  <c r="K7" i="2"/>
  <c r="I7" i="2"/>
  <c r="J7" i="2"/>
  <c r="I10" i="2" l="1"/>
  <c r="C10" i="2" l="1"/>
  <c r="N4" i="2"/>
  <c r="C3" i="9" s="1"/>
  <c r="N12" i="2"/>
  <c r="C4" i="9"/>
  <c r="B24" i="9" s="1"/>
  <c r="F23" i="9" s="1"/>
  <c r="B7" i="9" l="1"/>
  <c r="B23" i="9"/>
  <c r="E23" i="9" s="1"/>
  <c r="I23" i="9" s="1" a="1"/>
  <c r="I23" i="9" s="1"/>
  <c r="D3" i="9"/>
  <c r="C7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<sst xmlns="http://schemas.openxmlformats.org/spreadsheetml/2006/main" count="166" uniqueCount="52">
  <si>
    <t>COUPON BOND CON MATURITY: 1-APR-26</t>
  </si>
  <si>
    <t>Today</t>
  </si>
  <si>
    <t>ZCB</t>
  </si>
  <si>
    <t>Obbligazione cedolare</t>
  </si>
  <si>
    <t>Duration</t>
  </si>
  <si>
    <t>Date</t>
  </si>
  <si>
    <t>Coupon</t>
  </si>
  <si>
    <t>Maturity</t>
  </si>
  <si>
    <t>Price</t>
  </si>
  <si>
    <t>Time to maturity (T)</t>
  </si>
  <si>
    <t>p(0,T)</t>
  </si>
  <si>
    <t>i(0,T)</t>
  </si>
  <si>
    <t>Time to maturity</t>
  </si>
  <si>
    <t>DU(t,x)</t>
  </si>
  <si>
    <t>no</t>
  </si>
  <si>
    <t>Pagamenti</t>
  </si>
  <si>
    <t>i(0,t)</t>
  </si>
  <si>
    <t>DiscVal</t>
  </si>
  <si>
    <t>Discounted Price</t>
  </si>
  <si>
    <t>Convex</t>
  </si>
  <si>
    <t>C(t,x)</t>
  </si>
  <si>
    <t xml:space="preserve">COUPON BOND CON MATURITY: 1-APR-26 CON SHIFT POSITIVO DELLA CURVA										</t>
  </si>
  <si>
    <t>Obbligazione cedolare traslata di +0,02%</t>
  </si>
  <si>
    <t xml:space="preserve">COUPON BOND CON MATURITY: 1-APR-26 CON SHIFT NEGATIVO DELLA CURVA										</t>
  </si>
  <si>
    <t>Obbligazione cedolare traslata di -0,02%</t>
  </si>
  <si>
    <t>COUPON BOND CON MATURITY: 1-GIU-25</t>
  </si>
  <si>
    <t>Accrual</t>
  </si>
  <si>
    <t>COUPON BOND CON MATURITY: 1-GIU-25 CON SHIFT POSITIVO DELLA CURVA</t>
  </si>
  <si>
    <t>COUPON BOND CON MATURITY: 1-GIU-25 CON SHIFT NEGATIVO DELLA CURVA</t>
  </si>
  <si>
    <t>unità</t>
  </si>
  <si>
    <t>duration</t>
  </si>
  <si>
    <t>convex.</t>
  </si>
  <si>
    <t>titolo 1°</t>
  </si>
  <si>
    <t>titolo 2°</t>
  </si>
  <si>
    <t>convex</t>
  </si>
  <si>
    <t>Portafoglio</t>
  </si>
  <si>
    <t>Market Price</t>
  </si>
  <si>
    <t>pa</t>
  </si>
  <si>
    <t>pb</t>
  </si>
  <si>
    <t>L</t>
  </si>
  <si>
    <t>A</t>
  </si>
  <si>
    <t>b</t>
  </si>
  <si>
    <t>i(0,3)</t>
  </si>
  <si>
    <t>Dua</t>
  </si>
  <si>
    <t>IMMUNIZZAZIONE</t>
  </si>
  <si>
    <t>Dub</t>
  </si>
  <si>
    <t>Matrice dei Coefficienti</t>
  </si>
  <si>
    <t>Vettore dei Termini Noti</t>
  </si>
  <si>
    <t>Soluzione del Sitema</t>
  </si>
  <si>
    <t>Dati</t>
  </si>
  <si>
    <t>wa</t>
  </si>
  <si>
    <t>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</si>
</sst>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0%"/>
    <numFmt numFmtId="165" formatCode="0.000000"/>
    <numFmt numFmtId="166" formatCode="0.00000%"/>
    <numFmt numFmtId="167" formatCode="0.0"/>
    <numFmt numFmtId="168" formatCode="0.0000000"/>
    <numFmt numFmtId="169" formatCode="0.0000"/>
    <numFmt numFmtId="170" formatCode="0.000"/>
    <numFmt numFmtId="171" formatCode="0.0000000%"/>
    <numFmt numFmtId="172" formatCode="0.000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8"/>
      <color rgb="FF000000"/>
      <name val="Calibri"/>
      <family val="2"/>
    </font>
    <font>
      <b/>
      <sz val="12"/>
      <color theme="1"/>
      <name val="Calibri"/>
      <family val="2"/>
    </font>
    <font>
      <sz val="11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1"/>
      <color rgb="FF000000"/>
      <name val="Calibri"/>
      <family val="2"/>
    </font>
    <font>
      <sz val="16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</font>
    <font>
      <b/>
      <sz val="14"/>
      <color theme="1"/>
      <name val="Calibri"/>
      <family val="2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0">
    <xf numFmtId="0" fontId="0" fillId="0" borderId="0" xfId="0"/>
    <xf numFmtId="0" fontId="3" fillId="0" borderId="5" xfId="0" applyFont="1" applyBorder="1"/>
    <xf numFmtId="15" fontId="3" fillId="4" borderId="6" xfId="0" applyNumberFormat="1" applyFont="1" applyFill="1" applyBorder="1"/>
    <xf numFmtId="0" fontId="3" fillId="0" borderId="0" xfId="0" applyFont="1"/>
    <xf numFmtId="0" fontId="3" fillId="0" borderId="7" xfId="0" applyFont="1" applyBorder="1"/>
    <xf numFmtId="15" fontId="3" fillId="0" borderId="0" xfId="0" applyNumberFormat="1" applyFont="1"/>
    <xf numFmtId="0" fontId="6" fillId="5" borderId="3" xfId="0" applyFont="1" applyFill="1" applyBorder="1"/>
    <xf numFmtId="0" fontId="6" fillId="5" borderId="0" xfId="0" applyFont="1" applyFill="1"/>
    <xf numFmtId="0" fontId="7" fillId="3" borderId="3" xfId="0" applyFont="1" applyFill="1" applyBorder="1" applyAlignment="1">
      <alignment horizontal="left"/>
    </xf>
    <xf numFmtId="15" fontId="8" fillId="6" borderId="0" xfId="0" applyNumberFormat="1" applyFont="1" applyFill="1" applyAlignment="1">
      <alignment horizontal="center"/>
    </xf>
    <xf numFmtId="15" fontId="8" fillId="6" borderId="9" xfId="0" applyNumberFormat="1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2" fontId="9" fillId="5" borderId="3" xfId="0" applyNumberFormat="1" applyFont="1" applyFill="1" applyBorder="1" applyAlignment="1">
      <alignment horizontal="center" wrapText="1"/>
    </xf>
    <xf numFmtId="2" fontId="9" fillId="5" borderId="0" xfId="0" applyNumberFormat="1" applyFont="1" applyFill="1" applyAlignment="1">
      <alignment horizontal="center" wrapText="1"/>
    </xf>
    <xf numFmtId="0" fontId="7" fillId="3" borderId="3" xfId="0" applyFont="1" applyFill="1" applyBorder="1"/>
    <xf numFmtId="167" fontId="8" fillId="7" borderId="0" xfId="0" applyNumberFormat="1" applyFont="1" applyFill="1"/>
    <xf numFmtId="167" fontId="8" fillId="7" borderId="9" xfId="0" applyNumberFormat="1" applyFont="1" applyFill="1" applyBorder="1"/>
    <xf numFmtId="2" fontId="8" fillId="0" borderId="0" xfId="0" applyNumberFormat="1" applyFont="1"/>
    <xf numFmtId="0" fontId="3" fillId="2" borderId="7" xfId="0" applyFont="1" applyFill="1" applyBorder="1" applyAlignment="1">
      <alignment horizontal="center"/>
    </xf>
    <xf numFmtId="15" fontId="3" fillId="2" borderId="0" xfId="0" applyNumberFormat="1" applyFont="1" applyFill="1" applyAlignment="1">
      <alignment horizontal="center"/>
    </xf>
    <xf numFmtId="0" fontId="3" fillId="2" borderId="0" xfId="0" applyFont="1" applyFill="1"/>
    <xf numFmtId="2" fontId="6" fillId="5" borderId="3" xfId="0" applyNumberFormat="1" applyFont="1" applyFill="1" applyBorder="1" applyAlignment="1">
      <alignment horizontal="center"/>
    </xf>
    <xf numFmtId="165" fontId="6" fillId="5" borderId="0" xfId="0" applyNumberFormat="1" applyFont="1" applyFill="1"/>
    <xf numFmtId="0" fontId="8" fillId="6" borderId="0" xfId="0" applyFont="1" applyFill="1"/>
    <xf numFmtId="0" fontId="8" fillId="6" borderId="9" xfId="0" applyFont="1" applyFill="1" applyBorder="1"/>
    <xf numFmtId="0" fontId="8" fillId="0" borderId="0" xfId="0" applyFont="1"/>
    <xf numFmtId="164" fontId="8" fillId="7" borderId="0" xfId="0" applyNumberFormat="1" applyFont="1" applyFill="1"/>
    <xf numFmtId="164" fontId="8" fillId="9" borderId="0" xfId="1" applyNumberFormat="1" applyFont="1" applyFill="1" applyBorder="1"/>
    <xf numFmtId="164" fontId="8" fillId="9" borderId="9" xfId="1" applyNumberFormat="1" applyFont="1" applyFill="1" applyBorder="1"/>
    <xf numFmtId="0" fontId="8" fillId="3" borderId="3" xfId="0" applyFont="1" applyFill="1" applyBorder="1"/>
    <xf numFmtId="0" fontId="8" fillId="3" borderId="0" xfId="0" applyFont="1" applyFill="1"/>
    <xf numFmtId="0" fontId="8" fillId="3" borderId="9" xfId="0" applyFont="1" applyFill="1" applyBorder="1"/>
    <xf numFmtId="2" fontId="6" fillId="5" borderId="4" xfId="0" applyNumberFormat="1" applyFont="1" applyFill="1" applyBorder="1" applyAlignment="1">
      <alignment horizontal="center"/>
    </xf>
    <xf numFmtId="165" fontId="6" fillId="5" borderId="10" xfId="0" applyNumberFormat="1" applyFont="1" applyFill="1" applyBorder="1"/>
    <xf numFmtId="164" fontId="6" fillId="8" borderId="10" xfId="0" applyNumberFormat="1" applyFont="1" applyFill="1" applyBorder="1"/>
    <xf numFmtId="164" fontId="8" fillId="3" borderId="0" xfId="1" applyNumberFormat="1" applyFont="1" applyFill="1" applyBorder="1"/>
    <xf numFmtId="9" fontId="3" fillId="3" borderId="0" xfId="0" applyNumberFormat="1" applyFont="1" applyFill="1" applyAlignment="1">
      <alignment horizontal="center"/>
    </xf>
    <xf numFmtId="15" fontId="3" fillId="3" borderId="0" xfId="0" applyNumberFormat="1" applyFont="1" applyFill="1" applyAlignment="1">
      <alignment horizontal="center"/>
    </xf>
    <xf numFmtId="168" fontId="8" fillId="9" borderId="0" xfId="0" applyNumberFormat="1" applyFont="1" applyFill="1"/>
    <xf numFmtId="0" fontId="8" fillId="3" borderId="4" xfId="0" applyFont="1" applyFill="1" applyBorder="1"/>
    <xf numFmtId="0" fontId="8" fillId="3" borderId="10" xfId="0" applyFont="1" applyFill="1" applyBorder="1"/>
    <xf numFmtId="164" fontId="6" fillId="8" borderId="11" xfId="0" applyNumberFormat="1" applyFont="1" applyFill="1" applyBorder="1"/>
    <xf numFmtId="0" fontId="6" fillId="5" borderId="17" xfId="0" applyFont="1" applyFill="1" applyBorder="1"/>
    <xf numFmtId="0" fontId="6" fillId="5" borderId="18" xfId="0" applyFont="1" applyFill="1" applyBorder="1"/>
    <xf numFmtId="2" fontId="9" fillId="5" borderId="17" xfId="0" applyNumberFormat="1" applyFont="1" applyFill="1" applyBorder="1" applyAlignment="1">
      <alignment horizontal="center" wrapText="1"/>
    </xf>
    <xf numFmtId="2" fontId="9" fillId="5" borderId="18" xfId="0" applyNumberFormat="1" applyFont="1" applyFill="1" applyBorder="1" applyAlignment="1">
      <alignment horizontal="center" wrapText="1"/>
    </xf>
    <xf numFmtId="2" fontId="6" fillId="5" borderId="17" xfId="0" applyNumberFormat="1" applyFont="1" applyFill="1" applyBorder="1" applyAlignment="1">
      <alignment horizontal="center"/>
    </xf>
    <xf numFmtId="164" fontId="6" fillId="8" borderId="18" xfId="0" applyNumberFormat="1" applyFont="1" applyFill="1" applyBorder="1"/>
    <xf numFmtId="2" fontId="6" fillId="5" borderId="19" xfId="0" applyNumberFormat="1" applyFont="1" applyFill="1" applyBorder="1" applyAlignment="1">
      <alignment horizontal="center"/>
    </xf>
    <xf numFmtId="165" fontId="6" fillId="5" borderId="20" xfId="0" applyNumberFormat="1" applyFont="1" applyFill="1" applyBorder="1"/>
    <xf numFmtId="164" fontId="6" fillId="8" borderId="21" xfId="0" applyNumberFormat="1" applyFont="1" applyFill="1" applyBorder="1"/>
    <xf numFmtId="168" fontId="3" fillId="3" borderId="0" xfId="0" applyNumberFormat="1" applyFont="1" applyFill="1"/>
    <xf numFmtId="15" fontId="8" fillId="0" borderId="0" xfId="0" applyNumberFormat="1" applyFont="1" applyAlignment="1">
      <alignment horizontal="center"/>
    </xf>
    <xf numFmtId="167" fontId="8" fillId="0" borderId="0" xfId="0" applyNumberFormat="1" applyFont="1"/>
    <xf numFmtId="164" fontId="8" fillId="0" borderId="0" xfId="1" applyNumberFormat="1" applyFont="1" applyFill="1" applyBorder="1"/>
    <xf numFmtId="169" fontId="8" fillId="0" borderId="0" xfId="0" applyNumberFormat="1" applyFont="1"/>
    <xf numFmtId="15" fontId="8" fillId="6" borderId="18" xfId="0" applyNumberFormat="1" applyFont="1" applyFill="1" applyBorder="1" applyAlignment="1">
      <alignment horizontal="center"/>
    </xf>
    <xf numFmtId="0" fontId="8" fillId="6" borderId="18" xfId="0" applyFont="1" applyFill="1" applyBorder="1"/>
    <xf numFmtId="0" fontId="8" fillId="3" borderId="17" xfId="0" applyFont="1" applyFill="1" applyBorder="1"/>
    <xf numFmtId="0" fontId="8" fillId="3" borderId="18" xfId="0" applyFont="1" applyFill="1" applyBorder="1"/>
    <xf numFmtId="170" fontId="8" fillId="7" borderId="0" xfId="0" applyNumberFormat="1" applyFont="1" applyFill="1"/>
    <xf numFmtId="170" fontId="8" fillId="7" borderId="18" xfId="0" applyNumberFormat="1" applyFont="1" applyFill="1" applyBorder="1"/>
    <xf numFmtId="0" fontId="8" fillId="3" borderId="11" xfId="0" applyFont="1" applyFill="1" applyBorder="1"/>
    <xf numFmtId="170" fontId="8" fillId="7" borderId="9" xfId="0" applyNumberFormat="1" applyFont="1" applyFill="1" applyBorder="1"/>
    <xf numFmtId="0" fontId="8" fillId="9" borderId="0" xfId="0" applyFont="1" applyFill="1"/>
    <xf numFmtId="0" fontId="0" fillId="9" borderId="11" xfId="0" applyFill="1" applyBorder="1"/>
    <xf numFmtId="0" fontId="11" fillId="0" borderId="0" xfId="0" applyFont="1"/>
    <xf numFmtId="0" fontId="1" fillId="9" borderId="4" xfId="0" applyFont="1" applyFill="1" applyBorder="1"/>
    <xf numFmtId="0" fontId="12" fillId="3" borderId="12" xfId="0" applyFont="1" applyFill="1" applyBorder="1"/>
    <xf numFmtId="0" fontId="13" fillId="3" borderId="22" xfId="0" applyFont="1" applyFill="1" applyBorder="1" applyAlignment="1">
      <alignment horizontal="center"/>
    </xf>
    <xf numFmtId="0" fontId="13" fillId="6" borderId="4" xfId="0" applyFont="1" applyFill="1" applyBorder="1"/>
    <xf numFmtId="0" fontId="13" fillId="3" borderId="23" xfId="0" applyFont="1" applyFill="1" applyBorder="1" applyAlignment="1">
      <alignment horizontal="center"/>
    </xf>
    <xf numFmtId="0" fontId="12" fillId="6" borderId="13" xfId="0" applyFont="1" applyFill="1" applyBorder="1"/>
    <xf numFmtId="0" fontId="11" fillId="3" borderId="2" xfId="0" applyFont="1" applyFill="1" applyBorder="1" applyAlignment="1">
      <alignment horizontal="center"/>
    </xf>
    <xf numFmtId="0" fontId="0" fillId="9" borderId="13" xfId="0" applyFill="1" applyBorder="1"/>
    <xf numFmtId="0" fontId="11" fillId="3" borderId="23" xfId="0" applyFont="1" applyFill="1" applyBorder="1" applyAlignment="1">
      <alignment horizontal="center" vertical="center"/>
    </xf>
    <xf numFmtId="0" fontId="0" fillId="6" borderId="13" xfId="0" applyFill="1" applyBorder="1"/>
    <xf numFmtId="0" fontId="0" fillId="9" borderId="24" xfId="0" applyFill="1" applyBorder="1"/>
    <xf numFmtId="0" fontId="0" fillId="6" borderId="14" xfId="0" applyFill="1" applyBorder="1"/>
    <xf numFmtId="0" fontId="11" fillId="3" borderId="8" xfId="0" applyFont="1" applyFill="1" applyBorder="1" applyAlignment="1">
      <alignment horizontal="center"/>
    </xf>
    <xf numFmtId="1" fontId="0" fillId="6" borderId="15" xfId="0" applyNumberFormat="1" applyFill="1" applyBorder="1"/>
    <xf numFmtId="0" fontId="11" fillId="3" borderId="25" xfId="0" applyFont="1" applyFill="1" applyBorder="1"/>
    <xf numFmtId="0" fontId="1" fillId="6" borderId="13" xfId="0" applyFont="1" applyFill="1" applyBorder="1"/>
    <xf numFmtId="0" fontId="7" fillId="3" borderId="0" xfId="0" applyFont="1" applyFill="1" applyAlignment="1">
      <alignment horizontal="left"/>
    </xf>
    <xf numFmtId="0" fontId="7" fillId="3" borderId="0" xfId="0" applyFont="1" applyFill="1"/>
    <xf numFmtId="0" fontId="6" fillId="5" borderId="9" xfId="0" applyFont="1" applyFill="1" applyBorder="1"/>
    <xf numFmtId="2" fontId="9" fillId="5" borderId="9" xfId="0" applyNumberFormat="1" applyFont="1" applyFill="1" applyBorder="1" applyAlignment="1">
      <alignment horizontal="center" wrapText="1"/>
    </xf>
    <xf numFmtId="164" fontId="6" fillId="8" borderId="9" xfId="0" applyNumberFormat="1" applyFont="1" applyFill="1" applyBorder="1"/>
    <xf numFmtId="166" fontId="8" fillId="9" borderId="0" xfId="1" applyNumberFormat="1" applyFont="1" applyFill="1" applyBorder="1"/>
    <xf numFmtId="164" fontId="6" fillId="8" borderId="0" xfId="0" applyNumberFormat="1" applyFont="1" applyFill="1"/>
    <xf numFmtId="168" fontId="8" fillId="9" borderId="22" xfId="0" applyNumberFormat="1" applyFont="1" applyFill="1" applyBorder="1"/>
    <xf numFmtId="0" fontId="8" fillId="3" borderId="27" xfId="0" applyFont="1" applyFill="1" applyBorder="1"/>
    <xf numFmtId="0" fontId="3" fillId="0" borderId="10" xfId="0" applyFont="1" applyBorder="1"/>
    <xf numFmtId="0" fontId="8" fillId="3" borderId="28" xfId="0" applyFont="1" applyFill="1" applyBorder="1"/>
    <xf numFmtId="0" fontId="3" fillId="3" borderId="10" xfId="0" applyFont="1" applyFill="1" applyBorder="1"/>
    <xf numFmtId="16" fontId="3" fillId="0" borderId="2" xfId="0" applyNumberFormat="1" applyFont="1" applyBorder="1"/>
    <xf numFmtId="0" fontId="3" fillId="0" borderId="2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1" xfId="0" applyFont="1" applyBorder="1"/>
    <xf numFmtId="0" fontId="3" fillId="11" borderId="10" xfId="0" applyFont="1" applyFill="1" applyBorder="1"/>
    <xf numFmtId="0" fontId="3" fillId="10" borderId="3" xfId="0" applyFont="1" applyFill="1" applyBorder="1"/>
    <xf numFmtId="164" fontId="8" fillId="7" borderId="18" xfId="0" applyNumberFormat="1" applyFont="1" applyFill="1" applyBorder="1"/>
    <xf numFmtId="0" fontId="15" fillId="10" borderId="1" xfId="0" applyFont="1" applyFill="1" applyBorder="1"/>
    <xf numFmtId="2" fontId="7" fillId="10" borderId="4" xfId="0" applyNumberFormat="1" applyFont="1" applyFill="1" applyBorder="1"/>
    <xf numFmtId="0" fontId="5" fillId="0" borderId="0" xfId="0" applyFont="1"/>
    <xf numFmtId="0" fontId="7" fillId="10" borderId="4" xfId="0" applyFont="1" applyFill="1" applyBorder="1"/>
    <xf numFmtId="0" fontId="14" fillId="12" borderId="26" xfId="0" applyFont="1" applyFill="1" applyBorder="1"/>
    <xf numFmtId="0" fontId="0" fillId="0" borderId="0" xfId="0" applyAlignment="1">
      <alignment horizontal="center"/>
    </xf>
    <xf numFmtId="2" fontId="3" fillId="0" borderId="0" xfId="0" applyNumberFormat="1" applyFont="1" applyAlignment="1">
      <alignment horizontal="center"/>
    </xf>
    <xf numFmtId="172" fontId="0" fillId="0" borderId="0" xfId="0" applyNumberFormat="1"/>
    <xf numFmtId="1" fontId="0" fillId="0" borderId="0" xfId="0" applyNumberFormat="1"/>
    <xf numFmtId="168" fontId="0" fillId="0" borderId="29" xfId="0" applyNumberFormat="1" applyBorder="1"/>
    <xf numFmtId="0" fontId="0" fillId="13" borderId="29" xfId="0" applyFill="1" applyBorder="1"/>
    <xf numFmtId="168" fontId="0" fillId="13" borderId="29" xfId="0" applyNumberFormat="1" applyFill="1" applyBorder="1"/>
    <xf numFmtId="172" fontId="0" fillId="13" borderId="29" xfId="0" applyNumberFormat="1" applyFill="1" applyBorder="1"/>
    <xf numFmtId="0" fontId="16" fillId="0" borderId="29" xfId="0" applyFont="1" applyBorder="1" applyAlignment="1">
      <alignment horizontal="center"/>
    </xf>
    <xf numFmtId="0" fontId="0" fillId="0" borderId="29" xfId="0" applyBorder="1" applyAlignment="1">
      <alignment horizontal="center"/>
    </xf>
    <xf numFmtId="1" fontId="0" fillId="13" borderId="29" xfId="0" applyNumberFormat="1" applyFill="1" applyBorder="1"/>
    <xf numFmtId="1" fontId="0" fillId="0" borderId="29" xfId="0" applyNumberFormat="1" applyBorder="1"/>
    <xf numFmtId="171" fontId="0" fillId="0" borderId="29" xfId="0" applyNumberFormat="1" applyBorder="1"/>
    <xf numFmtId="0" fontId="4" fillId="5" borderId="1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9" fontId="10" fillId="0" borderId="0" xfId="0" applyNumberFormat="1" applyFont="1" applyAlignment="1">
      <alignment horizontal="center"/>
    </xf>
    <xf numFmtId="10" fontId="10" fillId="0" borderId="0" xfId="0" applyNumberFormat="1" applyFont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4" fillId="5" borderId="16" xfId="0" applyFont="1" applyFill="1" applyBorder="1" applyAlignment="1">
      <alignment horizontal="center"/>
    </xf>
    <xf numFmtId="0" fontId="12" fillId="14" borderId="0" xfId="0" applyFont="1" applyFill="1" applyAlignment="1">
      <alignment horizontal="center"/>
    </xf>
    <xf numFmtId="0" fontId="0" fillId="0" borderId="30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it-IT"/>
              <a:t>Curve dei Tassi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Curva Originale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'1°titolo'!$D$20:$D$26</c:f>
              <c:numCache>
                <c:formatCode>0.00</c:formatCode>
                <c:ptCount val="7"/>
                <c:pt idx="0">
                  <c:v>8.3333333333333329E-2</c:v>
                </c:pt>
                <c:pt idx="1">
                  <c:v>0.41666666666666669</c:v>
                </c:pt>
                <c:pt idx="2">
                  <c:v>0.5</c:v>
                </c:pt>
                <c:pt idx="3">
                  <c:v>0.75</c:v>
                </c:pt>
                <c:pt idx="4">
                  <c:v>0.91666666666666663</c:v>
                </c:pt>
                <c:pt idx="5">
                  <c:v>2.5</c:v>
                </c:pt>
                <c:pt idx="6">
                  <c:v>3.25</c:v>
                </c:pt>
              </c:numCache>
            </c:numRef>
          </c:cat>
          <c:val>
            <c:numRef>
              <c:f>'1°titolo'!$F$5:$F$11</c:f>
              <c:numCache>
                <c:formatCode>0.0000%</c:formatCode>
                <c:ptCount val="7"/>
                <c:pt idx="0">
                  <c:v>-4.4293402121399206E-3</c:v>
                </c:pt>
                <c:pt idx="1">
                  <c:v>-1.175021095546569E-3</c:v>
                </c:pt>
                <c:pt idx="2">
                  <c:v>-4.3985484258046714E-4</c:v>
                </c:pt>
                <c:pt idx="3">
                  <c:v>-6.666277799360909E-5</c:v>
                </c:pt>
                <c:pt idx="4">
                  <c:v>1.0910231522487379E-4</c:v>
                </c:pt>
                <c:pt idx="5">
                  <c:v>7.9472590151447291E-3</c:v>
                </c:pt>
                <c:pt idx="6">
                  <c:v>1.1080034000000001E-2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286-4094-A4FA-C338DCFEE57F}"/>
            </c:ext>
          </c:extLst>
        </c:ser>
        <c:ser>
          <c:idx val="1"/>
          <c:order val="1"/>
          <c:tx>
            <c:v>Curva +0.02%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'1°titolo'!$D$20:$D$26</c:f>
              <c:numCache>
                <c:formatCode>0.00</c:formatCode>
                <c:ptCount val="7"/>
                <c:pt idx="0">
                  <c:v>8.3333333333333329E-2</c:v>
                </c:pt>
                <c:pt idx="1">
                  <c:v>0.41666666666666669</c:v>
                </c:pt>
                <c:pt idx="2">
                  <c:v>0.5</c:v>
                </c:pt>
                <c:pt idx="3">
                  <c:v>0.75</c:v>
                </c:pt>
                <c:pt idx="4">
                  <c:v>0.91666666666666663</c:v>
                </c:pt>
                <c:pt idx="5">
                  <c:v>2.5</c:v>
                </c:pt>
                <c:pt idx="6">
                  <c:v>3.25</c:v>
                </c:pt>
              </c:numCache>
            </c:numRef>
          </c:cat>
          <c:val>
            <c:numRef>
              <c:f>'1°titolo'!$F$20:$F$26</c:f>
              <c:numCache>
                <c:formatCode>0.0000%</c:formatCode>
                <c:ptCount val="7"/>
                <c:pt idx="0">
                  <c:v>-4.2293402121399209E-3</c:v>
                </c:pt>
                <c:pt idx="1">
                  <c:v>-9.7502109554656899E-4</c:v>
                </c:pt>
                <c:pt idx="2">
                  <c:v>-2.3985484258046713E-4</c:v>
                </c:pt>
                <c:pt idx="3">
                  <c:v>1.3333722200639092E-4</c:v>
                </c:pt>
                <c:pt idx="4">
                  <c:v>3.0910231522487377E-4</c:v>
                </c:pt>
                <c:pt idx="5">
                  <c:v>8.1472590151447297E-3</c:v>
                </c:pt>
                <c:pt idx="6">
                  <c:v>1.1280034000000001E-2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286-4094-A4FA-C338DCFEE57F}"/>
            </c:ext>
          </c:extLst>
        </c:ser>
        <c:ser>
          <c:idx val="2"/>
          <c:order val="2"/>
          <c:tx>
            <c:v>Curva -0.02%</c:v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'1°titolo'!$D$20:$D$26</c:f>
              <c:numCache>
                <c:formatCode>0.00</c:formatCode>
                <c:ptCount val="7"/>
                <c:pt idx="0">
                  <c:v>8.3333333333333329E-2</c:v>
                </c:pt>
                <c:pt idx="1">
                  <c:v>0.41666666666666669</c:v>
                </c:pt>
                <c:pt idx="2">
                  <c:v>0.5</c:v>
                </c:pt>
                <c:pt idx="3">
                  <c:v>0.75</c:v>
                </c:pt>
                <c:pt idx="4">
                  <c:v>0.91666666666666663</c:v>
                </c:pt>
                <c:pt idx="5">
                  <c:v>2.5</c:v>
                </c:pt>
                <c:pt idx="6">
                  <c:v>3.25</c:v>
                </c:pt>
              </c:numCache>
            </c:numRef>
          </c:cat>
          <c:val>
            <c:numRef>
              <c:f>'1°titolo'!$F$35:$F$41</c:f>
              <c:numCache>
                <c:formatCode>0.0000%</c:formatCode>
                <c:ptCount val="7"/>
                <c:pt idx="0">
                  <c:v>-4.6293402121399202E-3</c:v>
                </c:pt>
                <c:pt idx="1">
                  <c:v>-1.3750210955465691E-3</c:v>
                </c:pt>
                <c:pt idx="2">
                  <c:v>-6.3985484258046712E-4</c:v>
                </c:pt>
                <c:pt idx="3">
                  <c:v>-2.6666277799360907E-4</c:v>
                </c:pt>
                <c:pt idx="4">
                  <c:v>-9.0897684775126218E-5</c:v>
                </c:pt>
                <c:pt idx="5">
                  <c:v>7.7472590151447295E-3</c:v>
                </c:pt>
                <c:pt idx="6">
                  <c:v>1.0880034E-2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286-4094-A4FA-C338DCFEE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0231327"/>
        <c:axId val="1950232767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v>Tassi 1°</c:v>
                </c:tx>
                <c:spPr>
                  <a:ln w="381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'1°titolo'!$H$6:$K$6</c15:sqref>
                        </c15:formulaRef>
                      </c:ext>
                    </c:extLst>
                    <c:numCache>
                      <c:formatCode>0.0000%</c:formatCode>
                      <c:ptCount val="4"/>
                      <c:pt idx="0">
                        <c:v>-4.3985484258046714E-4</c:v>
                      </c:pt>
                      <c:pt idx="1">
                        <c:v>5.2163687837855058E-4</c:v>
                      </c:pt>
                      <c:pt idx="2" formatCode="0.00000%">
                        <c:v>2.9968442573006099E-3</c:v>
                      </c:pt>
                      <c:pt idx="3">
                        <c:v>5.4720516362226695E-3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3A0-42AB-955C-B1F00B017DA6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v>Tassi 1° titolo +0.02%</c:v>
                </c:tx>
                <c:spPr>
                  <a:ln w="3810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'1°titolo'!$H$21:$K$21</c15:sqref>
                        </c15:formulaRef>
                      </c:ext>
                    </c:extLst>
                    <c:numCache>
                      <c:formatCode>0.0000%</c:formatCode>
                      <c:ptCount val="4"/>
                      <c:pt idx="0">
                        <c:v>-2.3985484258046713E-4</c:v>
                      </c:pt>
                      <c:pt idx="1">
                        <c:v>7.2163687837855045E-4</c:v>
                      </c:pt>
                      <c:pt idx="2">
                        <c:v>3.19684425730061E-3</c:v>
                      </c:pt>
                      <c:pt idx="3">
                        <c:v>5.67205163622267E-3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3A0-42AB-955C-B1F00B017DA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v>Tassi 1° titolo -0.02%</c:v>
                </c:tx>
                <c:spPr>
                  <a:ln w="3810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'1°titolo'!$H$36:$K$36</c15:sqref>
                        </c15:formulaRef>
                      </c:ext>
                    </c:extLst>
                    <c:numCache>
                      <c:formatCode>0.0000%</c:formatCode>
                      <c:ptCount val="4"/>
                      <c:pt idx="0">
                        <c:v>-6.3985484258046712E-4</c:v>
                      </c:pt>
                      <c:pt idx="1">
                        <c:v>3.2163687837855054E-4</c:v>
                      </c:pt>
                      <c:pt idx="2">
                        <c:v>2.7968442573006102E-3</c:v>
                      </c:pt>
                      <c:pt idx="3">
                        <c:v>5.2720516362226699E-3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3A0-42AB-955C-B1F00B017DA6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v>Tassi 2°</c:v>
                </c:tx>
                <c:spPr>
                  <a:ln w="3810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'2°titolo'!$H$11:$J$11</c15:sqref>
                        </c15:formulaRef>
                      </c:ext>
                    </c:extLst>
                    <c:numCache>
                      <c:formatCode>0.0000000</c:formatCode>
                      <c:ptCount val="3"/>
                      <c:pt idx="0" formatCode="General">
                        <c:v>0</c:v>
                      </c:pt>
                      <c:pt idx="1">
                        <c:v>102.17560895522607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3A0-42AB-955C-B1F00B017DA6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v>Tassi 2°</c:v>
                </c:tx>
                <c:spPr>
                  <a:ln w="3810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'2°titolo'!$H$6:$J$6</c15:sqref>
                        </c15:formulaRef>
                      </c:ext>
                    </c:extLst>
                    <c:numCache>
                      <c:formatCode>0.0000%</c:formatCode>
                      <c:ptCount val="3"/>
                      <c:pt idx="0">
                        <c:v>-3.6157604329915822E-3</c:v>
                      </c:pt>
                      <c:pt idx="1">
                        <c:v>-1.9106013285589515E-4</c:v>
                      </c:pt>
                      <c:pt idx="2">
                        <c:v>1.346706004685904E-3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3A0-42AB-955C-B1F00B017DA6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v>Tassi 2° titolo +0.02%</c:v>
                </c:tx>
                <c:spPr>
                  <a:ln w="3810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'2°titolo'!$H$21:$J$21</c15:sqref>
                        </c15:formulaRef>
                      </c:ext>
                    </c:extLst>
                    <c:numCache>
                      <c:formatCode>0.0000%</c:formatCode>
                      <c:ptCount val="3"/>
                      <c:pt idx="0">
                        <c:v>-3.4157604329915826E-3</c:v>
                      </c:pt>
                      <c:pt idx="1">
                        <c:v>8.9398671441048432E-6</c:v>
                      </c:pt>
                      <c:pt idx="2">
                        <c:v>1.5467060046859041E-3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3A0-42AB-955C-B1F00B017DA6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v>Tassi 2° Titolo -0.02%</c:v>
                </c:tx>
                <c:spPr>
                  <a:ln w="3810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'2°titolo'!$H$36:$J$36</c15:sqref>
                        </c15:formulaRef>
                      </c:ext>
                    </c:extLst>
                    <c:numCache>
                      <c:formatCode>0.0000%</c:formatCode>
                      <c:ptCount val="3"/>
                      <c:pt idx="0">
                        <c:v>-3.8157604329915823E-3</c:v>
                      </c:pt>
                      <c:pt idx="1">
                        <c:v>-3.9106013285589516E-4</c:v>
                      </c:pt>
                      <c:pt idx="2">
                        <c:v>1.1467060046859042E-3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3A0-42AB-955C-B1F00B017DA6}"/>
                  </c:ext>
                </c:extLst>
              </c15:ser>
            </c15:filteredLineSeries>
          </c:ext>
        </c:extLst>
      </c:lineChart>
      <c:catAx>
        <c:axId val="19502313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50232767"/>
        <c:crosses val="autoZero"/>
        <c:auto val="1"/>
        <c:lblAlgn val="ctr"/>
        <c:lblOffset val="100"/>
        <c:noMultiLvlLbl val="0"/>
      </c:catAx>
      <c:valAx>
        <c:axId val="195023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i(0,T)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5023132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1°</a:t>
            </a:r>
            <a:r>
              <a:rPr lang="it-IT" baseline="0"/>
              <a:t> Titolo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9550021872265966"/>
          <c:y val="0.16245370370370371"/>
          <c:w val="0.77394422572178478"/>
          <c:h val="0.54161380869058029"/>
        </c:manualLayout>
      </c:layout>
      <c:lineChart>
        <c:grouping val="standard"/>
        <c:varyColors val="0"/>
        <c:ser>
          <c:idx val="0"/>
          <c:order val="0"/>
          <c:tx>
            <c:v>Curva Tassi Cedole 1°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'1°titolo'!$H$4:$K$4</c:f>
              <c:numCache>
                <c:formatCode>0.0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'1°titolo'!$H$6:$K$6</c:f>
              <c:numCache>
                <c:formatCode>0.0000%</c:formatCode>
                <c:ptCount val="4"/>
                <c:pt idx="0">
                  <c:v>-4.3985484258046714E-4</c:v>
                </c:pt>
                <c:pt idx="1">
                  <c:v>5.2163687837855058E-4</c:v>
                </c:pt>
                <c:pt idx="2" formatCode="0.00000%">
                  <c:v>2.9968442573006099E-3</c:v>
                </c:pt>
                <c:pt idx="3">
                  <c:v>5.4720516362226695E-3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74-4647-B803-721389343ED9}"/>
            </c:ext>
          </c:extLst>
        </c:ser>
        <c:ser>
          <c:idx val="1"/>
          <c:order val="1"/>
          <c:tx>
            <c:v>-0.02%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'1°titolo'!$H$21:$K$21</c:f>
              <c:numCache>
                <c:formatCode>0.0000%</c:formatCode>
                <c:ptCount val="4"/>
                <c:pt idx="0">
                  <c:v>-2.3985484258046713E-4</c:v>
                </c:pt>
                <c:pt idx="1">
                  <c:v>7.2163687837855045E-4</c:v>
                </c:pt>
                <c:pt idx="2">
                  <c:v>3.19684425730061E-3</c:v>
                </c:pt>
                <c:pt idx="3">
                  <c:v>5.67205163622267E-3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74-4647-B803-721389343ED9}"/>
            </c:ext>
          </c:extLst>
        </c:ser>
        <c:ser>
          <c:idx val="2"/>
          <c:order val="2"/>
          <c:tx>
            <c:v>-0.02%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'1°titolo'!$H$36:$K$36</c:f>
              <c:numCache>
                <c:formatCode>0.0000%</c:formatCode>
                <c:ptCount val="4"/>
                <c:pt idx="0">
                  <c:v>-6.3985484258046712E-4</c:v>
                </c:pt>
                <c:pt idx="1">
                  <c:v>3.2163687837855054E-4</c:v>
                </c:pt>
                <c:pt idx="2">
                  <c:v>2.7968442573006102E-3</c:v>
                </c:pt>
                <c:pt idx="3">
                  <c:v>5.2720516362226699E-3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74-4647-B803-721389343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4431584"/>
        <c:axId val="1874433984"/>
      </c:lineChart>
      <c:catAx>
        <c:axId val="187443158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74433984"/>
        <c:crosses val="autoZero"/>
        <c:auto val="1"/>
        <c:lblAlgn val="ctr"/>
        <c:lblOffset val="100"/>
        <c:noMultiLvlLbl val="0"/>
      </c:catAx>
      <c:valAx>
        <c:axId val="187443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i(0,Ti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744315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905643044619424"/>
          <c:y val="7.407407407407407E-2"/>
          <c:w val="0.63094356955380582"/>
          <c:h val="0.66240084572761737"/>
        </c:manualLayout>
      </c:layout>
      <c:lineChart>
        <c:grouping val="standard"/>
        <c:varyColors val="0"/>
        <c:ser>
          <c:idx val="0"/>
          <c:order val="0"/>
          <c:tx>
            <c:v>Curva Tassi Cedole 2°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'2°titolo'!$H$34:$J$34</c:f>
              <c:numCache>
                <c:formatCode>0.000</c:formatCode>
                <c:ptCount val="3"/>
                <c:pt idx="0">
                  <c:v>0.16666666666666666</c:v>
                </c:pt>
                <c:pt idx="1">
                  <c:v>0.66666666666666663</c:v>
                </c:pt>
                <c:pt idx="2">
                  <c:v>1.1666666666666667</c:v>
                </c:pt>
              </c:numCache>
            </c:numRef>
          </c:cat>
          <c:val>
            <c:numRef>
              <c:f>'2°titolo'!$H$6:$J$6</c:f>
              <c:numCache>
                <c:formatCode>0.0000%</c:formatCode>
                <c:ptCount val="3"/>
                <c:pt idx="0">
                  <c:v>-3.6157604329915822E-3</c:v>
                </c:pt>
                <c:pt idx="1">
                  <c:v>-1.9106013285589515E-4</c:v>
                </c:pt>
                <c:pt idx="2">
                  <c:v>1.346706004685904E-3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AE-4AA5-AE6D-3F601723DF10}"/>
            </c:ext>
          </c:extLst>
        </c:ser>
        <c:ser>
          <c:idx val="1"/>
          <c:order val="1"/>
          <c:tx>
            <c:v>0.02%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'2°titolo'!$H$34:$J$34</c:f>
              <c:numCache>
                <c:formatCode>0.000</c:formatCode>
                <c:ptCount val="3"/>
                <c:pt idx="0">
                  <c:v>0.16666666666666666</c:v>
                </c:pt>
                <c:pt idx="1">
                  <c:v>0.66666666666666663</c:v>
                </c:pt>
                <c:pt idx="2">
                  <c:v>1.1666666666666667</c:v>
                </c:pt>
              </c:numCache>
            </c:numRef>
          </c:cat>
          <c:val>
            <c:numRef>
              <c:f>'2°titolo'!$H$21:$J$21</c:f>
              <c:numCache>
                <c:formatCode>0.0000%</c:formatCode>
                <c:ptCount val="3"/>
                <c:pt idx="0">
                  <c:v>-3.4157604329915826E-3</c:v>
                </c:pt>
                <c:pt idx="1">
                  <c:v>8.9398671441048432E-6</c:v>
                </c:pt>
                <c:pt idx="2">
                  <c:v>1.5467060046859041E-3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AE-4AA5-AE6D-3F601723DF10}"/>
            </c:ext>
          </c:extLst>
        </c:ser>
        <c:ser>
          <c:idx val="2"/>
          <c:order val="2"/>
          <c:tx>
            <c:v>-0.02%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'2°titolo'!$H$34:$J$34</c:f>
              <c:numCache>
                <c:formatCode>0.000</c:formatCode>
                <c:ptCount val="3"/>
                <c:pt idx="0">
                  <c:v>0.16666666666666666</c:v>
                </c:pt>
                <c:pt idx="1">
                  <c:v>0.66666666666666663</c:v>
                </c:pt>
                <c:pt idx="2">
                  <c:v>1.1666666666666667</c:v>
                </c:pt>
              </c:numCache>
            </c:numRef>
          </c:cat>
          <c:val>
            <c:numRef>
              <c:f>'2°titolo'!$H$36:$J$36</c:f>
              <c:numCache>
                <c:formatCode>0.0000%</c:formatCode>
                <c:ptCount val="3"/>
                <c:pt idx="0">
                  <c:v>-3.8157604329915823E-3</c:v>
                </c:pt>
                <c:pt idx="1">
                  <c:v>-3.9106013285589516E-4</c:v>
                </c:pt>
                <c:pt idx="2">
                  <c:v>1.1467060046859042E-3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AE-4AA5-AE6D-3F601723D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6258592"/>
        <c:axId val="446255232"/>
      </c:lineChart>
      <c:catAx>
        <c:axId val="446258592"/>
        <c:scaling>
          <c:orientation val="minMax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46255232"/>
        <c:crosses val="autoZero"/>
        <c:auto val="1"/>
        <c:lblAlgn val="ctr"/>
        <c:lblOffset val="100"/>
        <c:noMultiLvlLbl val="0"/>
      </c:catAx>
      <c:valAx>
        <c:axId val="44625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i(0.T)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4625859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61231</xdr:colOff>
      <xdr:row>15</xdr:row>
      <xdr:rowOff>32336</xdr:rowOff>
    </xdr:from>
    <xdr:to>
      <xdr:col>18</xdr:col>
      <xdr:colOff>808825</xdr:colOff>
      <xdr:row>33</xdr:row>
      <xdr:rowOff>45489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4C69A4-E802-1DA2-039C-4E2262791C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53</xdr:row>
      <xdr:rowOff>0</xdr:rowOff>
    </xdr:from>
    <xdr:to>
      <xdr:col>22</xdr:col>
      <xdr:colOff>425824</xdr:colOff>
      <xdr:row>66</xdr:row>
      <xdr:rowOff>121024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D20C533-69F3-4A6E-9898-46CC2BFF02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638175</xdr:colOff>
      <xdr:row>15</xdr:row>
      <xdr:rowOff>238125</xdr:rowOff>
    </xdr:from>
    <xdr:to>
      <xdr:col>16</xdr:col>
      <xdr:colOff>752475</xdr:colOff>
      <xdr:row>28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9FF2647-6126-454E-BE78-93F6AC8EE0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11</xdr:row>
      <xdr:rowOff>47626</xdr:rowOff>
    </xdr:from>
    <xdr:to>
      <xdr:col>4</xdr:col>
      <xdr:colOff>838200</xdr:colOff>
      <xdr:row>18</xdr:row>
      <xdr:rowOff>25400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7" name="TextBox 2">
              <a:extLst>
                <a:ext uri="{FF2B5EF4-FFF2-40B4-BE49-F238E27FC236}">
                  <a16:creationId xmlns:a16="http://schemas.microsoft.com/office/drawing/2014/main" id="{D4775C1C-1BDB-BC24-A2FD-0DA7EFEDB8B8}"/>
                </a:ext>
              </a:extLst>
            </xdr:cNvPr>
            <xdr:cNvSpPr txBox="1"/>
          </xdr:nvSpPr>
          <xdr:spPr>
            <a:xfrm>
              <a:off x="142874" y="2511426"/>
              <a:ext cx="5775326" cy="131127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it-IT" sz="1100"/>
                <a:t>Per clacolare</a:t>
              </a:r>
              <a:r>
                <a:rPr lang="it-IT" sz="1100" baseline="0"/>
                <a:t> i pesi del portafolgio immunizzato possiamo sfurtatre il teorema di Fisher e Weil imponendo le ipotesi del teorema con H=3 e L=4000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 u="none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it-IT" sz="1100" b="0" u="none"/>
            </a:p>
            <a:p>
              <a:endParaRPr lang="it-IT" sz="1100" u="sng"/>
            </a:p>
          </xdr:txBody>
        </xdr:sp>
      </mc:Choice>
      <mc:Fallback xmlns="">
        <xdr:sp macro="" textlink="">
          <xdr:nvSpPr>
            <xdr:cNvPr id="107" name="TextBox 2">
              <a:extLst>
                <a:ext uri="{FF2B5EF4-FFF2-40B4-BE49-F238E27FC236}">
                  <a16:creationId xmlns:a16="http://schemas.microsoft.com/office/drawing/2014/main" id="{D4775C1C-1BDB-BC24-A2FD-0DA7EFEDB8B8}"/>
                </a:ext>
              </a:extLst>
            </xdr:cNvPr>
            <xdr:cNvSpPr txBox="1"/>
          </xdr:nvSpPr>
          <xdr:spPr>
            <a:xfrm>
              <a:off x="142874" y="2511426"/>
              <a:ext cx="5775326" cy="131127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it-IT" sz="1100"/>
                <a:t>Per clacolare</a:t>
              </a:r>
              <a:r>
                <a:rPr lang="it-IT" sz="1100" baseline="0"/>
                <a:t> i pesi del portafolgio immunizzato possiamo sfurtatre il teorema di Fisher e Weil imponendo le ipotesi del teorema con H=3 e L=4000</a:t>
              </a:r>
            </a:p>
            <a:p>
              <a:pPr/>
              <a:r>
                <a:rPr lang="it-IT" sz="1100" b="0" i="0" u="none">
                  <a:latin typeface="Cambria Math" panose="02040503050406030204" pitchFamily="18" charset="0"/>
                </a:rPr>
                <a:t> </a:t>
              </a:r>
              <a:endParaRPr lang="it-IT" sz="1100" b="0" u="none"/>
            </a:p>
            <a:p>
              <a:endParaRPr lang="it-IT" sz="1100" u="sng"/>
            </a:p>
          </xdr:txBody>
        </xdr:sp>
      </mc:Fallback>
    </mc:AlternateContent>
    <xdr:clientData/>
  </xdr:twoCellAnchor>
  <xdr:twoCellAnchor>
    <xdr:from>
      <xdr:col>1</xdr:col>
      <xdr:colOff>1171575</xdr:colOff>
      <xdr:row>15</xdr:row>
      <xdr:rowOff>66675</xdr:rowOff>
    </xdr:from>
    <xdr:to>
      <xdr:col>2</xdr:col>
      <xdr:colOff>276225</xdr:colOff>
      <xdr:row>15</xdr:row>
      <xdr:rowOff>66675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F8DA456-CBE0-A13B-117A-9662755A3857}"/>
            </a:ext>
          </a:extLst>
        </xdr:cNvPr>
        <xdr:cNvCxnSpPr/>
      </xdr:nvCxnSpPr>
      <xdr:spPr>
        <a:xfrm>
          <a:off x="2305050" y="326707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292100</xdr:colOff>
      <xdr:row>13</xdr:row>
      <xdr:rowOff>79375</xdr:rowOff>
    </xdr:from>
    <xdr:to>
      <xdr:col>1</xdr:col>
      <xdr:colOff>1158875</xdr:colOff>
      <xdr:row>17</xdr:row>
      <xdr:rowOff>79375</xdr:rowOff>
    </xdr:to>
    <xdr:pic>
      <xdr:nvPicPr>
        <xdr:cNvPr id="128" name="Immagine 123">
          <a:extLst>
            <a:ext uri="{FF2B5EF4-FFF2-40B4-BE49-F238E27FC236}">
              <a16:creationId xmlns:a16="http://schemas.microsoft.com/office/drawing/2014/main" id="{773294FB-54FD-3A2C-6090-1039E43BCA48}"/>
            </a:ext>
            <a:ext uri="{147F2762-F138-4A5C-976F-8EAC2B608ADB}">
              <a16:predDERef xmlns:a16="http://schemas.microsoft.com/office/drawing/2014/main" pred="{FF8DA456-CBE0-A13B-117A-9662755A3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2100" y="2924175"/>
          <a:ext cx="2000250" cy="762000"/>
        </a:xfrm>
        <a:prstGeom prst="rect">
          <a:avLst/>
        </a:prstGeom>
      </xdr:spPr>
    </xdr:pic>
    <xdr:clientData/>
  </xdr:twoCellAnchor>
  <xdr:twoCellAnchor editAs="oneCell">
    <xdr:from>
      <xdr:col>2</xdr:col>
      <xdr:colOff>361950</xdr:colOff>
      <xdr:row>13</xdr:row>
      <xdr:rowOff>142875</xdr:rowOff>
    </xdr:from>
    <xdr:to>
      <xdr:col>4</xdr:col>
      <xdr:colOff>495300</xdr:colOff>
      <xdr:row>17</xdr:row>
      <xdr:rowOff>28575</xdr:rowOff>
    </xdr:to>
    <xdr:pic>
      <xdr:nvPicPr>
        <xdr:cNvPr id="15" name="Immagine 133">
          <a:extLst>
            <a:ext uri="{FF2B5EF4-FFF2-40B4-BE49-F238E27FC236}">
              <a16:creationId xmlns:a16="http://schemas.microsoft.com/office/drawing/2014/main" id="{A1FBF791-5A96-9970-1F3A-8BB74D06F6C4}"/>
            </a:ext>
            <a:ext uri="{147F2762-F138-4A5C-976F-8EAC2B608ADB}">
              <a16:predDERef xmlns:a16="http://schemas.microsoft.com/office/drawing/2014/main" pred="{773294FB-54FD-3A2C-6090-1039E43BC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52725" y="2962275"/>
          <a:ext cx="2190750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3F060-F147-4647-8167-C9D8561C7D5B}">
  <dimension ref="A1:T43"/>
  <sheetViews>
    <sheetView zoomScale="85" zoomScaleNormal="85" workbookViewId="0">
      <selection activeCell="R54" sqref="R54"/>
    </sheetView>
  </sheetViews>
  <sheetFormatPr defaultColWidth="12.42578125" defaultRowHeight="15.75" x14ac:dyDescent="0.25"/>
  <cols>
    <col min="1" max="1" width="13.85546875" style="3" customWidth="1"/>
    <col min="2" max="2" width="15.42578125" style="3" customWidth="1"/>
    <col min="3" max="3" width="16.42578125" style="3" customWidth="1"/>
    <col min="4" max="4" width="21" style="3" customWidth="1"/>
    <col min="5" max="5" width="12.140625" style="3" customWidth="1"/>
    <col min="6" max="6" width="12.7109375" style="3" customWidth="1"/>
    <col min="7" max="7" width="17.7109375" style="3" customWidth="1"/>
    <col min="8" max="8" width="14.7109375" style="3" customWidth="1"/>
    <col min="9" max="9" width="13" style="3" customWidth="1"/>
    <col min="10" max="10" width="13.140625" style="3" customWidth="1"/>
    <col min="11" max="11" width="13.7109375" style="3" customWidth="1"/>
    <col min="12" max="12" width="13.140625" style="3" bestFit="1" customWidth="1"/>
    <col min="13" max="13" width="16.42578125" style="3" bestFit="1" customWidth="1"/>
    <col min="14" max="19" width="12.42578125" style="3"/>
    <col min="20" max="20" width="12.42578125" style="110"/>
    <col min="21" max="16384" width="12.42578125" style="3"/>
  </cols>
  <sheetData>
    <row r="1" spans="1:17" ht="21.75" thickBot="1" x14ac:dyDescent="0.4">
      <c r="A1" s="128" t="s">
        <v>0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</row>
    <row r="2" spans="1:17" ht="23.25" x14ac:dyDescent="0.35">
      <c r="A2" s="1" t="s">
        <v>1</v>
      </c>
      <c r="B2" s="2">
        <v>45383</v>
      </c>
      <c r="D2" s="122" t="s">
        <v>2</v>
      </c>
      <c r="E2" s="123"/>
      <c r="F2" s="124"/>
      <c r="G2" s="130" t="s">
        <v>3</v>
      </c>
      <c r="H2" s="126"/>
      <c r="I2" s="126"/>
      <c r="J2" s="126"/>
      <c r="K2" s="127"/>
      <c r="M2" s="104" t="s">
        <v>4</v>
      </c>
      <c r="N2" s="96">
        <v>45383</v>
      </c>
      <c r="O2" s="97"/>
      <c r="P2" s="97"/>
      <c r="Q2" s="98"/>
    </row>
    <row r="3" spans="1:17" x14ac:dyDescent="0.25">
      <c r="A3" s="4"/>
      <c r="B3" s="5"/>
      <c r="D3" s="6"/>
      <c r="E3" s="7"/>
      <c r="F3" s="86"/>
      <c r="G3" s="84" t="s">
        <v>5</v>
      </c>
      <c r="H3" s="9">
        <v>45566</v>
      </c>
      <c r="I3" s="9">
        <v>45748</v>
      </c>
      <c r="J3" s="9">
        <v>45931</v>
      </c>
      <c r="K3" s="10">
        <v>46113</v>
      </c>
      <c r="M3" s="102"/>
      <c r="N3" s="3">
        <f>(H4-0)*H5*(1+H6)^(-H4+0)</f>
        <v>0.50011000000000005</v>
      </c>
      <c r="O3" s="3">
        <f>(I4-0)*I5*(1+I6)^(-I4+0)</f>
        <v>0.9994786350847884</v>
      </c>
      <c r="P3" s="3">
        <f>(J4-0)*J5*(1+J6)^(-J4+0)</f>
        <v>1.493282271678229</v>
      </c>
      <c r="Q3" s="99">
        <f>(K4-0)*K5*(1+K6)^(-K4+0)</f>
        <v>199.80730531613344</v>
      </c>
    </row>
    <row r="4" spans="1:17" ht="16.5" thickBot="1" x14ac:dyDescent="0.3">
      <c r="A4" s="11" t="s">
        <v>6</v>
      </c>
      <c r="B4" s="12" t="s">
        <v>7</v>
      </c>
      <c r="C4" s="12" t="s">
        <v>8</v>
      </c>
      <c r="D4" s="13" t="s">
        <v>9</v>
      </c>
      <c r="E4" s="14" t="s">
        <v>10</v>
      </c>
      <c r="F4" s="87" t="s">
        <v>11</v>
      </c>
      <c r="G4" s="85" t="s">
        <v>12</v>
      </c>
      <c r="H4" s="16">
        <v>0.5</v>
      </c>
      <c r="I4" s="16">
        <v>1</v>
      </c>
      <c r="J4" s="16">
        <v>1.5</v>
      </c>
      <c r="K4" s="17">
        <v>2</v>
      </c>
      <c r="L4" s="18"/>
      <c r="M4" s="105" t="s">
        <v>13</v>
      </c>
      <c r="N4" s="101">
        <f>SUM(N3:Q3)/I11</f>
        <v>1.9708687830048863</v>
      </c>
      <c r="O4" s="93"/>
      <c r="P4" s="93"/>
      <c r="Q4" s="100"/>
    </row>
    <row r="5" spans="1:17" x14ac:dyDescent="0.25">
      <c r="A5" s="19" t="s">
        <v>14</v>
      </c>
      <c r="B5" s="20">
        <v>45413</v>
      </c>
      <c r="C5" s="21">
        <v>100.03700000000001</v>
      </c>
      <c r="D5" s="22">
        <f>1/12</f>
        <v>8.3333333333333329E-2</v>
      </c>
      <c r="E5" s="23">
        <f>C5/100</f>
        <v>1.00037</v>
      </c>
      <c r="F5" s="88">
        <f>E5^(-1/D5)-1</f>
        <v>-4.4293402121399206E-3</v>
      </c>
      <c r="G5" s="85" t="s">
        <v>15</v>
      </c>
      <c r="H5" s="24">
        <f>$A$10/2*100</f>
        <v>1</v>
      </c>
      <c r="I5" s="24">
        <f>$A$10/2*100</f>
        <v>1</v>
      </c>
      <c r="J5" s="24">
        <f>$A$10/2*100</f>
        <v>1</v>
      </c>
      <c r="K5" s="25">
        <f>$A$10/2*100+100</f>
        <v>101</v>
      </c>
      <c r="L5" s="26"/>
    </row>
    <row r="6" spans="1:17" x14ac:dyDescent="0.25">
      <c r="A6" s="19" t="s">
        <v>14</v>
      </c>
      <c r="B6" s="20">
        <v>45536</v>
      </c>
      <c r="C6" s="21">
        <v>100.04900000000001</v>
      </c>
      <c r="D6" s="22">
        <f>5/12</f>
        <v>0.41666666666666669</v>
      </c>
      <c r="E6" s="23">
        <f>C6/100</f>
        <v>1.0004900000000001</v>
      </c>
      <c r="F6" s="88">
        <f>E6^(-1/D6)-1</f>
        <v>-1.175021095546569E-3</v>
      </c>
      <c r="G6" s="85" t="s">
        <v>16</v>
      </c>
      <c r="H6" s="27">
        <f>F7</f>
        <v>-4.3985484258046714E-4</v>
      </c>
      <c r="I6" s="28">
        <f>((D10-I4)*F9+(I4-D9)*F10)/(D10-D9)</f>
        <v>5.2163687837855058E-4</v>
      </c>
      <c r="J6" s="89">
        <f>((D10-J4)*I6+(J4-I4)*F10)/(D10-I4)</f>
        <v>2.9968442573006099E-3</v>
      </c>
      <c r="K6" s="29">
        <f>((D10-K4)*J6+(K4-J4)*F10)/(D10-J4)</f>
        <v>5.4720516362226695E-3</v>
      </c>
      <c r="L6" s="26"/>
      <c r="M6" s="26"/>
    </row>
    <row r="7" spans="1:17" x14ac:dyDescent="0.25">
      <c r="A7" s="19" t="s">
        <v>14</v>
      </c>
      <c r="B7" s="20">
        <v>45566</v>
      </c>
      <c r="C7" s="21">
        <v>100.02200000000001</v>
      </c>
      <c r="D7" s="22">
        <v>0.5</v>
      </c>
      <c r="E7" s="23">
        <f>C7/100</f>
        <v>1.0002200000000001</v>
      </c>
      <c r="F7" s="88">
        <f>E7^(-1/D7)-1</f>
        <v>-4.3985484258046714E-4</v>
      </c>
      <c r="G7" s="85" t="s">
        <v>17</v>
      </c>
      <c r="H7" s="24">
        <f>H5/((1+H6)^H4)</f>
        <v>1.0002200000000001</v>
      </c>
      <c r="I7" s="24">
        <f t="shared" ref="I7:K7" si="0">I5/((1+I6)^I4)</f>
        <v>0.9994786350847884</v>
      </c>
      <c r="J7" s="24">
        <f t="shared" si="0"/>
        <v>0.99552151445215276</v>
      </c>
      <c r="K7" s="25">
        <f t="shared" si="0"/>
        <v>99.903652658066733</v>
      </c>
      <c r="L7" s="26"/>
      <c r="M7" s="26"/>
      <c r="O7" s="106"/>
    </row>
    <row r="8" spans="1:17" x14ac:dyDescent="0.25">
      <c r="A8" s="19" t="s">
        <v>14</v>
      </c>
      <c r="B8" s="20">
        <v>45658</v>
      </c>
      <c r="C8" s="21">
        <v>100.005</v>
      </c>
      <c r="D8" s="22">
        <v>0.75</v>
      </c>
      <c r="E8" s="23">
        <f>C8/100</f>
        <v>1.0000499999999999</v>
      </c>
      <c r="F8" s="88">
        <f t="shared" ref="F8:F9" si="1">E8^(-1/D8)-1</f>
        <v>-6.666277799360909E-5</v>
      </c>
      <c r="G8" s="31"/>
      <c r="H8" s="31"/>
      <c r="I8" s="31"/>
      <c r="J8" s="31"/>
      <c r="K8" s="32"/>
      <c r="L8" s="26"/>
      <c r="M8" s="26"/>
    </row>
    <row r="9" spans="1:17" ht="16.5" thickBot="1" x14ac:dyDescent="0.3">
      <c r="A9" s="19" t="s">
        <v>14</v>
      </c>
      <c r="B9" s="20">
        <v>45717</v>
      </c>
      <c r="C9" s="21">
        <v>99.99</v>
      </c>
      <c r="D9" s="22">
        <f>11/12</f>
        <v>0.91666666666666663</v>
      </c>
      <c r="E9" s="23">
        <f>C9/100</f>
        <v>0.9998999999999999</v>
      </c>
      <c r="F9" s="88">
        <f t="shared" si="1"/>
        <v>1.0910231522487379E-4</v>
      </c>
      <c r="G9" s="31"/>
      <c r="H9" s="36"/>
      <c r="I9" s="31"/>
      <c r="J9" s="31"/>
      <c r="K9" s="32"/>
      <c r="L9" s="26"/>
      <c r="M9" s="26"/>
    </row>
    <row r="10" spans="1:17" ht="19.5" thickBot="1" x14ac:dyDescent="0.35">
      <c r="A10" s="37">
        <v>0.02</v>
      </c>
      <c r="B10" s="38">
        <v>46113</v>
      </c>
      <c r="C10" s="52">
        <f>I11</f>
        <v>102.89887280760368</v>
      </c>
      <c r="D10" s="22">
        <v>2.5</v>
      </c>
      <c r="E10" s="23"/>
      <c r="F10" s="88">
        <f>0.794725901514473%</f>
        <v>7.9472590151447291E-3</v>
      </c>
      <c r="G10" s="31"/>
      <c r="H10" s="31" t="s">
        <v>18</v>
      </c>
      <c r="I10" s="39">
        <f>SUM(H7:K7)</f>
        <v>102.89887280760368</v>
      </c>
      <c r="J10" s="31"/>
      <c r="K10" s="32"/>
      <c r="L10" s="26"/>
      <c r="M10" s="104" t="s">
        <v>19</v>
      </c>
      <c r="N10" s="96">
        <v>45383</v>
      </c>
      <c r="O10" s="97"/>
      <c r="P10" s="97"/>
      <c r="Q10" s="98"/>
    </row>
    <row r="11" spans="1:17" ht="16.5" thickBot="1" x14ac:dyDescent="0.3">
      <c r="D11" s="33">
        <v>3.25</v>
      </c>
      <c r="E11" s="34"/>
      <c r="F11" s="42">
        <f>1.1080034%</f>
        <v>1.1080034000000001E-2</v>
      </c>
      <c r="G11" s="31"/>
      <c r="H11" s="108" t="s">
        <v>36</v>
      </c>
      <c r="I11" s="91">
        <f>I10</f>
        <v>102.89887280760368</v>
      </c>
      <c r="J11" s="31"/>
      <c r="K11" s="32"/>
      <c r="L11" s="26"/>
      <c r="M11" s="102"/>
      <c r="N11" s="3">
        <f>(H4-0)*(H4-0+1)*H5*(1+H6)^(-H4+0-2)</f>
        <v>0.75082536307986913</v>
      </c>
      <c r="O11" s="3">
        <f t="shared" ref="O11:Q11" si="2">(I4-0)*(I4-0+1)*I5*(1+I6)^(-I4+0-2)</f>
        <v>1.9968734411535431</v>
      </c>
      <c r="P11" s="3">
        <f t="shared" si="2"/>
        <v>3.7109301913847506</v>
      </c>
      <c r="Q11" s="99">
        <f t="shared" si="2"/>
        <v>592.91523650041449</v>
      </c>
    </row>
    <row r="12" spans="1:17" ht="16.5" thickBot="1" x14ac:dyDescent="0.3">
      <c r="G12" s="40"/>
      <c r="H12" s="41"/>
      <c r="I12" s="41"/>
      <c r="J12" s="41"/>
      <c r="K12" s="63"/>
      <c r="L12" s="26"/>
      <c r="M12" s="107" t="s">
        <v>20</v>
      </c>
      <c r="N12" s="101">
        <f>SUM(N11:Q11)/I11</f>
        <v>5.8248827138924897</v>
      </c>
      <c r="O12" s="93"/>
      <c r="P12" s="93"/>
      <c r="Q12" s="100"/>
    </row>
    <row r="13" spans="1:17" x14ac:dyDescent="0.25">
      <c r="G13" s="26"/>
      <c r="H13" s="26"/>
      <c r="I13" s="26"/>
      <c r="J13" s="26"/>
      <c r="K13" s="56"/>
      <c r="L13" s="26"/>
      <c r="M13" s="26"/>
    </row>
    <row r="14" spans="1:17" x14ac:dyDescent="0.25">
      <c r="G14" s="26"/>
      <c r="L14" s="26"/>
      <c r="M14" s="26"/>
    </row>
    <row r="15" spans="1:17" x14ac:dyDescent="0.25">
      <c r="G15" s="26"/>
      <c r="L15" s="26"/>
      <c r="M15" s="26"/>
    </row>
    <row r="16" spans="1:17" ht="21.75" thickBot="1" x14ac:dyDescent="0.4">
      <c r="A16" s="129" t="s">
        <v>21</v>
      </c>
      <c r="B16" s="129"/>
      <c r="C16" s="129"/>
      <c r="D16" s="129"/>
      <c r="E16" s="129"/>
      <c r="F16" s="129"/>
      <c r="G16" s="129"/>
      <c r="H16" s="129"/>
      <c r="I16" s="129"/>
      <c r="J16" s="129"/>
      <c r="K16" s="129"/>
      <c r="L16" s="26"/>
      <c r="M16" s="26"/>
    </row>
    <row r="17" spans="1:12" ht="23.25" x14ac:dyDescent="0.35">
      <c r="A17" s="1" t="s">
        <v>1</v>
      </c>
      <c r="B17" s="2">
        <v>45383</v>
      </c>
      <c r="D17" s="122" t="s">
        <v>2</v>
      </c>
      <c r="E17" s="123"/>
      <c r="F17" s="124"/>
      <c r="G17" s="130" t="s">
        <v>22</v>
      </c>
      <c r="H17" s="126"/>
      <c r="I17" s="126"/>
      <c r="J17" s="126"/>
      <c r="K17" s="127"/>
    </row>
    <row r="18" spans="1:12" x14ac:dyDescent="0.25">
      <c r="A18" s="4"/>
      <c r="B18" s="5"/>
      <c r="D18" s="6"/>
      <c r="E18" s="7"/>
      <c r="F18" s="86"/>
      <c r="G18" s="84" t="s">
        <v>5</v>
      </c>
      <c r="H18" s="9">
        <v>45566</v>
      </c>
      <c r="I18" s="9">
        <v>45748</v>
      </c>
      <c r="J18" s="9">
        <v>45931</v>
      </c>
      <c r="K18" s="10">
        <v>46113</v>
      </c>
    </row>
    <row r="19" spans="1:12" x14ac:dyDescent="0.25">
      <c r="A19" s="11" t="s">
        <v>6</v>
      </c>
      <c r="B19" s="12" t="s">
        <v>7</v>
      </c>
      <c r="C19" s="12" t="s">
        <v>8</v>
      </c>
      <c r="D19" s="13" t="s">
        <v>9</v>
      </c>
      <c r="E19" s="14" t="s">
        <v>10</v>
      </c>
      <c r="F19" s="87" t="s">
        <v>11</v>
      </c>
      <c r="G19" s="85" t="s">
        <v>12</v>
      </c>
      <c r="H19" s="16">
        <v>0.5</v>
      </c>
      <c r="I19" s="16">
        <v>1</v>
      </c>
      <c r="J19" s="16">
        <v>1.5</v>
      </c>
      <c r="K19" s="17">
        <v>2</v>
      </c>
      <c r="L19" s="18"/>
    </row>
    <row r="20" spans="1:12" x14ac:dyDescent="0.25">
      <c r="A20" s="19" t="s">
        <v>14</v>
      </c>
      <c r="B20" s="20">
        <v>45413</v>
      </c>
      <c r="C20" s="21">
        <v>100.03700000000001</v>
      </c>
      <c r="D20" s="22">
        <f>1/12</f>
        <v>8.3333333333333329E-2</v>
      </c>
      <c r="E20" s="23">
        <f>C20/100</f>
        <v>1.00037</v>
      </c>
      <c r="F20" s="88">
        <f>E20^(-1/D20)-1+0.02%</f>
        <v>-4.2293402121399209E-3</v>
      </c>
      <c r="G20" s="85" t="s">
        <v>15</v>
      </c>
      <c r="H20" s="24">
        <f>$A$10/2*100</f>
        <v>1</v>
      </c>
      <c r="I20" s="24">
        <f>$A$10/2*100</f>
        <v>1</v>
      </c>
      <c r="J20" s="24">
        <f>$A$10/2*100</f>
        <v>1</v>
      </c>
      <c r="K20" s="25">
        <f>$A$10/2*100+100</f>
        <v>101</v>
      </c>
      <c r="L20" s="26"/>
    </row>
    <row r="21" spans="1:12" x14ac:dyDescent="0.25">
      <c r="A21" s="19" t="s">
        <v>14</v>
      </c>
      <c r="B21" s="20">
        <v>45536</v>
      </c>
      <c r="C21" s="21">
        <v>100.04900000000001</v>
      </c>
      <c r="D21" s="22">
        <f>5/12</f>
        <v>0.41666666666666669</v>
      </c>
      <c r="E21" s="23">
        <f>C21/100</f>
        <v>1.0004900000000001</v>
      </c>
      <c r="F21" s="88">
        <f t="shared" ref="F21:F24" si="3">E21^(-1/D21)-1+0.02%</f>
        <v>-9.7502109554656899E-4</v>
      </c>
      <c r="G21" s="85" t="s">
        <v>16</v>
      </c>
      <c r="H21" s="27">
        <f>F22</f>
        <v>-2.3985484258046713E-4</v>
      </c>
      <c r="I21" s="28">
        <f>((D25-I19)*F24+(I19-D24)*F25)/(D25-D24)</f>
        <v>7.2163687837855045E-4</v>
      </c>
      <c r="J21" s="28">
        <f>((D25-J19)*F24+(J19-D24)*F25)/(D25-D24)</f>
        <v>3.19684425730061E-3</v>
      </c>
      <c r="K21" s="29">
        <f>((D25-K19)*F24+(K19-D24)*F25)/(D25-D24)</f>
        <v>5.67205163622267E-3</v>
      </c>
      <c r="L21" s="26"/>
    </row>
    <row r="22" spans="1:12" x14ac:dyDescent="0.25">
      <c r="A22" s="19" t="s">
        <v>14</v>
      </c>
      <c r="B22" s="20">
        <v>45566</v>
      </c>
      <c r="C22" s="21">
        <v>100.02200000000001</v>
      </c>
      <c r="D22" s="22">
        <v>0.5</v>
      </c>
      <c r="E22" s="23">
        <f>C22/100</f>
        <v>1.0002200000000001</v>
      </c>
      <c r="F22" s="88">
        <f t="shared" si="3"/>
        <v>-2.3985484258046713E-4</v>
      </c>
      <c r="G22" s="85" t="s">
        <v>17</v>
      </c>
      <c r="H22" s="24">
        <f>H20/((1+H21)^H19)</f>
        <v>1.0001199489994828</v>
      </c>
      <c r="I22" s="24">
        <f>I20/((1+I21)^I19)</f>
        <v>0.99927888350587735</v>
      </c>
      <c r="J22" s="24">
        <f>J20/((1+J21)^J19)</f>
        <v>0.99522382455179681</v>
      </c>
      <c r="K22" s="25">
        <f>K20/((1+K21)^K19)</f>
        <v>99.863920533274538</v>
      </c>
      <c r="L22" s="26"/>
    </row>
    <row r="23" spans="1:12" x14ac:dyDescent="0.25">
      <c r="A23" s="19" t="s">
        <v>14</v>
      </c>
      <c r="B23" s="20">
        <v>45658</v>
      </c>
      <c r="C23" s="21">
        <v>100.005</v>
      </c>
      <c r="D23" s="22">
        <v>0.75</v>
      </c>
      <c r="E23" s="23">
        <f>C23/100</f>
        <v>1.0000499999999999</v>
      </c>
      <c r="F23" s="88">
        <f t="shared" si="3"/>
        <v>1.3333722200639092E-4</v>
      </c>
      <c r="G23" s="31"/>
      <c r="H23" s="31"/>
      <c r="I23" s="31"/>
      <c r="J23" s="31"/>
      <c r="K23" s="32"/>
      <c r="L23" s="26"/>
    </row>
    <row r="24" spans="1:12" x14ac:dyDescent="0.25">
      <c r="A24" s="19" t="s">
        <v>14</v>
      </c>
      <c r="B24" s="20">
        <v>45717</v>
      </c>
      <c r="C24" s="21">
        <v>99.99</v>
      </c>
      <c r="D24" s="22">
        <f>11/12</f>
        <v>0.91666666666666663</v>
      </c>
      <c r="E24" s="23">
        <f>C24/100</f>
        <v>0.9998999999999999</v>
      </c>
      <c r="F24" s="88">
        <f t="shared" si="3"/>
        <v>3.0910231522487377E-4</v>
      </c>
      <c r="G24" s="31"/>
      <c r="H24" s="36"/>
      <c r="I24" s="31"/>
      <c r="J24" s="31"/>
      <c r="K24" s="32"/>
      <c r="L24" s="26"/>
    </row>
    <row r="25" spans="1:12" ht="16.5" thickBot="1" x14ac:dyDescent="0.3">
      <c r="A25" s="37">
        <v>0.02</v>
      </c>
      <c r="B25" s="38">
        <v>46113</v>
      </c>
      <c r="C25" s="52">
        <f>I25</f>
        <v>102.85854319033169</v>
      </c>
      <c r="D25" s="22">
        <v>2.5</v>
      </c>
      <c r="E25" s="23"/>
      <c r="F25" s="88">
        <f>0.794725901514473%+0.02%</f>
        <v>8.1472590151447297E-3</v>
      </c>
      <c r="G25" s="31"/>
      <c r="H25" s="31" t="s">
        <v>18</v>
      </c>
      <c r="I25" s="39">
        <f>SUM(H22:K22)</f>
        <v>102.85854319033169</v>
      </c>
      <c r="J25" s="31"/>
      <c r="K25" s="32"/>
      <c r="L25" s="26"/>
    </row>
    <row r="26" spans="1:12" ht="16.5" thickBot="1" x14ac:dyDescent="0.3">
      <c r="D26" s="33">
        <v>3.25</v>
      </c>
      <c r="E26" s="34"/>
      <c r="F26" s="42">
        <f>1.1080034%+0.02%</f>
        <v>1.1280034000000001E-2</v>
      </c>
      <c r="G26" s="31"/>
      <c r="H26" s="108" t="s">
        <v>36</v>
      </c>
      <c r="I26" s="91">
        <f>I25</f>
        <v>102.85854319033169</v>
      </c>
      <c r="J26" s="31"/>
      <c r="K26" s="32"/>
      <c r="L26" s="26"/>
    </row>
    <row r="27" spans="1:12" ht="16.5" thickBot="1" x14ac:dyDescent="0.3">
      <c r="G27" s="40"/>
      <c r="H27" s="41"/>
      <c r="I27" s="41"/>
      <c r="J27" s="41"/>
      <c r="K27" s="63"/>
      <c r="L27" s="26"/>
    </row>
    <row r="28" spans="1:12" x14ac:dyDescent="0.25">
      <c r="G28" s="26"/>
      <c r="H28" s="26"/>
      <c r="I28" s="26"/>
      <c r="J28" s="26"/>
      <c r="K28" s="56"/>
      <c r="L28" s="26"/>
    </row>
    <row r="29" spans="1:12" x14ac:dyDescent="0.25">
      <c r="G29" s="26"/>
      <c r="L29" s="26"/>
    </row>
    <row r="30" spans="1:12" x14ac:dyDescent="0.25">
      <c r="G30" s="26"/>
      <c r="L30" s="26"/>
    </row>
    <row r="31" spans="1:12" ht="21.75" thickBot="1" x14ac:dyDescent="0.4">
      <c r="A31" s="129" t="s">
        <v>23</v>
      </c>
      <c r="B31" s="129"/>
      <c r="C31" s="129"/>
      <c r="D31" s="129"/>
      <c r="E31" s="129"/>
      <c r="F31" s="129"/>
      <c r="G31" s="129"/>
      <c r="H31" s="129"/>
      <c r="I31" s="129"/>
      <c r="J31" s="129"/>
      <c r="K31" s="129"/>
      <c r="L31" s="26"/>
    </row>
    <row r="32" spans="1:12" ht="23.25" x14ac:dyDescent="0.35">
      <c r="A32" s="1" t="s">
        <v>1</v>
      </c>
      <c r="B32" s="2">
        <v>45383</v>
      </c>
      <c r="D32" s="122" t="s">
        <v>2</v>
      </c>
      <c r="E32" s="123"/>
      <c r="F32" s="124"/>
      <c r="G32" s="125" t="s">
        <v>24</v>
      </c>
      <c r="H32" s="126"/>
      <c r="I32" s="126"/>
      <c r="J32" s="126"/>
      <c r="K32" s="127"/>
    </row>
    <row r="33" spans="1:11" x14ac:dyDescent="0.25">
      <c r="A33" s="4"/>
      <c r="B33" s="5"/>
      <c r="D33" s="6"/>
      <c r="E33" s="7"/>
      <c r="F33" s="86"/>
      <c r="G33" s="8" t="s">
        <v>5</v>
      </c>
      <c r="H33" s="9">
        <v>45566</v>
      </c>
      <c r="I33" s="9">
        <v>45748</v>
      </c>
      <c r="J33" s="9">
        <v>45931</v>
      </c>
      <c r="K33" s="10">
        <v>46113</v>
      </c>
    </row>
    <row r="34" spans="1:11" x14ac:dyDescent="0.25">
      <c r="A34" s="11" t="s">
        <v>6</v>
      </c>
      <c r="B34" s="12" t="s">
        <v>7</v>
      </c>
      <c r="C34" s="12" t="s">
        <v>8</v>
      </c>
      <c r="D34" s="13" t="s">
        <v>9</v>
      </c>
      <c r="E34" s="14" t="s">
        <v>10</v>
      </c>
      <c r="F34" s="87" t="s">
        <v>11</v>
      </c>
      <c r="G34" s="15" t="s">
        <v>12</v>
      </c>
      <c r="H34" s="16">
        <v>0.5</v>
      </c>
      <c r="I34" s="16">
        <v>1</v>
      </c>
      <c r="J34" s="16">
        <v>1.5</v>
      </c>
      <c r="K34" s="17">
        <v>2</v>
      </c>
    </row>
    <row r="35" spans="1:11" x14ac:dyDescent="0.25">
      <c r="A35" s="19" t="s">
        <v>14</v>
      </c>
      <c r="B35" s="20">
        <v>45413</v>
      </c>
      <c r="C35" s="21">
        <v>100.03700000000001</v>
      </c>
      <c r="D35" s="22">
        <f>1/12</f>
        <v>8.3333333333333329E-2</v>
      </c>
      <c r="E35" s="23">
        <f>C35/100</f>
        <v>1.00037</v>
      </c>
      <c r="F35" s="88">
        <f>E35^(-1/D35)-1-0.02%</f>
        <v>-4.6293402121399202E-3</v>
      </c>
      <c r="G35" s="15" t="s">
        <v>15</v>
      </c>
      <c r="H35" s="24">
        <f>$A$10/2*100</f>
        <v>1</v>
      </c>
      <c r="I35" s="24">
        <f>$A$10/2*100</f>
        <v>1</v>
      </c>
      <c r="J35" s="24">
        <f>$A$10/2*100</f>
        <v>1</v>
      </c>
      <c r="K35" s="25">
        <f>$A$10/2*100+100</f>
        <v>101</v>
      </c>
    </row>
    <row r="36" spans="1:11" x14ac:dyDescent="0.25">
      <c r="A36" s="19" t="s">
        <v>14</v>
      </c>
      <c r="B36" s="20">
        <v>45536</v>
      </c>
      <c r="C36" s="21">
        <v>100.04900000000001</v>
      </c>
      <c r="D36" s="22">
        <f>5/12</f>
        <v>0.41666666666666669</v>
      </c>
      <c r="E36" s="23">
        <f>C36/100</f>
        <v>1.0004900000000001</v>
      </c>
      <c r="F36" s="88">
        <f>E36^(-1/D36)-1-0.02%</f>
        <v>-1.3750210955465691E-3</v>
      </c>
      <c r="G36" s="15" t="s">
        <v>16</v>
      </c>
      <c r="H36" s="27">
        <f>F37</f>
        <v>-6.3985484258046712E-4</v>
      </c>
      <c r="I36" s="28">
        <f>(($D$40-I34)*$F$39+(I34-$D$39)*$F$40)/($D$40-$D$39)</f>
        <v>3.2163687837855054E-4</v>
      </c>
      <c r="J36" s="28">
        <f>(($D$40-J34)*$F$39+(J34-$D$39)*$F$40)/($D$40-$D$39)</f>
        <v>2.7968442573006102E-3</v>
      </c>
      <c r="K36" s="29">
        <f>(($D$40-K34)*$F$39+(K34-$D$39)*$F$40)/($D$40-$D$39)</f>
        <v>5.2720516362226699E-3</v>
      </c>
    </row>
    <row r="37" spans="1:11" x14ac:dyDescent="0.25">
      <c r="A37" s="19" t="s">
        <v>14</v>
      </c>
      <c r="B37" s="20">
        <v>45566</v>
      </c>
      <c r="C37" s="21">
        <v>100.02200000000001</v>
      </c>
      <c r="D37" s="22">
        <v>0.5</v>
      </c>
      <c r="E37" s="23">
        <f>C37/100</f>
        <v>1.0002200000000001</v>
      </c>
      <c r="F37" s="88">
        <f>E37^(-1/D37)-1-0.02%</f>
        <v>-6.3985484258046712E-4</v>
      </c>
      <c r="G37" s="15" t="s">
        <v>17</v>
      </c>
      <c r="H37" s="24">
        <f>H35/((1+H36)^H34)</f>
        <v>1.0003200810335326</v>
      </c>
      <c r="I37" s="24">
        <f>I35/((1+I36)^I34)</f>
        <v>0.99967846653864034</v>
      </c>
      <c r="J37" s="24">
        <f>J35/((1+J36)^J34)</f>
        <v>0.99581935278972389</v>
      </c>
      <c r="K37" s="25">
        <f>K35/((1+K36)^K34)</f>
        <v>99.943408499469982</v>
      </c>
    </row>
    <row r="38" spans="1:11" x14ac:dyDescent="0.25">
      <c r="A38" s="19" t="s">
        <v>14</v>
      </c>
      <c r="B38" s="20">
        <v>45658</v>
      </c>
      <c r="C38" s="21">
        <v>100.005</v>
      </c>
      <c r="D38" s="22">
        <v>0.75</v>
      </c>
      <c r="E38" s="23">
        <f>C38/100</f>
        <v>1.0000499999999999</v>
      </c>
      <c r="F38" s="88">
        <f>E38^(-1/D38)-1-0.02%</f>
        <v>-2.6666277799360907E-4</v>
      </c>
      <c r="G38" s="30"/>
      <c r="H38" s="31"/>
      <c r="I38" s="31"/>
      <c r="J38" s="31"/>
      <c r="K38" s="32"/>
    </row>
    <row r="39" spans="1:11" x14ac:dyDescent="0.25">
      <c r="A39" s="19" t="s">
        <v>14</v>
      </c>
      <c r="B39" s="20">
        <v>45717</v>
      </c>
      <c r="C39" s="21">
        <v>99.99</v>
      </c>
      <c r="D39" s="22">
        <f>11/12</f>
        <v>0.91666666666666663</v>
      </c>
      <c r="E39" s="23">
        <f>C39/100</f>
        <v>0.9998999999999999</v>
      </c>
      <c r="F39" s="88">
        <f>E39^(-1/D39)-1-0.02%</f>
        <v>-9.0897684775126218E-5</v>
      </c>
      <c r="G39" s="30"/>
      <c r="H39" s="36"/>
      <c r="I39" s="31"/>
      <c r="J39" s="31"/>
      <c r="K39" s="32"/>
    </row>
    <row r="40" spans="1:11" ht="16.5" thickBot="1" x14ac:dyDescent="0.3">
      <c r="A40" s="37">
        <v>0.02</v>
      </c>
      <c r="B40" s="38">
        <v>46113</v>
      </c>
      <c r="C40" s="52">
        <f>I41</f>
        <v>102.93922639983188</v>
      </c>
      <c r="D40" s="22">
        <v>2.5</v>
      </c>
      <c r="E40" s="23"/>
      <c r="F40" s="88">
        <f>0.794725901514473%-0.02%</f>
        <v>7.7472590151447295E-3</v>
      </c>
      <c r="G40" s="30"/>
      <c r="H40" s="31" t="s">
        <v>18</v>
      </c>
      <c r="I40" s="39">
        <f>SUM(H37:K37)</f>
        <v>102.93922639983188</v>
      </c>
      <c r="J40" s="31"/>
      <c r="K40" s="32"/>
    </row>
    <row r="41" spans="1:11" ht="16.5" thickBot="1" x14ac:dyDescent="0.3">
      <c r="D41" s="33">
        <v>3.25</v>
      </c>
      <c r="E41" s="34"/>
      <c r="F41" s="42">
        <f>1.1080034%-0.02%</f>
        <v>1.0880034E-2</v>
      </c>
      <c r="G41" s="30"/>
      <c r="H41" s="108" t="s">
        <v>36</v>
      </c>
      <c r="I41" s="91">
        <f>I40</f>
        <v>102.93922639983188</v>
      </c>
      <c r="J41" s="31"/>
      <c r="K41" s="32"/>
    </row>
    <row r="42" spans="1:11" ht="16.5" thickBot="1" x14ac:dyDescent="0.3">
      <c r="G42" s="40"/>
      <c r="H42" s="41"/>
      <c r="I42" s="41"/>
      <c r="J42" s="41"/>
      <c r="K42" s="63"/>
    </row>
    <row r="43" spans="1:11" x14ac:dyDescent="0.25">
      <c r="G43" s="26"/>
      <c r="H43" s="26"/>
      <c r="I43" s="26"/>
      <c r="J43" s="26"/>
      <c r="K43" s="56"/>
    </row>
  </sheetData>
  <sortState xmlns:xlrd2="http://schemas.microsoft.com/office/spreadsheetml/2017/richdata2" ref="T4:T14">
    <sortCondition ref="T4:T14"/>
  </sortState>
  <mergeCells count="9">
    <mergeCell ref="D32:F32"/>
    <mergeCell ref="G32:K32"/>
    <mergeCell ref="A1:K1"/>
    <mergeCell ref="A16:K16"/>
    <mergeCell ref="A31:K31"/>
    <mergeCell ref="D2:F2"/>
    <mergeCell ref="G2:K2"/>
    <mergeCell ref="D17:F17"/>
    <mergeCell ref="G17:K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ED17-227B-DA4D-A468-5BA33207C4D7}">
  <dimension ref="A1:P43"/>
  <sheetViews>
    <sheetView tabSelected="1" workbookViewId="0">
      <selection activeCell="H6" sqref="H6:J6"/>
    </sheetView>
  </sheetViews>
  <sheetFormatPr defaultColWidth="12.42578125" defaultRowHeight="15.75" x14ac:dyDescent="0.25"/>
  <cols>
    <col min="1" max="1" width="13.85546875" style="3" customWidth="1"/>
    <col min="2" max="2" width="15.42578125" style="3" customWidth="1"/>
    <col min="3" max="3" width="16.42578125" style="3" customWidth="1"/>
    <col min="4" max="4" width="21" style="3" customWidth="1"/>
    <col min="5" max="5" width="12.140625" style="3" customWidth="1"/>
    <col min="6" max="6" width="12.7109375" style="3" customWidth="1"/>
    <col min="7" max="7" width="17.7109375" style="3" customWidth="1"/>
    <col min="8" max="8" width="14.7109375" style="3" customWidth="1"/>
    <col min="9" max="9" width="13" style="3" customWidth="1"/>
    <col min="10" max="10" width="13.140625" style="3" customWidth="1"/>
    <col min="11" max="11" width="13.7109375" style="3" customWidth="1"/>
    <col min="12" max="12" width="13.140625" style="3" bestFit="1" customWidth="1"/>
    <col min="13" max="13" width="16.42578125" style="3" bestFit="1" customWidth="1"/>
    <col min="14" max="16384" width="12.42578125" style="3"/>
  </cols>
  <sheetData>
    <row r="1" spans="1:16" ht="21" x14ac:dyDescent="0.35">
      <c r="A1" s="128" t="s">
        <v>25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</row>
    <row r="2" spans="1:16" ht="23.25" customHeight="1" x14ac:dyDescent="0.35">
      <c r="A2" s="1" t="s">
        <v>1</v>
      </c>
      <c r="B2" s="2">
        <v>45383</v>
      </c>
      <c r="D2" s="134" t="s">
        <v>2</v>
      </c>
      <c r="E2" s="135"/>
      <c r="F2" s="136"/>
      <c r="G2" s="132" t="s">
        <v>3</v>
      </c>
      <c r="H2" s="132"/>
      <c r="I2" s="132"/>
      <c r="J2" s="133"/>
      <c r="M2" s="104" t="s">
        <v>4</v>
      </c>
      <c r="N2" s="96">
        <v>45383</v>
      </c>
      <c r="O2" s="97"/>
      <c r="P2" s="98"/>
    </row>
    <row r="3" spans="1:16" x14ac:dyDescent="0.25">
      <c r="A3" s="4"/>
      <c r="B3" s="5"/>
      <c r="D3" s="43"/>
      <c r="E3" s="7"/>
      <c r="F3" s="44"/>
      <c r="G3" s="84" t="s">
        <v>5</v>
      </c>
      <c r="H3" s="9">
        <v>45444</v>
      </c>
      <c r="I3" s="9">
        <v>45627</v>
      </c>
      <c r="J3" s="57">
        <v>45809</v>
      </c>
      <c r="K3" s="53"/>
      <c r="M3" s="102"/>
      <c r="N3" s="3">
        <f>(H4-0)*H5*(1+H6)^(-H4+0)</f>
        <v>0.16676731685400475</v>
      </c>
      <c r="O3" s="3">
        <f>(I4-0)*I5*(1+I6)^(-I4+0)</f>
        <v>0.66675159580355636</v>
      </c>
      <c r="P3" s="99">
        <f>(J4-0)*J5*(1+J6)^(-J4+0)</f>
        <v>117.64846838157395</v>
      </c>
    </row>
    <row r="4" spans="1:16" x14ac:dyDescent="0.25">
      <c r="A4" s="11" t="s">
        <v>6</v>
      </c>
      <c r="B4" s="12" t="s">
        <v>7</v>
      </c>
      <c r="C4" s="12" t="s">
        <v>8</v>
      </c>
      <c r="D4" s="45" t="s">
        <v>9</v>
      </c>
      <c r="E4" s="14" t="s">
        <v>10</v>
      </c>
      <c r="F4" s="46" t="s">
        <v>11</v>
      </c>
      <c r="G4" s="85" t="s">
        <v>12</v>
      </c>
      <c r="H4" s="61">
        <v>0.16666666666666666</v>
      </c>
      <c r="I4" s="61">
        <v>0.66666666666666663</v>
      </c>
      <c r="J4" s="62">
        <v>1.1666666666666667</v>
      </c>
      <c r="K4" s="54"/>
      <c r="L4" s="18"/>
      <c r="M4" s="105" t="s">
        <v>13</v>
      </c>
      <c r="N4" s="101">
        <f>SUM(N3:P3)/I11</f>
        <v>1.1595916922418441</v>
      </c>
      <c r="O4" s="93"/>
      <c r="P4" s="100"/>
    </row>
    <row r="5" spans="1:16" x14ac:dyDescent="0.25">
      <c r="A5" s="19" t="s">
        <v>14</v>
      </c>
      <c r="B5" s="20">
        <v>45413</v>
      </c>
      <c r="C5" s="21">
        <v>100.03700000000001</v>
      </c>
      <c r="D5" s="47">
        <f>1/12</f>
        <v>8.3333333333333329E-2</v>
      </c>
      <c r="E5" s="23">
        <f>C5/100</f>
        <v>1.00037</v>
      </c>
      <c r="F5" s="48">
        <f>E5^(-1/D5)-1</f>
        <v>-4.4293402121399206E-3</v>
      </c>
      <c r="G5" s="85" t="s">
        <v>15</v>
      </c>
      <c r="H5" s="24">
        <f>$A$10/2*100</f>
        <v>1</v>
      </c>
      <c r="I5" s="24">
        <f>$A$10/2*100</f>
        <v>1</v>
      </c>
      <c r="J5" s="58">
        <f>100+A10*50</f>
        <v>101</v>
      </c>
      <c r="K5" s="26"/>
      <c r="L5" s="26"/>
    </row>
    <row r="6" spans="1:16" x14ac:dyDescent="0.25">
      <c r="A6" s="19" t="s">
        <v>14</v>
      </c>
      <c r="B6" s="20">
        <v>45536</v>
      </c>
      <c r="C6" s="21">
        <v>100.04900000000001</v>
      </c>
      <c r="D6" s="47">
        <f>5/12</f>
        <v>0.41666666666666669</v>
      </c>
      <c r="E6" s="23">
        <f>C6/100</f>
        <v>1.0004900000000001</v>
      </c>
      <c r="F6" s="48">
        <f>E6^(-1/D6)-1</f>
        <v>-1.175021095546569E-3</v>
      </c>
      <c r="G6" s="85" t="s">
        <v>16</v>
      </c>
      <c r="H6" s="27">
        <f>((D6-H4)*F5+(H4-D5)*F6)/(D6-D5)</f>
        <v>-3.6157604329915822E-3</v>
      </c>
      <c r="I6" s="27">
        <f>((D8-I4)*F7+(I4-D7)*F8)/(D8-D7)</f>
        <v>-1.9106013285589515E-4</v>
      </c>
      <c r="J6" s="103">
        <f>(('1°titolo'!J4-'2°titolo'!J4)*'1°titolo'!I6+('2°titolo'!J4-'1°titolo'!I4)*'1°titolo'!J6)/('1°titolo'!J4-'1°titolo'!I4)</f>
        <v>1.346706004685904E-3</v>
      </c>
      <c r="K6" s="55"/>
      <c r="L6" s="26"/>
      <c r="M6" s="26"/>
    </row>
    <row r="7" spans="1:16" x14ac:dyDescent="0.25">
      <c r="A7" s="19" t="s">
        <v>14</v>
      </c>
      <c r="B7" s="20">
        <v>45566</v>
      </c>
      <c r="C7" s="21">
        <v>100.02200000000001</v>
      </c>
      <c r="D7" s="47">
        <v>0.5</v>
      </c>
      <c r="E7" s="23">
        <f>C7/100</f>
        <v>1.0002200000000001</v>
      </c>
      <c r="F7" s="48">
        <f>E7^(-1/D7)-1</f>
        <v>-4.3985484258046714E-4</v>
      </c>
      <c r="G7" s="85" t="s">
        <v>17</v>
      </c>
      <c r="H7" s="24">
        <f>H5/((1+H6)^H4)</f>
        <v>1.0006039011240286</v>
      </c>
      <c r="I7" s="24">
        <f>I5/((1+I6)^I4)</f>
        <v>1.0001273937053345</v>
      </c>
      <c r="J7" s="58">
        <f>J5/((1+J6)^J4)</f>
        <v>100.84154432706337</v>
      </c>
      <c r="K7" s="26"/>
      <c r="L7" s="26"/>
      <c r="M7" s="26"/>
    </row>
    <row r="8" spans="1:16" x14ac:dyDescent="0.25">
      <c r="A8" s="19" t="s">
        <v>14</v>
      </c>
      <c r="B8" s="20">
        <v>45658</v>
      </c>
      <c r="C8" s="21">
        <v>100.005</v>
      </c>
      <c r="D8" s="47">
        <v>0.75</v>
      </c>
      <c r="E8" s="23">
        <f>C8/100</f>
        <v>1.0000499999999999</v>
      </c>
      <c r="F8" s="48">
        <f>E8^(-1/D8)-1</f>
        <v>-6.666277799360909E-5</v>
      </c>
      <c r="G8" s="31"/>
      <c r="H8" s="31"/>
      <c r="I8" s="31"/>
      <c r="J8" s="60"/>
      <c r="K8" s="26"/>
      <c r="L8" s="26"/>
      <c r="M8" s="26"/>
    </row>
    <row r="9" spans="1:16" x14ac:dyDescent="0.25">
      <c r="A9" s="19" t="s">
        <v>14</v>
      </c>
      <c r="B9" s="20">
        <v>45717</v>
      </c>
      <c r="C9" s="21">
        <v>99.99</v>
      </c>
      <c r="D9" s="47">
        <f>11/12</f>
        <v>0.91666666666666663</v>
      </c>
      <c r="E9" s="23">
        <f>C9/100</f>
        <v>0.9998999999999999</v>
      </c>
      <c r="F9" s="48">
        <f>E9^(-1/D9)-1</f>
        <v>1.0910231522487379E-4</v>
      </c>
      <c r="G9" s="31"/>
      <c r="H9" s="31" t="s">
        <v>18</v>
      </c>
      <c r="I9" s="39">
        <f>SUM(H7:K7)</f>
        <v>102.84227562189274</v>
      </c>
      <c r="J9" s="60"/>
      <c r="K9" s="26"/>
      <c r="L9" s="26"/>
      <c r="M9" s="26"/>
    </row>
    <row r="10" spans="1:16" ht="18.75" x14ac:dyDescent="0.3">
      <c r="A10" s="37">
        <v>0.02</v>
      </c>
      <c r="B10" s="38">
        <v>45809</v>
      </c>
      <c r="C10" s="52">
        <f>I11</f>
        <v>102.17560895522607</v>
      </c>
      <c r="D10" s="47">
        <v>2.5</v>
      </c>
      <c r="E10" s="23"/>
      <c r="F10" s="48">
        <f>0.794725901514473%</f>
        <v>7.9472590151447291E-3</v>
      </c>
      <c r="G10" s="31"/>
      <c r="H10" s="31" t="s">
        <v>26</v>
      </c>
      <c r="I10" s="65">
        <f>4/6</f>
        <v>0.66666666666666663</v>
      </c>
      <c r="J10" s="60"/>
      <c r="K10" s="26"/>
      <c r="L10" s="26"/>
      <c r="M10" s="104" t="s">
        <v>19</v>
      </c>
      <c r="N10" s="96">
        <v>45383</v>
      </c>
      <c r="O10" s="97"/>
      <c r="P10" s="98"/>
    </row>
    <row r="11" spans="1:16" x14ac:dyDescent="0.25">
      <c r="C11" s="3">
        <v>2</v>
      </c>
      <c r="D11" s="49">
        <v>3.25</v>
      </c>
      <c r="E11" s="50"/>
      <c r="F11" s="51">
        <f>1.1080034%</f>
        <v>1.1080034000000001E-2</v>
      </c>
      <c r="G11" s="59"/>
      <c r="H11" s="108" t="s">
        <v>36</v>
      </c>
      <c r="I11" s="91">
        <f>I9-I10</f>
        <v>102.17560895522607</v>
      </c>
      <c r="J11" s="60"/>
      <c r="K11" s="26"/>
      <c r="L11" s="26"/>
      <c r="M11" s="102"/>
      <c r="N11" s="3">
        <f>(H4-0)*(H4-0+1)*H5*(1+H6)^(-H4+0-2)</f>
        <v>0.19597651578335401</v>
      </c>
      <c r="O11" s="3">
        <f t="shared" ref="O11:P11" si="0">(I4-0)*(I4-0+1)*I5*(1+I6)^(-I4+0-2)</f>
        <v>1.1116774135606053</v>
      </c>
      <c r="P11" s="99">
        <f t="shared" si="0"/>
        <v>254.21983501266942</v>
      </c>
    </row>
    <row r="12" spans="1:16" x14ac:dyDescent="0.25">
      <c r="G12" s="92"/>
      <c r="H12" s="95"/>
      <c r="I12" s="95"/>
      <c r="J12" s="94"/>
      <c r="K12" s="26"/>
      <c r="L12" s="26"/>
      <c r="M12" s="107" t="s">
        <v>20</v>
      </c>
      <c r="N12" s="101">
        <f>SUM(N11:Q11)/I9</f>
        <v>2.4846541696673374</v>
      </c>
      <c r="O12" s="93"/>
      <c r="P12" s="100"/>
    </row>
    <row r="13" spans="1:16" x14ac:dyDescent="0.25">
      <c r="K13" s="56"/>
      <c r="L13" s="26"/>
      <c r="M13" s="26"/>
    </row>
    <row r="14" spans="1:16" x14ac:dyDescent="0.25">
      <c r="G14" s="26"/>
      <c r="L14" s="26"/>
      <c r="M14" s="26"/>
    </row>
    <row r="15" spans="1:16" x14ac:dyDescent="0.25">
      <c r="G15" s="26"/>
      <c r="L15" s="26"/>
      <c r="M15" s="26"/>
    </row>
    <row r="16" spans="1:16" ht="21.75" thickBot="1" x14ac:dyDescent="0.4">
      <c r="A16" s="128" t="s">
        <v>27</v>
      </c>
      <c r="B16" s="128"/>
      <c r="C16" s="128"/>
      <c r="D16" s="128"/>
      <c r="E16" s="128"/>
      <c r="F16" s="128"/>
      <c r="G16" s="128"/>
      <c r="H16" s="128"/>
      <c r="I16" s="128"/>
      <c r="J16" s="128"/>
      <c r="K16" s="128"/>
      <c r="L16" s="26"/>
      <c r="M16" s="26"/>
    </row>
    <row r="17" spans="1:12" ht="23.25" customHeight="1" x14ac:dyDescent="0.35">
      <c r="A17" s="1" t="s">
        <v>1</v>
      </c>
      <c r="B17" s="2">
        <v>45383</v>
      </c>
      <c r="D17" s="122" t="s">
        <v>2</v>
      </c>
      <c r="E17" s="123"/>
      <c r="F17" s="123"/>
      <c r="G17" s="125" t="s">
        <v>22</v>
      </c>
      <c r="H17" s="130"/>
      <c r="I17" s="130"/>
      <c r="J17" s="131"/>
    </row>
    <row r="18" spans="1:12" x14ac:dyDescent="0.25">
      <c r="A18" s="4"/>
      <c r="B18" s="5"/>
      <c r="D18" s="6"/>
      <c r="E18" s="7"/>
      <c r="F18" s="7"/>
      <c r="G18" s="8" t="s">
        <v>5</v>
      </c>
      <c r="H18" s="9">
        <v>45444</v>
      </c>
      <c r="I18" s="9">
        <v>45992</v>
      </c>
      <c r="J18" s="10">
        <v>45809</v>
      </c>
      <c r="K18" s="53"/>
    </row>
    <row r="19" spans="1:12" x14ac:dyDescent="0.25">
      <c r="A19" s="11" t="s">
        <v>6</v>
      </c>
      <c r="B19" s="12" t="s">
        <v>7</v>
      </c>
      <c r="C19" s="12" t="s">
        <v>8</v>
      </c>
      <c r="D19" s="13" t="s">
        <v>9</v>
      </c>
      <c r="E19" s="14" t="s">
        <v>10</v>
      </c>
      <c r="F19" s="14" t="s">
        <v>11</v>
      </c>
      <c r="G19" s="15" t="s">
        <v>12</v>
      </c>
      <c r="H19" s="61">
        <v>0.16666666666666666</v>
      </c>
      <c r="I19" s="61">
        <v>0.66666666666666663</v>
      </c>
      <c r="J19" s="64">
        <f>14/12</f>
        <v>1.1666666666666667</v>
      </c>
      <c r="K19" s="54"/>
      <c r="L19" s="18"/>
    </row>
    <row r="20" spans="1:12" x14ac:dyDescent="0.25">
      <c r="A20" s="19" t="s">
        <v>14</v>
      </c>
      <c r="B20" s="20">
        <v>45413</v>
      </c>
      <c r="C20" s="21">
        <v>100.03700000000001</v>
      </c>
      <c r="D20" s="22">
        <f>1/12</f>
        <v>8.3333333333333329E-2</v>
      </c>
      <c r="E20" s="23">
        <f>C20/100</f>
        <v>1.00037</v>
      </c>
      <c r="F20" s="90">
        <f>E20^(-1/D20)-1+0.02%</f>
        <v>-4.2293402121399209E-3</v>
      </c>
      <c r="G20" s="15" t="s">
        <v>15</v>
      </c>
      <c r="H20" s="24">
        <f>$A$10/2*100</f>
        <v>1</v>
      </c>
      <c r="I20" s="24">
        <f>$A$10/2*100</f>
        <v>1</v>
      </c>
      <c r="J20" s="25">
        <v>101</v>
      </c>
      <c r="K20" s="26"/>
      <c r="L20" s="26"/>
    </row>
    <row r="21" spans="1:12" x14ac:dyDescent="0.25">
      <c r="A21" s="19" t="s">
        <v>14</v>
      </c>
      <c r="B21" s="20">
        <v>45536</v>
      </c>
      <c r="C21" s="21">
        <v>100.04900000000001</v>
      </c>
      <c r="D21" s="22">
        <f>5/12</f>
        <v>0.41666666666666669</v>
      </c>
      <c r="E21" s="23">
        <f>C21/100</f>
        <v>1.0004900000000001</v>
      </c>
      <c r="F21" s="90">
        <f>E21^(-1/D21)-1+0.02%</f>
        <v>-9.7502109554656899E-4</v>
      </c>
      <c r="G21" s="15" t="s">
        <v>16</v>
      </c>
      <c r="H21" s="27">
        <f>((D21-H19)*F20+(H19-D20)*F21)/(D21-D20)</f>
        <v>-3.4157604329915826E-3</v>
      </c>
      <c r="I21" s="28">
        <f>((D23-I19)*F22+(I19-D22)*F23)/(D23-D22)</f>
        <v>8.9398671441048432E-6</v>
      </c>
      <c r="J21" s="29">
        <f>(('1°titolo'!J19-'2°titolo'!J19)*'1°titolo'!I21+('2°titolo'!J19-'1°titolo'!I19)*'1°titolo'!J21)/('1°titolo'!J19-'1°titolo'!I19)</f>
        <v>1.5467060046859041E-3</v>
      </c>
      <c r="K21" s="55"/>
      <c r="L21" s="26"/>
    </row>
    <row r="22" spans="1:12" x14ac:dyDescent="0.25">
      <c r="A22" s="19" t="s">
        <v>14</v>
      </c>
      <c r="B22" s="20">
        <v>45566</v>
      </c>
      <c r="C22" s="21">
        <v>100.02200000000001</v>
      </c>
      <c r="D22" s="22">
        <v>0.5</v>
      </c>
      <c r="E22" s="23">
        <f>C22/100</f>
        <v>1.0002200000000001</v>
      </c>
      <c r="F22" s="90">
        <f>E22^(-1/D22)-1+0.02%</f>
        <v>-2.3985484258046713E-4</v>
      </c>
      <c r="G22" s="15" t="s">
        <v>17</v>
      </c>
      <c r="H22" s="24">
        <f>H20/((1+H21)^H19)</f>
        <v>1.0005704305438505</v>
      </c>
      <c r="I22" s="24">
        <f>I20/((1+I21)^I19)</f>
        <v>0.999994040132971</v>
      </c>
      <c r="J22" s="25">
        <f>J20/((1+J21)^J19)</f>
        <v>100.81805136167536</v>
      </c>
      <c r="K22" s="26"/>
      <c r="L22" s="26"/>
    </row>
    <row r="23" spans="1:12" x14ac:dyDescent="0.25">
      <c r="A23" s="19" t="s">
        <v>14</v>
      </c>
      <c r="B23" s="20">
        <v>45658</v>
      </c>
      <c r="C23" s="21">
        <v>100.005</v>
      </c>
      <c r="D23" s="22">
        <v>0.75</v>
      </c>
      <c r="E23" s="23">
        <f>C23/100</f>
        <v>1.0000499999999999</v>
      </c>
      <c r="F23" s="90">
        <f>E23^(-1/D23)-1+0.02%</f>
        <v>1.3333722200639092E-4</v>
      </c>
      <c r="G23" s="30"/>
      <c r="H23" s="31"/>
      <c r="I23" s="31"/>
      <c r="J23" s="32"/>
      <c r="K23" s="26"/>
      <c r="L23" s="26"/>
    </row>
    <row r="24" spans="1:12" x14ac:dyDescent="0.25">
      <c r="A24" s="19" t="s">
        <v>14</v>
      </c>
      <c r="B24" s="20">
        <v>45717</v>
      </c>
      <c r="C24" s="21">
        <v>99.99</v>
      </c>
      <c r="D24" s="22">
        <f>11/12</f>
        <v>0.91666666666666663</v>
      </c>
      <c r="E24" s="23">
        <f>C24/100</f>
        <v>0.9998999999999999</v>
      </c>
      <c r="F24" s="90">
        <f>E24^(-1/D24)-1+0.02%</f>
        <v>3.0910231522487377E-4</v>
      </c>
      <c r="G24" s="30"/>
      <c r="H24" s="31" t="s">
        <v>18</v>
      </c>
      <c r="I24" s="39">
        <f>SUM(H22:K22)</f>
        <v>102.81861583235218</v>
      </c>
      <c r="J24" s="32"/>
      <c r="K24" s="26"/>
      <c r="L24" s="26"/>
    </row>
    <row r="25" spans="1:12" ht="16.5" thickBot="1" x14ac:dyDescent="0.3">
      <c r="A25" s="37">
        <v>0.02</v>
      </c>
      <c r="B25" s="38">
        <v>45809</v>
      </c>
      <c r="C25" s="52">
        <f>I26</f>
        <v>102.15194916568551</v>
      </c>
      <c r="D25" s="22">
        <v>2.5</v>
      </c>
      <c r="E25" s="23"/>
      <c r="F25" s="90">
        <f>0.794725901514473%+0.02%</f>
        <v>8.1472590151447297E-3</v>
      </c>
      <c r="G25" s="30"/>
      <c r="H25" s="31" t="s">
        <v>26</v>
      </c>
      <c r="I25" s="65">
        <f>4/6</f>
        <v>0.66666666666666663</v>
      </c>
      <c r="J25" s="32"/>
      <c r="K25" s="26"/>
      <c r="L25" s="26"/>
    </row>
    <row r="26" spans="1:12" ht="16.5" thickBot="1" x14ac:dyDescent="0.3">
      <c r="D26" s="33">
        <v>3.25</v>
      </c>
      <c r="E26" s="34"/>
      <c r="F26" s="35">
        <f>1.1080034%+0.02%</f>
        <v>1.1280034000000001E-2</v>
      </c>
      <c r="G26" s="30"/>
      <c r="H26" s="108" t="s">
        <v>36</v>
      </c>
      <c r="I26" s="91">
        <f>I24-I25</f>
        <v>102.15194916568551</v>
      </c>
      <c r="J26" s="32"/>
      <c r="K26" s="26"/>
      <c r="L26" s="26"/>
    </row>
    <row r="27" spans="1:12" ht="16.5" thickBot="1" x14ac:dyDescent="0.3">
      <c r="G27" s="40"/>
      <c r="H27" s="95"/>
      <c r="I27" s="95"/>
      <c r="J27" s="63"/>
      <c r="K27" s="26"/>
      <c r="L27" s="26"/>
    </row>
    <row r="28" spans="1:12" x14ac:dyDescent="0.25">
      <c r="K28" s="56"/>
      <c r="L28" s="26"/>
    </row>
    <row r="29" spans="1:12" x14ac:dyDescent="0.25">
      <c r="G29" s="26"/>
      <c r="L29" s="26"/>
    </row>
    <row r="30" spans="1:12" x14ac:dyDescent="0.25">
      <c r="G30" s="26"/>
      <c r="L30" s="26"/>
    </row>
    <row r="31" spans="1:12" ht="21.75" thickBot="1" x14ac:dyDescent="0.4">
      <c r="A31" s="128" t="s">
        <v>28</v>
      </c>
      <c r="B31" s="128"/>
      <c r="C31" s="128"/>
      <c r="D31" s="128"/>
      <c r="E31" s="128"/>
      <c r="F31" s="128"/>
      <c r="G31" s="128"/>
      <c r="H31" s="128"/>
      <c r="I31" s="128"/>
      <c r="J31" s="128"/>
      <c r="K31" s="128"/>
      <c r="L31" s="26"/>
    </row>
    <row r="32" spans="1:12" ht="23.25" customHeight="1" x14ac:dyDescent="0.35">
      <c r="A32" s="1" t="s">
        <v>1</v>
      </c>
      <c r="B32" s="2">
        <v>45383</v>
      </c>
      <c r="D32" s="122" t="s">
        <v>2</v>
      </c>
      <c r="E32" s="123"/>
      <c r="F32" s="124"/>
      <c r="G32" s="130" t="s">
        <v>24</v>
      </c>
      <c r="H32" s="130"/>
      <c r="I32" s="130"/>
      <c r="J32" s="131"/>
    </row>
    <row r="33" spans="1:11" x14ac:dyDescent="0.25">
      <c r="A33" s="4"/>
      <c r="B33" s="5"/>
      <c r="D33" s="6"/>
      <c r="E33" s="7"/>
      <c r="F33" s="86"/>
      <c r="G33" s="84" t="s">
        <v>5</v>
      </c>
      <c r="H33" s="9">
        <v>45444</v>
      </c>
      <c r="I33" s="9">
        <v>45992</v>
      </c>
      <c r="J33" s="10">
        <v>45809</v>
      </c>
      <c r="K33" s="53"/>
    </row>
    <row r="34" spans="1:11" x14ac:dyDescent="0.25">
      <c r="A34" s="11" t="s">
        <v>6</v>
      </c>
      <c r="B34" s="12" t="s">
        <v>7</v>
      </c>
      <c r="C34" s="12" t="s">
        <v>8</v>
      </c>
      <c r="D34" s="13" t="s">
        <v>9</v>
      </c>
      <c r="E34" s="14" t="s">
        <v>10</v>
      </c>
      <c r="F34" s="87" t="s">
        <v>11</v>
      </c>
      <c r="G34" s="85" t="s">
        <v>12</v>
      </c>
      <c r="H34" s="61">
        <f>2/12</f>
        <v>0.16666666666666666</v>
      </c>
      <c r="I34" s="61">
        <f>8/12</f>
        <v>0.66666666666666663</v>
      </c>
      <c r="J34" s="64">
        <f>14/12</f>
        <v>1.1666666666666667</v>
      </c>
      <c r="K34" s="54"/>
    </row>
    <row r="35" spans="1:11" x14ac:dyDescent="0.25">
      <c r="A35" s="19" t="s">
        <v>14</v>
      </c>
      <c r="B35" s="20">
        <v>45413</v>
      </c>
      <c r="C35" s="21">
        <v>100.03700000000001</v>
      </c>
      <c r="D35" s="22">
        <f>1/12</f>
        <v>8.3333333333333329E-2</v>
      </c>
      <c r="E35" s="23">
        <f>C35/100</f>
        <v>1.00037</v>
      </c>
      <c r="F35" s="88">
        <f>E35^(-1/D35)-1-0.02%</f>
        <v>-4.6293402121399202E-3</v>
      </c>
      <c r="G35" s="85" t="s">
        <v>15</v>
      </c>
      <c r="H35" s="24">
        <f>$A$10/2*100</f>
        <v>1</v>
      </c>
      <c r="I35" s="24">
        <f>$A$10/2*100</f>
        <v>1</v>
      </c>
      <c r="J35" s="25">
        <f>101</f>
        <v>101</v>
      </c>
      <c r="K35" s="26"/>
    </row>
    <row r="36" spans="1:11" x14ac:dyDescent="0.25">
      <c r="A36" s="19" t="s">
        <v>14</v>
      </c>
      <c r="B36" s="20">
        <v>45536</v>
      </c>
      <c r="C36" s="21">
        <v>100.04900000000001</v>
      </c>
      <c r="D36" s="22">
        <f>5/12</f>
        <v>0.41666666666666669</v>
      </c>
      <c r="E36" s="23">
        <f>C36/100</f>
        <v>1.0004900000000001</v>
      </c>
      <c r="F36" s="88">
        <f>E36^(-1/D36)-1-0.02%</f>
        <v>-1.3750210955465691E-3</v>
      </c>
      <c r="G36" s="85" t="s">
        <v>16</v>
      </c>
      <c r="H36" s="27">
        <f>((D36-H34)*F35+(H34-D35)*F36)/(D36-D35)</f>
        <v>-3.8157604329915823E-3</v>
      </c>
      <c r="I36" s="28">
        <f>((D38-I34)*F37+(I34-D37)*F38)/(D38-D37)</f>
        <v>-3.9106013285589516E-4</v>
      </c>
      <c r="J36" s="29">
        <f>((D40-J34)*F39+(J34-D39)*F40)/(D40-D39)</f>
        <v>1.1467060046859042E-3</v>
      </c>
      <c r="K36" s="55"/>
    </row>
    <row r="37" spans="1:11" x14ac:dyDescent="0.25">
      <c r="A37" s="19" t="s">
        <v>14</v>
      </c>
      <c r="B37" s="20">
        <v>45566</v>
      </c>
      <c r="C37" s="21">
        <v>100.02200000000001</v>
      </c>
      <c r="D37" s="22">
        <v>0.5</v>
      </c>
      <c r="E37" s="23">
        <f>C37/100</f>
        <v>1.0002200000000001</v>
      </c>
      <c r="F37" s="88">
        <f>E37^(-1/D37)-1-0.02%</f>
        <v>-6.3985484258046712E-4</v>
      </c>
      <c r="G37" s="85" t="s">
        <v>17</v>
      </c>
      <c r="H37" s="24">
        <f>H35/((1+H36)^H34)</f>
        <v>1.0006373795432677</v>
      </c>
      <c r="I37" s="24">
        <f>I35/((1+I36)^I34)</f>
        <v>1.0002607917447961</v>
      </c>
      <c r="J37" s="25">
        <f>J35/((1+J36)^J34)</f>
        <v>100.86504746124524</v>
      </c>
      <c r="K37" s="26"/>
    </row>
    <row r="38" spans="1:11" x14ac:dyDescent="0.25">
      <c r="A38" s="19" t="s">
        <v>14</v>
      </c>
      <c r="B38" s="20">
        <v>45658</v>
      </c>
      <c r="C38" s="21">
        <v>100.005</v>
      </c>
      <c r="D38" s="22">
        <v>0.75</v>
      </c>
      <c r="E38" s="23">
        <f>C38/100</f>
        <v>1.0000499999999999</v>
      </c>
      <c r="F38" s="88">
        <f>E38^(-1/D38)-1-0.02%</f>
        <v>-2.6666277799360907E-4</v>
      </c>
      <c r="G38" s="31"/>
      <c r="H38" s="31"/>
      <c r="I38" s="31"/>
      <c r="J38" s="32"/>
      <c r="K38" s="26"/>
    </row>
    <row r="39" spans="1:11" x14ac:dyDescent="0.25">
      <c r="A39" s="19" t="s">
        <v>14</v>
      </c>
      <c r="B39" s="20">
        <v>45717</v>
      </c>
      <c r="C39" s="21">
        <v>99.99</v>
      </c>
      <c r="D39" s="22">
        <f>11/12</f>
        <v>0.91666666666666663</v>
      </c>
      <c r="E39" s="23">
        <f>C39/100</f>
        <v>0.9998999999999999</v>
      </c>
      <c r="F39" s="88">
        <f>E39^(-1/D39)-1-0.02%</f>
        <v>-9.0897684775126218E-5</v>
      </c>
      <c r="G39" s="31"/>
      <c r="H39" s="36"/>
      <c r="I39" s="31"/>
      <c r="J39" s="32"/>
      <c r="K39" s="26"/>
    </row>
    <row r="40" spans="1:11" x14ac:dyDescent="0.25">
      <c r="A40" s="37">
        <v>0.02</v>
      </c>
      <c r="B40" s="38">
        <v>45809</v>
      </c>
      <c r="C40" s="52">
        <f>I42</f>
        <v>102.19927896586664</v>
      </c>
      <c r="D40" s="22">
        <v>2.5</v>
      </c>
      <c r="E40" s="23"/>
      <c r="F40" s="88">
        <f>0.794725901514473%-0.02%</f>
        <v>7.7472590151447295E-3</v>
      </c>
      <c r="G40" s="31"/>
      <c r="H40" s="31" t="s">
        <v>18</v>
      </c>
      <c r="I40" s="39">
        <f>SUM(H37:K37)</f>
        <v>102.86594563253331</v>
      </c>
      <c r="J40" s="32"/>
      <c r="K40" s="26"/>
    </row>
    <row r="41" spans="1:11" ht="16.5" thickBot="1" x14ac:dyDescent="0.3">
      <c r="D41" s="33">
        <v>3.25</v>
      </c>
      <c r="E41" s="34"/>
      <c r="F41" s="42">
        <f>1.1080034%-0.02%</f>
        <v>1.0880034E-2</v>
      </c>
      <c r="G41" s="31"/>
      <c r="H41" s="31" t="s">
        <v>26</v>
      </c>
      <c r="I41" s="65">
        <f>4/6</f>
        <v>0.66666666666666663</v>
      </c>
      <c r="J41" s="32"/>
      <c r="K41" s="26"/>
    </row>
    <row r="42" spans="1:11" ht="16.5" thickBot="1" x14ac:dyDescent="0.3">
      <c r="G42" s="30"/>
      <c r="H42" s="108" t="s">
        <v>36</v>
      </c>
      <c r="I42" s="91">
        <f>I40-I41</f>
        <v>102.19927896586664</v>
      </c>
      <c r="J42" s="32"/>
      <c r="K42" s="26"/>
    </row>
    <row r="43" spans="1:11" ht="16.5" thickBot="1" x14ac:dyDescent="0.3">
      <c r="G43" s="40"/>
      <c r="H43" s="95"/>
      <c r="I43" s="95"/>
      <c r="J43" s="63"/>
      <c r="K43" s="56"/>
    </row>
  </sheetData>
  <mergeCells count="9">
    <mergeCell ref="D32:F32"/>
    <mergeCell ref="G17:J17"/>
    <mergeCell ref="G2:J2"/>
    <mergeCell ref="G32:J32"/>
    <mergeCell ref="A1:K1"/>
    <mergeCell ref="A16:K16"/>
    <mergeCell ref="A31:K31"/>
    <mergeCell ref="D2:F2"/>
    <mergeCell ref="D17:F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DB270-D115-D442-A020-CAD47161D428}">
  <dimension ref="A1:I28"/>
  <sheetViews>
    <sheetView topLeftCell="A38" workbookViewId="0">
      <selection activeCell="B27" sqref="B27"/>
    </sheetView>
  </sheetViews>
  <sheetFormatPr defaultColWidth="8.85546875" defaultRowHeight="15" x14ac:dyDescent="0.25"/>
  <cols>
    <col min="1" max="1" width="17" customWidth="1"/>
    <col min="2" max="3" width="18.85546875" bestFit="1" customWidth="1"/>
    <col min="4" max="4" width="12" bestFit="1" customWidth="1"/>
    <col min="5" max="6" width="12.7109375" bestFit="1" customWidth="1"/>
    <col min="7" max="7" width="12" bestFit="1" customWidth="1"/>
    <col min="8" max="8" width="11" bestFit="1" customWidth="1"/>
    <col min="9" max="9" width="10.5703125" bestFit="1" customWidth="1"/>
  </cols>
  <sheetData>
    <row r="1" spans="1:5" ht="15.75" thickBot="1" x14ac:dyDescent="0.3"/>
    <row r="2" spans="1:5" ht="19.5" thickBot="1" x14ac:dyDescent="0.35">
      <c r="A2" s="82"/>
      <c r="B2" s="74" t="s">
        <v>29</v>
      </c>
      <c r="C2" s="76" t="s">
        <v>30</v>
      </c>
      <c r="D2" s="80" t="s">
        <v>31</v>
      </c>
      <c r="E2" s="67"/>
    </row>
    <row r="3" spans="1:5" ht="15.75" thickBot="1" x14ac:dyDescent="0.3">
      <c r="A3" s="83" t="s">
        <v>32</v>
      </c>
      <c r="B3" s="81">
        <v>2</v>
      </c>
      <c r="C3" s="79">
        <f>'1°titolo'!N4</f>
        <v>1.9708687830048863</v>
      </c>
      <c r="D3" s="77">
        <f>'1°titolo'!N12</f>
        <v>5.8248827138924897</v>
      </c>
    </row>
    <row r="4" spans="1:5" ht="15.75" thickBot="1" x14ac:dyDescent="0.3">
      <c r="A4" s="68" t="s">
        <v>33</v>
      </c>
      <c r="B4" s="78">
        <v>3</v>
      </c>
      <c r="C4" s="75">
        <f>'2°titolo'!N4</f>
        <v>1.1595916922418441</v>
      </c>
      <c r="D4" s="66">
        <f>'2°titolo'!N12</f>
        <v>2.4846541696673374</v>
      </c>
    </row>
    <row r="5" spans="1:5" ht="15.75" thickBot="1" x14ac:dyDescent="0.3"/>
    <row r="6" spans="1:5" ht="21.75" thickBot="1" x14ac:dyDescent="0.4">
      <c r="A6" s="69"/>
      <c r="B6" s="72" t="s">
        <v>30</v>
      </c>
      <c r="C6" s="70" t="s">
        <v>34</v>
      </c>
    </row>
    <row r="7" spans="1:5" ht="21.75" thickBot="1" x14ac:dyDescent="0.4">
      <c r="A7" s="71" t="s">
        <v>35</v>
      </c>
      <c r="B7" s="73">
        <f xml:space="preserve"> (($B$3*'1°titolo'!$I$11*C3)+ ($B$4*'2°titolo'!$I$11*C4))/($B$3*'1°titolo'!$I$11+$B$4*'2°titolo'!$I$11)</f>
        <v>1.4854768933748177</v>
      </c>
      <c r="C7" s="73">
        <f>($B$3*'1°titolo'!$I$11*D3+$B$4*'2°titolo'!$I$11*D4)/($B$3*'1°titolo'!$I$11+$B$4*'2°titolo'!$I$11)</f>
        <v>3.8264041874585479</v>
      </c>
    </row>
    <row r="10" spans="1:5" ht="21" x14ac:dyDescent="0.35">
      <c r="A10" s="137" t="s">
        <v>44</v>
      </c>
      <c r="B10" s="137"/>
      <c r="C10" s="137"/>
      <c r="D10" s="137"/>
      <c r="E10" s="137"/>
    </row>
    <row r="20" spans="1:9" x14ac:dyDescent="0.25">
      <c r="A20" t="s">
        <v>49</v>
      </c>
    </row>
    <row r="21" spans="1:9" x14ac:dyDescent="0.25">
      <c r="A21" s="118" t="s">
        <v>37</v>
      </c>
      <c r="B21" s="113">
        <f>'1°titolo'!I11</f>
        <v>102.89887280760368</v>
      </c>
    </row>
    <row r="22" spans="1:9" x14ac:dyDescent="0.25">
      <c r="A22" s="118" t="s">
        <v>38</v>
      </c>
      <c r="B22" s="113">
        <f>'2°titolo'!I11</f>
        <v>102.17560895522607</v>
      </c>
      <c r="E22" s="138" t="s">
        <v>46</v>
      </c>
      <c r="F22" s="138"/>
      <c r="H22" s="138" t="s">
        <v>48</v>
      </c>
      <c r="I22" s="138"/>
    </row>
    <row r="23" spans="1:9" x14ac:dyDescent="0.25">
      <c r="A23" s="118" t="s">
        <v>43</v>
      </c>
      <c r="B23" s="113">
        <f>C3</f>
        <v>1.9708687830048863</v>
      </c>
      <c r="D23" s="117" t="s">
        <v>40</v>
      </c>
      <c r="E23" s="114">
        <f>B21*(B23-3)</f>
        <v>-105.89644219991459</v>
      </c>
      <c r="F23" s="114">
        <f>B22*(B24-3)</f>
        <v>-188.04483957144669</v>
      </c>
      <c r="H23" s="118" t="s">
        <v>50</v>
      </c>
      <c r="I23" s="119" cm="1">
        <f t="array" ref="I23:I24">MMULT(MINVERSE(E23:F24),E27:E28)</f>
        <v>85.582351801802929</v>
      </c>
    </row>
    <row r="24" spans="1:9" x14ac:dyDescent="0.25">
      <c r="A24" s="118" t="s">
        <v>45</v>
      </c>
      <c r="B24" s="113">
        <f>C4</f>
        <v>1.1595916922418441</v>
      </c>
      <c r="D24" s="109"/>
      <c r="E24" s="115">
        <f>B21</f>
        <v>102.89887280760368</v>
      </c>
      <c r="F24" s="115">
        <f>B22</f>
        <v>102.17560895522607</v>
      </c>
      <c r="H24" s="118" t="s">
        <v>51</v>
      </c>
      <c r="I24" s="119">
        <v>-48.195242111225234</v>
      </c>
    </row>
    <row r="25" spans="1:9" x14ac:dyDescent="0.25">
      <c r="A25" s="118" t="s">
        <v>39</v>
      </c>
      <c r="B25" s="120">
        <v>4000</v>
      </c>
      <c r="D25" s="109"/>
      <c r="H25" s="109"/>
      <c r="I25" s="112"/>
    </row>
    <row r="26" spans="1:9" x14ac:dyDescent="0.25">
      <c r="A26" s="118" t="s">
        <v>42</v>
      </c>
      <c r="B26" s="121">
        <v>1.0035666666666001E-2</v>
      </c>
      <c r="D26" s="109"/>
      <c r="E26" s="139" t="s">
        <v>47</v>
      </c>
      <c r="F26" s="139"/>
      <c r="I26" s="111"/>
    </row>
    <row r="27" spans="1:9" x14ac:dyDescent="0.25">
      <c r="D27" s="118" t="s">
        <v>41</v>
      </c>
      <c r="E27" s="114">
        <v>0</v>
      </c>
    </row>
    <row r="28" spans="1:9" x14ac:dyDescent="0.25">
      <c r="D28" s="109"/>
      <c r="E28" s="116">
        <f>B25/(1+B26)^3</f>
        <v>3881.9493211703179</v>
      </c>
    </row>
  </sheetData>
  <mergeCells count="4">
    <mergeCell ref="A10:E10"/>
    <mergeCell ref="E22:F22"/>
    <mergeCell ref="E26:F26"/>
    <mergeCell ref="H22:I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1°titolo</vt:lpstr>
      <vt:lpstr>2°titolo</vt:lpstr>
      <vt:lpstr>Duration, Convexity e Imm.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daniele</dc:creator>
  <cp:keywords/>
  <dc:description/>
  <cp:lastModifiedBy>Federico Maria Riva</cp:lastModifiedBy>
  <cp:revision/>
  <dcterms:created xsi:type="dcterms:W3CDTF">2019-03-26T09:39:23Z</dcterms:created>
  <dcterms:modified xsi:type="dcterms:W3CDTF">2024-05-01T16:41:28Z</dcterms:modified>
  <cp:category/>
  <cp:contentStatus/>
</cp:coreProperties>
</file>